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0. RBP 2022-27\4. Final decision\for publishing\"/>
    </mc:Choice>
  </mc:AlternateContent>
  <xr:revisionPtr revIDLastSave="0" documentId="13_ncr:1_{2F0B42CE-2FF5-4D33-8361-EEB8C7E24534}" xr6:coauthVersionLast="46" xr6:coauthVersionMax="46" xr10:uidLastSave="{00000000-0000-0000-0000-000000000000}"/>
  <bookViews>
    <workbookView xWindow="-120" yWindow="-120" windowWidth="29040" windowHeight="15840" tabRatio="804" activeTab="7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8" i="2" l="1"/>
  <c r="Q55" i="2"/>
  <c r="Q58" i="2" s="1"/>
  <c r="R55" i="2" l="1"/>
  <c r="S55" i="2" l="1"/>
  <c r="R58" i="2"/>
  <c r="Q40" i="2"/>
  <c r="Q42" i="2" s="1"/>
  <c r="R40" i="2"/>
  <c r="R42" i="2" s="1"/>
  <c r="S40" i="2"/>
  <c r="S42" i="2" s="1"/>
  <c r="T40" i="2"/>
  <c r="T42" i="2" s="1"/>
  <c r="P40" i="2"/>
  <c r="P42" i="2" s="1"/>
  <c r="T55" i="2" l="1"/>
  <c r="T58" i="2" s="1"/>
  <c r="S58" i="2"/>
  <c r="F70" i="55" l="1"/>
  <c r="T68" i="55"/>
  <c r="T106" i="2"/>
  <c r="S67" i="42" s="1"/>
  <c r="S106" i="2"/>
  <c r="R106" i="2"/>
  <c r="Q106" i="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69" i="58"/>
  <c r="F28" i="42" s="1"/>
  <c r="F67" i="58"/>
  <c r="F66" i="58"/>
  <c r="F65" i="58"/>
  <c r="F64" i="58"/>
  <c r="F63" i="58"/>
  <c r="F15" i="58"/>
  <c r="F29" i="58"/>
  <c r="F27" i="58"/>
  <c r="F26" i="58"/>
  <c r="F25" i="58"/>
  <c r="F24" i="58"/>
  <c r="F23" i="58"/>
  <c r="F22" i="58"/>
  <c r="F21" i="58"/>
  <c r="F20" i="58"/>
  <c r="F19" i="58"/>
  <c r="E69" i="58"/>
  <c r="E67" i="58"/>
  <c r="E66" i="58"/>
  <c r="E65" i="58"/>
  <c r="E64" i="58"/>
  <c r="E63" i="58"/>
  <c r="E57" i="58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58"/>
  <c r="E20" i="58"/>
  <c r="E19" i="58"/>
  <c r="E13" i="58"/>
  <c r="J4" i="42"/>
  <c r="J103" i="42"/>
  <c r="K4" i="42"/>
  <c r="K103" i="42" s="1"/>
  <c r="L4" i="42"/>
  <c r="L103" i="42" s="1"/>
  <c r="M4" i="42"/>
  <c r="N4" i="42"/>
  <c r="N103" i="42"/>
  <c r="O4" i="42"/>
  <c r="O103" i="42" s="1"/>
  <c r="P4" i="42"/>
  <c r="P103" i="42"/>
  <c r="Q4" i="42"/>
  <c r="Q103" i="42" s="1"/>
  <c r="R4" i="42"/>
  <c r="R103" i="42"/>
  <c r="S4" i="42"/>
  <c r="S103" i="42" s="1"/>
  <c r="T4" i="42"/>
  <c r="T103" i="42"/>
  <c r="J37" i="42"/>
  <c r="J4" i="58"/>
  <c r="J61" i="58"/>
  <c r="J10" i="58"/>
  <c r="F8" i="42"/>
  <c r="T58" i="42"/>
  <c r="S58" i="42"/>
  <c r="R58" i="42"/>
  <c r="Q58" i="42"/>
  <c r="P58" i="42"/>
  <c r="O58" i="42"/>
  <c r="N58" i="42"/>
  <c r="N68" i="42" a="1"/>
  <c r="N68" i="42"/>
  <c r="L58" i="42"/>
  <c r="K58" i="42"/>
  <c r="K62" i="42" s="1" a="1"/>
  <c r="K62" i="42" s="1"/>
  <c r="K68" i="42" a="1"/>
  <c r="K68" i="42" s="1"/>
  <c r="J58" i="42"/>
  <c r="J68" i="42" s="1" a="1"/>
  <c r="J68" i="42"/>
  <c r="N65" i="42" a="1"/>
  <c r="N65" i="42"/>
  <c r="K65" i="42" a="1"/>
  <c r="K65" i="42" s="1"/>
  <c r="J65" i="42" a="1"/>
  <c r="J65" i="42"/>
  <c r="N62" i="42" a="1"/>
  <c r="N62" i="42" s="1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/>
  <c r="T18" i="44" s="1"/>
  <c r="T64" i="42"/>
  <c r="T67" i="42"/>
  <c r="U79" i="2"/>
  <c r="U80" i="2"/>
  <c r="U4" i="2"/>
  <c r="U95" i="2" s="1"/>
  <c r="H78" i="4"/>
  <c r="G78" i="4" s="1"/>
  <c r="T4" i="53"/>
  <c r="T38" i="53" s="1"/>
  <c r="T42" i="53" s="1"/>
  <c r="T4" i="58"/>
  <c r="U75" i="2"/>
  <c r="U104" i="2"/>
  <c r="U108" i="2" s="1"/>
  <c r="T75" i="42"/>
  <c r="T91" i="42"/>
  <c r="T12" i="42"/>
  <c r="T10" i="53"/>
  <c r="T22" i="53" s="1"/>
  <c r="J93" i="2" a="1"/>
  <c r="J93" i="2" s="1"/>
  <c r="K93" i="2" a="1"/>
  <c r="K93" i="2" s="1"/>
  <c r="L93" i="2" a="1"/>
  <c r="L93" i="2" s="1"/>
  <c r="M93" i="2" a="1"/>
  <c r="M93" i="2" s="1"/>
  <c r="U78" i="2"/>
  <c r="T65" i="55"/>
  <c r="T66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6" i="55"/>
  <c r="G68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6" i="16"/>
  <c r="C15" i="16"/>
  <c r="D15" i="16" s="1"/>
  <c r="C14" i="16"/>
  <c r="D14" i="16" s="1"/>
  <c r="C13" i="16"/>
  <c r="C12" i="16"/>
  <c r="D12" i="16" s="1"/>
  <c r="C11" i="16"/>
  <c r="D11" i="16" s="1"/>
  <c r="H72" i="4"/>
  <c r="G72" i="4" s="1"/>
  <c r="U77" i="2"/>
  <c r="U98" i="2"/>
  <c r="N47" i="58"/>
  <c r="O47" i="58"/>
  <c r="P47" i="58"/>
  <c r="Q47" i="58"/>
  <c r="R47" i="58"/>
  <c r="S47" i="58"/>
  <c r="V29" i="58"/>
  <c r="C97" i="2" a="1"/>
  <c r="C100" i="2" s="1"/>
  <c r="T93" i="2" a="1"/>
  <c r="T93" i="2" s="1"/>
  <c r="S93" i="2" a="1"/>
  <c r="S93" i="2" s="1"/>
  <c r="R93" i="2" a="1"/>
  <c r="R93" i="2"/>
  <c r="Q93" i="2"/>
  <c r="Q93" i="2" a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C97" i="2"/>
  <c r="F19" i="42"/>
  <c r="F97" i="42"/>
  <c r="F96" i="42"/>
  <c r="F8" i="44"/>
  <c r="F16" i="44"/>
  <c r="F18" i="44"/>
  <c r="F24" i="42"/>
  <c r="E24" i="42"/>
  <c r="F22" i="42"/>
  <c r="E22" i="42"/>
  <c r="F20" i="42"/>
  <c r="E20" i="42"/>
  <c r="K29" i="58"/>
  <c r="L29" i="58"/>
  <c r="L21" i="42" s="1"/>
  <c r="M29" i="58"/>
  <c r="N29" i="58"/>
  <c r="N23" i="42" s="1"/>
  <c r="O29" i="58"/>
  <c r="P29" i="58"/>
  <c r="Q29" i="58"/>
  <c r="R29" i="58"/>
  <c r="S29" i="58"/>
  <c r="J29" i="58"/>
  <c r="E15" i="58"/>
  <c r="D15" i="58"/>
  <c r="K15" i="58"/>
  <c r="K14" i="42" s="1"/>
  <c r="L15" i="58"/>
  <c r="M15" i="58"/>
  <c r="N15" i="58"/>
  <c r="O15" i="58"/>
  <c r="P15" i="58"/>
  <c r="Q15" i="58"/>
  <c r="R15" i="58"/>
  <c r="S15" i="58"/>
  <c r="J15" i="58"/>
  <c r="E29" i="42"/>
  <c r="F29" i="42"/>
  <c r="C29" i="42"/>
  <c r="E28" i="42"/>
  <c r="F35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H74" i="4"/>
  <c r="G74" i="4" s="1"/>
  <c r="H83" i="4"/>
  <c r="G83" i="4" s="1"/>
  <c r="H82" i="4"/>
  <c r="G82" i="4" s="1"/>
  <c r="H81" i="4"/>
  <c r="G81" i="4" s="1"/>
  <c r="H80" i="4"/>
  <c r="G80" i="4" s="1"/>
  <c r="H79" i="4"/>
  <c r="G79" i="4" s="1"/>
  <c r="H73" i="4"/>
  <c r="G73" i="4" s="1"/>
  <c r="C47" i="4"/>
  <c r="G75" i="4"/>
  <c r="F31" i="42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35" i="42"/>
  <c r="R35" i="42"/>
  <c r="Q35" i="42"/>
  <c r="K35" i="42"/>
  <c r="J35" i="42"/>
  <c r="S4" i="53"/>
  <c r="S10" i="53" s="1"/>
  <c r="S22" i="53" s="1"/>
  <c r="R4" i="53"/>
  <c r="Q4" i="53"/>
  <c r="Q38" i="53" s="1"/>
  <c r="Q42" i="53" s="1"/>
  <c r="P4" i="53"/>
  <c r="O4" i="53"/>
  <c r="N4" i="53"/>
  <c r="N38" i="53"/>
  <c r="M4" i="53"/>
  <c r="L4" i="53"/>
  <c r="L38" i="53"/>
  <c r="K4" i="53"/>
  <c r="J4" i="53"/>
  <c r="J4" i="2"/>
  <c r="J95" i="2" s="1"/>
  <c r="J97" i="2" s="1"/>
  <c r="T4" i="2"/>
  <c r="T75" i="2" s="1"/>
  <c r="S4" i="2"/>
  <c r="S64" i="2" s="1"/>
  <c r="S73" i="2" s="1"/>
  <c r="R4" i="2"/>
  <c r="Q4" i="2"/>
  <c r="Q95" i="2" s="1"/>
  <c r="P4" i="2"/>
  <c r="P10" i="2" s="1"/>
  <c r="P12" i="2" s="1"/>
  <c r="O4" i="2"/>
  <c r="O64" i="2" s="1"/>
  <c r="N4" i="2"/>
  <c r="M4" i="2"/>
  <c r="M95" i="2" s="1"/>
  <c r="L4" i="2"/>
  <c r="L104" i="2" s="1"/>
  <c r="K4" i="2"/>
  <c r="S4" i="58"/>
  <c r="R4" i="58"/>
  <c r="R61" i="58" s="1"/>
  <c r="R28" i="42" s="1"/>
  <c r="Q4" i="58"/>
  <c r="Q10" i="58" s="1"/>
  <c r="P4" i="58"/>
  <c r="O4" i="58"/>
  <c r="N4" i="58"/>
  <c r="N61" i="58" s="1"/>
  <c r="N28" i="42" s="1"/>
  <c r="M4" i="58"/>
  <c r="M61" i="58" s="1"/>
  <c r="L4" i="58"/>
  <c r="K4" i="58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N34" i="58"/>
  <c r="R34" i="58"/>
  <c r="M97" i="2"/>
  <c r="M99" i="2"/>
  <c r="J98" i="2"/>
  <c r="J23" i="42"/>
  <c r="J21" i="42"/>
  <c r="J19" i="42"/>
  <c r="L23" i="42"/>
  <c r="N21" i="42"/>
  <c r="N19" i="42"/>
  <c r="P23" i="42"/>
  <c r="P21" i="42"/>
  <c r="P19" i="42"/>
  <c r="R23" i="42"/>
  <c r="R21" i="42"/>
  <c r="R19" i="42"/>
  <c r="K23" i="42"/>
  <c r="K21" i="42"/>
  <c r="O23" i="42"/>
  <c r="O21" i="42"/>
  <c r="O19" i="42"/>
  <c r="Q23" i="42"/>
  <c r="Q21" i="42"/>
  <c r="Q19" i="42"/>
  <c r="S23" i="42"/>
  <c r="S21" i="42"/>
  <c r="S19" i="42"/>
  <c r="J33" i="42"/>
  <c r="R33" i="42"/>
  <c r="K33" i="42"/>
  <c r="Q33" i="42"/>
  <c r="S33" i="42"/>
  <c r="J12" i="42"/>
  <c r="M12" i="42"/>
  <c r="O49" i="42"/>
  <c r="O12" i="42"/>
  <c r="Q49" i="42"/>
  <c r="Q12" i="42"/>
  <c r="S12" i="42"/>
  <c r="N49" i="42"/>
  <c r="N12" i="42"/>
  <c r="P49" i="42"/>
  <c r="P12" i="42"/>
  <c r="R49" i="42"/>
  <c r="R12" i="42"/>
  <c r="N10" i="58"/>
  <c r="R10" i="58"/>
  <c r="S10" i="2"/>
  <c r="S12" i="2" s="1"/>
  <c r="O10" i="2"/>
  <c r="M14" i="2"/>
  <c r="Q14" i="2"/>
  <c r="J24" i="2"/>
  <c r="O75" i="2"/>
  <c r="J64" i="2"/>
  <c r="J73" i="2" s="1"/>
  <c r="Q64" i="2"/>
  <c r="M64" i="2"/>
  <c r="J34" i="58"/>
  <c r="J10" i="2"/>
  <c r="Q10" i="2"/>
  <c r="Q12" i="2"/>
  <c r="M10" i="2"/>
  <c r="J49" i="2"/>
  <c r="M75" i="2"/>
  <c r="Q75" i="2"/>
  <c r="J104" i="2"/>
  <c r="M34" i="58"/>
  <c r="S34" i="58"/>
  <c r="L14" i="2"/>
  <c r="P64" i="2"/>
  <c r="P75" i="2"/>
  <c r="P14" i="2"/>
  <c r="R10" i="2"/>
  <c r="R12" i="2" s="1"/>
  <c r="T64" i="2"/>
  <c r="J26" i="53"/>
  <c r="J10" i="53"/>
  <c r="J22" i="53" s="1"/>
  <c r="R26" i="53"/>
  <c r="R10" i="53"/>
  <c r="L49" i="42"/>
  <c r="T24" i="2"/>
  <c r="R49" i="2"/>
  <c r="R60" i="2" s="1"/>
  <c r="L10" i="53"/>
  <c r="K34" i="58"/>
  <c r="Q34" i="58"/>
  <c r="N26" i="53"/>
  <c r="N10" i="53"/>
  <c r="N22" i="53" s="1"/>
  <c r="J49" i="42"/>
  <c r="T36" i="2"/>
  <c r="P36" i="2"/>
  <c r="L36" i="2"/>
  <c r="L49" i="2"/>
  <c r="P49" i="2"/>
  <c r="L26" i="53"/>
  <c r="J38" i="53"/>
  <c r="J42" i="53" s="1"/>
  <c r="R38" i="53"/>
  <c r="M38" i="53"/>
  <c r="M26" i="53"/>
  <c r="M10" i="53"/>
  <c r="O38" i="53"/>
  <c r="O42" i="53" s="1"/>
  <c r="O26" i="53"/>
  <c r="O10" i="53"/>
  <c r="O22" i="53" s="1"/>
  <c r="S38" i="53"/>
  <c r="S26" i="53"/>
  <c r="K49" i="42"/>
  <c r="S49" i="42"/>
  <c r="J14" i="2"/>
  <c r="M24" i="2"/>
  <c r="Q24" i="2"/>
  <c r="S24" i="2"/>
  <c r="J36" i="2"/>
  <c r="S36" i="2"/>
  <c r="S47" i="2" s="1"/>
  <c r="Q36" i="2"/>
  <c r="M36" i="2"/>
  <c r="M49" i="2"/>
  <c r="M60" i="2" s="1"/>
  <c r="Q49" i="2"/>
  <c r="J75" i="2"/>
  <c r="M104" i="2"/>
  <c r="Q104" i="2"/>
  <c r="J31" i="42"/>
  <c r="R31" i="42"/>
  <c r="S31" i="42"/>
  <c r="Q31" i="42"/>
  <c r="K31" i="42"/>
  <c r="J10" i="42"/>
  <c r="R10" i="42"/>
  <c r="P10" i="42"/>
  <c r="N10" i="42"/>
  <c r="L10" i="42"/>
  <c r="J16" i="42"/>
  <c r="R16" i="42"/>
  <c r="P16" i="42"/>
  <c r="N16" i="42"/>
  <c r="L16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K10" i="42"/>
  <c r="S16" i="42"/>
  <c r="Q16" i="42"/>
  <c r="O16" i="42"/>
  <c r="K16" i="42"/>
  <c r="K37" i="42"/>
  <c r="O37" i="42"/>
  <c r="Q37" i="42"/>
  <c r="S37" i="42"/>
  <c r="K40" i="42"/>
  <c r="O40" i="42"/>
  <c r="Q40" i="42"/>
  <c r="S40" i="42"/>
  <c r="K43" i="42"/>
  <c r="M43" i="42"/>
  <c r="O43" i="42"/>
  <c r="Q43" i="42"/>
  <c r="S43" i="42"/>
  <c r="K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V75" i="2"/>
  <c r="E49" i="42"/>
  <c r="E46" i="42"/>
  <c r="E43" i="42"/>
  <c r="E37" i="42"/>
  <c r="C2" i="58"/>
  <c r="C1" i="58"/>
  <c r="F23" i="42"/>
  <c r="F21" i="42"/>
  <c r="E21" i="42"/>
  <c r="E23" i="42"/>
  <c r="E40" i="42"/>
  <c r="E19" i="42"/>
  <c r="F17" i="44"/>
  <c r="F15" i="44"/>
  <c r="F14" i="44"/>
  <c r="E17" i="44"/>
  <c r="E15" i="44"/>
  <c r="E14" i="44"/>
  <c r="C13" i="44"/>
  <c r="C14" i="44"/>
  <c r="S11" i="44"/>
  <c r="R11" i="44"/>
  <c r="Q11" i="44"/>
  <c r="P11" i="44"/>
  <c r="O11" i="44"/>
  <c r="N11" i="44"/>
  <c r="M11" i="44"/>
  <c r="L11" i="44"/>
  <c r="K11" i="44"/>
  <c r="K17" i="44" s="1"/>
  <c r="J11" i="44"/>
  <c r="J16" i="44" s="1"/>
  <c r="F105" i="42"/>
  <c r="E105" i="42"/>
  <c r="J15" i="44"/>
  <c r="J17" i="44"/>
  <c r="N18" i="44"/>
  <c r="K18" i="44"/>
  <c r="K15" i="44"/>
  <c r="L16" i="44"/>
  <c r="L18" i="44"/>
  <c r="L15" i="44"/>
  <c r="L17" i="44"/>
  <c r="M16" i="44"/>
  <c r="M18" i="44"/>
  <c r="M15" i="44"/>
  <c r="M17" i="44"/>
  <c r="K14" i="44"/>
  <c r="K13" i="44"/>
  <c r="J13" i="44"/>
  <c r="L14" i="44"/>
  <c r="L13" i="44"/>
  <c r="M13" i="44"/>
  <c r="M14" i="44"/>
  <c r="F107" i="42"/>
  <c r="F106" i="42"/>
  <c r="F99" i="42"/>
  <c r="F95" i="42"/>
  <c r="F94" i="42"/>
  <c r="F93" i="42"/>
  <c r="F87" i="42"/>
  <c r="F85" i="42"/>
  <c r="F84" i="42"/>
  <c r="F83" i="42"/>
  <c r="F82" i="42"/>
  <c r="F81" i="42"/>
  <c r="F80" i="42"/>
  <c r="F79" i="42"/>
  <c r="F78" i="42"/>
  <c r="F77" i="42"/>
  <c r="S42" i="53"/>
  <c r="R22" i="53"/>
  <c r="M42" i="53"/>
  <c r="L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M108" i="2"/>
  <c r="C31" i="4"/>
  <c r="S9" i="54"/>
  <c r="M12" i="2"/>
  <c r="M14" i="42"/>
  <c r="O14" i="42"/>
  <c r="Q14" i="42"/>
  <c r="S14" i="42"/>
  <c r="N14" i="42"/>
  <c r="P14" i="42"/>
  <c r="R14" i="42"/>
  <c r="J91" i="42"/>
  <c r="J75" i="42"/>
  <c r="J61" i="42"/>
  <c r="L91" i="42"/>
  <c r="L75" i="42"/>
  <c r="N91" i="42"/>
  <c r="N75" i="42"/>
  <c r="N61" i="42"/>
  <c r="N70" i="42" s="1"/>
  <c r="P91" i="42"/>
  <c r="P75" i="42"/>
  <c r="R91" i="42"/>
  <c r="R75" i="42"/>
  <c r="K61" i="42"/>
  <c r="K70" i="42" s="1"/>
  <c r="K75" i="42"/>
  <c r="O75" i="42"/>
  <c r="Q75" i="42"/>
  <c r="S75" i="42"/>
  <c r="K91" i="42"/>
  <c r="M91" i="42"/>
  <c r="O91" i="42"/>
  <c r="Q91" i="42"/>
  <c r="S91" i="42"/>
  <c r="M22" i="53"/>
  <c r="J34" i="53"/>
  <c r="L34" i="53"/>
  <c r="N34" i="53"/>
  <c r="R34" i="53"/>
  <c r="L42" i="53"/>
  <c r="N42" i="53"/>
  <c r="R42" i="53"/>
  <c r="M34" i="53"/>
  <c r="O34" i="53"/>
  <c r="S34" i="53"/>
  <c r="M47" i="2"/>
  <c r="Q60" i="2"/>
  <c r="L60" i="2"/>
  <c r="L47" i="2"/>
  <c r="L108" i="2"/>
  <c r="P60" i="2"/>
  <c r="P73" i="2"/>
  <c r="T73" i="2"/>
  <c r="J60" i="2"/>
  <c r="J108" i="2"/>
  <c r="J47" i="2"/>
  <c r="Q73" i="2"/>
  <c r="O73" i="2"/>
  <c r="M73" i="2"/>
  <c r="J71" i="42" a="1"/>
  <c r="J71" i="42"/>
  <c r="K71" i="42" a="1"/>
  <c r="K71" i="42"/>
  <c r="K105" i="42"/>
  <c r="K106" i="42"/>
  <c r="K107" i="42"/>
  <c r="L106" i="42"/>
  <c r="L107" i="42"/>
  <c r="L105" i="42"/>
  <c r="J105" i="42"/>
  <c r="J106" i="42"/>
  <c r="J107" i="42"/>
  <c r="P47" i="2"/>
  <c r="Q47" i="2"/>
  <c r="T47" i="2"/>
  <c r="C50" i="42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7" i="42"/>
  <c r="E107" i="42"/>
  <c r="F17" i="42"/>
  <c r="F15" i="42"/>
  <c r="F54" i="42"/>
  <c r="F52" i="42"/>
  <c r="C78" i="42"/>
  <c r="C79" i="42"/>
  <c r="C80" i="42"/>
  <c r="C81" i="42"/>
  <c r="C82" i="42"/>
  <c r="C83" i="42"/>
  <c r="C84" i="42"/>
  <c r="C85" i="42"/>
  <c r="C93" i="42"/>
  <c r="F13" i="44"/>
  <c r="E54" i="42"/>
  <c r="F33" i="42"/>
  <c r="E52" i="42"/>
  <c r="F13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B2" i="55"/>
  <c r="S11" i="54"/>
  <c r="S14" i="54"/>
  <c r="G15" i="16"/>
  <c r="G16" i="16"/>
  <c r="B1" i="55"/>
  <c r="E12" i="2"/>
  <c r="O64" i="42"/>
  <c r="O65" i="42" s="1" a="1"/>
  <c r="O65" i="42" s="1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D13" i="16"/>
  <c r="D16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N71" i="42" a="1"/>
  <c r="N71" i="42"/>
  <c r="T15" i="44"/>
  <c r="T16" i="44"/>
  <c r="T17" i="44"/>
  <c r="T14" i="44"/>
  <c r="L31" i="42"/>
  <c r="P31" i="42"/>
  <c r="O35" i="42"/>
  <c r="P35" i="42"/>
  <c r="P33" i="42"/>
  <c r="L35" i="42"/>
  <c r="L33" i="42"/>
  <c r="M105" i="42"/>
  <c r="M106" i="42"/>
  <c r="M107" i="42"/>
  <c r="L14" i="42"/>
  <c r="O31" i="42"/>
  <c r="M31" i="42"/>
  <c r="O33" i="42"/>
  <c r="N106" i="42"/>
  <c r="N107" i="42"/>
  <c r="T105" i="42"/>
  <c r="T13" i="44"/>
  <c r="T106" i="42"/>
  <c r="N105" i="42"/>
  <c r="T107" i="42"/>
  <c r="L47" i="58"/>
  <c r="L12" i="42" s="1"/>
  <c r="K47" i="58"/>
  <c r="J47" i="58"/>
  <c r="L57" i="58"/>
  <c r="L19" i="42" s="1"/>
  <c r="K57" i="58"/>
  <c r="K12" i="42"/>
  <c r="K19" i="42"/>
  <c r="J57" i="58"/>
  <c r="M47" i="58"/>
  <c r="M57" i="58"/>
  <c r="V57" i="58"/>
  <c r="S1" i="58" s="1"/>
  <c r="G12" i="16" s="1"/>
  <c r="C98" i="2" l="1"/>
  <c r="R65" i="42" a="1"/>
  <c r="R65" i="42" s="1"/>
  <c r="G70" i="55"/>
  <c r="O12" i="2" s="1"/>
  <c r="Q108" i="2"/>
  <c r="Q65" i="42" a="1"/>
  <c r="Q65" i="42" s="1"/>
  <c r="T20" i="42"/>
  <c r="O61" i="58"/>
  <c r="O10" i="58"/>
  <c r="O34" i="58"/>
  <c r="T68" i="42" a="1"/>
  <c r="T68" i="42" s="1"/>
  <c r="T65" i="42" a="1"/>
  <c r="T65" i="42" s="1"/>
  <c r="T62" i="42" a="1"/>
  <c r="T62" i="42" s="1"/>
  <c r="T61" i="42"/>
  <c r="T70" i="42" s="1"/>
  <c r="T71" i="42" a="1"/>
  <c r="T71" i="42" s="1"/>
  <c r="P38" i="53"/>
  <c r="P42" i="53" s="1"/>
  <c r="P10" i="53"/>
  <c r="P22" i="53" s="1"/>
  <c r="P26" i="53"/>
  <c r="P34" i="53" s="1"/>
  <c r="O68" i="42" a="1"/>
  <c r="O68" i="42" s="1"/>
  <c r="J70" i="42"/>
  <c r="N95" i="2"/>
  <c r="N64" i="2"/>
  <c r="N73" i="2" s="1"/>
  <c r="N24" i="2"/>
  <c r="N104" i="2"/>
  <c r="N108" i="2" s="1"/>
  <c r="N75" i="2"/>
  <c r="N14" i="2"/>
  <c r="N10" i="2"/>
  <c r="N12" i="2" s="1"/>
  <c r="N49" i="2"/>
  <c r="N60" i="2" s="1"/>
  <c r="N36" i="2"/>
  <c r="N47" i="2" s="1"/>
  <c r="N15" i="44"/>
  <c r="N17" i="44"/>
  <c r="N16" i="44"/>
  <c r="N14" i="44"/>
  <c r="P10" i="58"/>
  <c r="P34" i="58"/>
  <c r="P61" i="58"/>
  <c r="P28" i="42" s="1"/>
  <c r="K26" i="53"/>
  <c r="K34" i="53" s="1"/>
  <c r="K10" i="53"/>
  <c r="K22" i="53" s="1"/>
  <c r="S65" i="42" a="1"/>
  <c r="S65" i="42" s="1"/>
  <c r="N13" i="44"/>
  <c r="K38" i="53"/>
  <c r="K42" i="53" s="1"/>
  <c r="W42" i="53" s="1"/>
  <c r="J12" i="2"/>
  <c r="U100" i="2"/>
  <c r="U97" i="2"/>
  <c r="U99" i="2"/>
  <c r="J28" i="42"/>
  <c r="Q97" i="2"/>
  <c r="P61" i="42" s="1"/>
  <c r="P70" i="42" s="1"/>
  <c r="Q100" i="2"/>
  <c r="Q99" i="2"/>
  <c r="Q98" i="2"/>
  <c r="P68" i="42" a="1"/>
  <c r="P68" i="42" s="1"/>
  <c r="S1" i="54"/>
  <c r="G10" i="16" s="1"/>
  <c r="K61" i="58"/>
  <c r="K28" i="42" s="1"/>
  <c r="K10" i="58"/>
  <c r="S61" i="58"/>
  <c r="S28" i="42" s="1"/>
  <c r="S10" i="58"/>
  <c r="R95" i="2"/>
  <c r="R64" i="2"/>
  <c r="R73" i="2" s="1"/>
  <c r="R24" i="2"/>
  <c r="R104" i="2"/>
  <c r="R108" i="2" s="1"/>
  <c r="R75" i="2"/>
  <c r="R14" i="2"/>
  <c r="R36" i="2"/>
  <c r="R47" i="2" s="1"/>
  <c r="Q68" i="42" a="1"/>
  <c r="Q68" i="42" s="1"/>
  <c r="L10" i="58"/>
  <c r="L34" i="58"/>
  <c r="L61" i="58"/>
  <c r="L28" i="42" s="1"/>
  <c r="K10" i="2"/>
  <c r="K14" i="2"/>
  <c r="K24" i="2"/>
  <c r="K64" i="2"/>
  <c r="K73" i="2" s="1"/>
  <c r="K104" i="2"/>
  <c r="K108" i="2" s="1"/>
  <c r="K36" i="2"/>
  <c r="K47" i="2" s="1"/>
  <c r="K75" i="2"/>
  <c r="K49" i="2"/>
  <c r="K60" i="2" s="1"/>
  <c r="K95" i="2"/>
  <c r="X93" i="2"/>
  <c r="G67" i="55"/>
  <c r="T67" i="55"/>
  <c r="L68" i="42" a="1"/>
  <c r="L68" i="42" s="1"/>
  <c r="L61" i="42"/>
  <c r="L70" i="42" s="1"/>
  <c r="L71" i="42" a="1"/>
  <c r="L71" i="42" s="1"/>
  <c r="L65" i="42" a="1"/>
  <c r="L65" i="42" s="1"/>
  <c r="L62" i="42" a="1"/>
  <c r="L62" i="42" s="1"/>
  <c r="M103" i="42"/>
  <c r="M40" i="42"/>
  <c r="M75" i="42"/>
  <c r="M35" i="42"/>
  <c r="M16" i="42"/>
  <c r="M33" i="42"/>
  <c r="M23" i="42"/>
  <c r="M46" i="42"/>
  <c r="M21" i="42"/>
  <c r="M37" i="42"/>
  <c r="M58" i="42"/>
  <c r="M19" i="42"/>
  <c r="M10" i="42"/>
  <c r="M49" i="42"/>
  <c r="S68" i="42" a="1"/>
  <c r="S68" i="42" s="1"/>
  <c r="T13" i="42"/>
  <c r="R68" i="42" a="1"/>
  <c r="R68" i="42" s="1"/>
  <c r="P65" i="42" a="1"/>
  <c r="P65" i="42" s="1"/>
  <c r="M98" i="2"/>
  <c r="M100" i="2"/>
  <c r="J100" i="2"/>
  <c r="J99" i="2"/>
  <c r="S104" i="2"/>
  <c r="S108" i="2" s="1"/>
  <c r="O49" i="2"/>
  <c r="O60" i="2" s="1"/>
  <c r="S75" i="2"/>
  <c r="O95" i="2"/>
  <c r="S95" i="2"/>
  <c r="C99" i="2"/>
  <c r="U36" i="2"/>
  <c r="U47" i="2" s="1"/>
  <c r="J62" i="42" a="1"/>
  <c r="J62" i="42" s="1"/>
  <c r="T26" i="53"/>
  <c r="T34" i="53" s="1"/>
  <c r="J14" i="44"/>
  <c r="O104" i="2"/>
  <c r="O108" i="2" s="1"/>
  <c r="L10" i="2"/>
  <c r="L12" i="2" s="1"/>
  <c r="M10" i="58"/>
  <c r="M28" i="42" s="1"/>
  <c r="Q61" i="58"/>
  <c r="Q28" i="42" s="1"/>
  <c r="L95" i="2"/>
  <c r="P95" i="2"/>
  <c r="T95" i="2"/>
  <c r="O24" i="2"/>
  <c r="S14" i="2"/>
  <c r="U64" i="2"/>
  <c r="U73" i="2" s="1"/>
  <c r="Q10" i="53"/>
  <c r="Q22" i="53" s="1"/>
  <c r="T104" i="2"/>
  <c r="T108" i="2" s="1"/>
  <c r="P24" i="2"/>
  <c r="T10" i="2"/>
  <c r="T12" i="2" s="1"/>
  <c r="L75" i="2"/>
  <c r="O14" i="2"/>
  <c r="K16" i="44"/>
  <c r="J18" i="44"/>
  <c r="O36" i="2"/>
  <c r="O47" i="2" s="1"/>
  <c r="Q26" i="53"/>
  <c r="Q34" i="53" s="1"/>
  <c r="P104" i="2"/>
  <c r="P108" i="2" s="1"/>
  <c r="L24" i="2"/>
  <c r="T14" i="2"/>
  <c r="L64" i="2"/>
  <c r="L73" i="2" s="1"/>
  <c r="U49" i="2"/>
  <c r="U60" i="2" s="1"/>
  <c r="S49" i="2"/>
  <c r="S60" i="2" s="1"/>
  <c r="T49" i="2"/>
  <c r="T60" i="2" s="1"/>
  <c r="W22" i="53" l="1"/>
  <c r="G69" i="55"/>
  <c r="T69" i="55"/>
  <c r="T1" i="55" s="1"/>
  <c r="G11" i="16" s="1"/>
  <c r="X60" i="2"/>
  <c r="L97" i="2"/>
  <c r="L99" i="2"/>
  <c r="L100" i="2"/>
  <c r="L98" i="2"/>
  <c r="O28" i="42"/>
  <c r="K99" i="2"/>
  <c r="K98" i="2"/>
  <c r="K97" i="2"/>
  <c r="K100" i="2"/>
  <c r="C16" i="2" a="1"/>
  <c r="K12" i="2"/>
  <c r="C26" i="2" a="1"/>
  <c r="W34" i="53"/>
  <c r="P100" i="2"/>
  <c r="P99" i="2"/>
  <c r="P98" i="2"/>
  <c r="P97" i="2"/>
  <c r="O61" i="42" s="1"/>
  <c r="O70" i="42" s="1"/>
  <c r="S99" i="2"/>
  <c r="S98" i="2"/>
  <c r="S97" i="2"/>
  <c r="R61" i="42" s="1"/>
  <c r="R70" i="42" s="1"/>
  <c r="S100" i="2"/>
  <c r="X47" i="2"/>
  <c r="N98" i="2"/>
  <c r="N99" i="2"/>
  <c r="N100" i="2"/>
  <c r="N97" i="2"/>
  <c r="O100" i="2"/>
  <c r="O98" i="2"/>
  <c r="O99" i="2"/>
  <c r="O97" i="2"/>
  <c r="M62" i="42" a="1"/>
  <c r="M62" i="42" s="1"/>
  <c r="M61" i="42"/>
  <c r="M65" i="42" a="1"/>
  <c r="M65" i="42" s="1"/>
  <c r="M68" i="42" a="1"/>
  <c r="M68" i="42" s="1"/>
  <c r="M71" i="42" a="1"/>
  <c r="M71" i="42" s="1"/>
  <c r="X108" i="2"/>
  <c r="R99" i="2"/>
  <c r="R97" i="2"/>
  <c r="Q61" i="42" s="1"/>
  <c r="Q70" i="42" s="1"/>
  <c r="R98" i="2"/>
  <c r="R100" i="2"/>
  <c r="T98" i="2"/>
  <c r="T99" i="2"/>
  <c r="T100" i="2"/>
  <c r="T97" i="2"/>
  <c r="S61" i="42" s="1"/>
  <c r="S70" i="42" s="1"/>
  <c r="X73" i="2"/>
  <c r="S1" i="53" l="1"/>
  <c r="G14" i="16" s="1"/>
  <c r="T1" i="2"/>
  <c r="G13" i="16" s="1"/>
  <c r="S62" i="42" a="1"/>
  <c r="S62" i="42" s="1"/>
  <c r="C31" i="2"/>
  <c r="C27" i="2"/>
  <c r="C26" i="2"/>
  <c r="C29" i="2"/>
  <c r="C32" i="2"/>
  <c r="C30" i="2"/>
  <c r="C28" i="2"/>
  <c r="M70" i="42"/>
  <c r="O62" i="42" a="1"/>
  <c r="O62" i="42" s="1"/>
  <c r="R62" i="42" a="1"/>
  <c r="R62" i="42" s="1"/>
  <c r="P62" i="42" a="1"/>
  <c r="P62" i="42" s="1"/>
  <c r="C16" i="2"/>
  <c r="C17" i="2"/>
  <c r="C18" i="2"/>
  <c r="C21" i="2"/>
  <c r="C19" i="2"/>
  <c r="C20" i="2"/>
  <c r="C22" i="2"/>
  <c r="Q62" i="42" a="1"/>
  <c r="Q62" i="42" s="1"/>
  <c r="S1" i="16" l="1"/>
  <c r="V1" i="53" s="1"/>
  <c r="Q27" i="2"/>
  <c r="T27" i="2"/>
  <c r="E27" i="2"/>
  <c r="D27" i="2"/>
  <c r="S27" i="2"/>
  <c r="P27" i="2"/>
  <c r="R27" i="2"/>
  <c r="O21" i="2"/>
  <c r="O29" i="42" s="1"/>
  <c r="E21" i="2"/>
  <c r="D21" i="2"/>
  <c r="P21" i="2"/>
  <c r="E31" i="2"/>
  <c r="T31" i="2"/>
  <c r="D31" i="2"/>
  <c r="Q31" i="2"/>
  <c r="S31" i="2"/>
  <c r="R31" i="2"/>
  <c r="P31" i="2"/>
  <c r="D18" i="2"/>
  <c r="L18" i="2"/>
  <c r="M18" i="2" s="1"/>
  <c r="M28" i="2" s="1"/>
  <c r="P18" i="2"/>
  <c r="E18" i="2"/>
  <c r="P17" i="2"/>
  <c r="K17" i="2"/>
  <c r="K27" i="2" s="1"/>
  <c r="E17" i="2"/>
  <c r="D17" i="2"/>
  <c r="Q28" i="2"/>
  <c r="T28" i="2"/>
  <c r="S28" i="2"/>
  <c r="E28" i="2"/>
  <c r="D28" i="2"/>
  <c r="P28" i="2"/>
  <c r="R28" i="2"/>
  <c r="J16" i="2"/>
  <c r="K16" i="2" s="1"/>
  <c r="N50" i="42"/>
  <c r="O41" i="42"/>
  <c r="K93" i="42"/>
  <c r="P16" i="2"/>
  <c r="L93" i="42"/>
  <c r="E16" i="2"/>
  <c r="N78" i="42"/>
  <c r="D16" i="2"/>
  <c r="L94" i="42"/>
  <c r="M96" i="42"/>
  <c r="N82" i="42"/>
  <c r="L97" i="42"/>
  <c r="T83" i="42"/>
  <c r="O82" i="42"/>
  <c r="J83" i="42"/>
  <c r="J82" i="42"/>
  <c r="J97" i="42"/>
  <c r="Q29" i="42"/>
  <c r="S71" i="42" a="1"/>
  <c r="S71" i="42" s="1"/>
  <c r="Q71" i="42" a="1"/>
  <c r="Q71" i="42" s="1"/>
  <c r="R71" i="42" a="1"/>
  <c r="R71" i="42" s="1"/>
  <c r="P71" i="42" a="1"/>
  <c r="P71" i="42" s="1"/>
  <c r="O71" i="42" a="1"/>
  <c r="O71" i="42" s="1"/>
  <c r="Q30" i="2"/>
  <c r="T30" i="2"/>
  <c r="E30" i="2"/>
  <c r="D30" i="2"/>
  <c r="S30" i="2"/>
  <c r="R30" i="2"/>
  <c r="P30" i="2"/>
  <c r="E19" i="2"/>
  <c r="P19" i="2"/>
  <c r="M19" i="2"/>
  <c r="N19" i="2" s="1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N30" i="2" s="1"/>
  <c r="D20" i="2"/>
  <c r="E20" i="2"/>
  <c r="P20" i="2"/>
  <c r="D26" i="2"/>
  <c r="E26" i="2"/>
  <c r="Q26" i="2"/>
  <c r="T26" i="2"/>
  <c r="S26" i="2"/>
  <c r="R26" i="2"/>
  <c r="P26" i="2"/>
  <c r="V1" i="54" l="1"/>
  <c r="X1" i="2"/>
  <c r="W1" i="44"/>
  <c r="W1" i="42"/>
  <c r="W1" i="55"/>
  <c r="V1" i="58"/>
  <c r="V1" i="4"/>
  <c r="P29" i="42"/>
  <c r="P97" i="42"/>
  <c r="P18" i="44" s="1"/>
  <c r="N47" i="42"/>
  <c r="J78" i="42"/>
  <c r="M82" i="42"/>
  <c r="J81" i="42"/>
  <c r="L50" i="42"/>
  <c r="L29" i="42"/>
  <c r="N83" i="42"/>
  <c r="O44" i="42"/>
  <c r="M94" i="42"/>
  <c r="J85" i="42"/>
  <c r="S94" i="42"/>
  <c r="S15" i="44" s="1"/>
  <c r="M29" i="42"/>
  <c r="Q97" i="42"/>
  <c r="Q18" i="44" s="1"/>
  <c r="K47" i="42"/>
  <c r="Q85" i="42"/>
  <c r="L41" i="42"/>
  <c r="M83" i="42"/>
  <c r="S82" i="42"/>
  <c r="L44" i="42"/>
  <c r="O78" i="42"/>
  <c r="T38" i="42"/>
  <c r="P96" i="42"/>
  <c r="P17" i="44" s="1"/>
  <c r="P47" i="42"/>
  <c r="R47" i="42"/>
  <c r="R50" i="42"/>
  <c r="N79" i="42"/>
  <c r="N84" i="42"/>
  <c r="S77" i="42"/>
  <c r="M38" i="42"/>
  <c r="R97" i="42"/>
  <c r="R18" i="44" s="1"/>
  <c r="J44" i="42"/>
  <c r="S50" i="42"/>
  <c r="S97" i="42"/>
  <c r="S18" i="44" s="1"/>
  <c r="K44" i="42"/>
  <c r="L82" i="42"/>
  <c r="L96" i="42"/>
  <c r="M78" i="42"/>
  <c r="T85" i="42"/>
  <c r="L78" i="42"/>
  <c r="P93" i="42"/>
  <c r="S38" i="42"/>
  <c r="S29" i="42"/>
  <c r="T97" i="42"/>
  <c r="N29" i="42"/>
  <c r="R44" i="42"/>
  <c r="S44" i="42"/>
  <c r="Q82" i="42"/>
  <c r="R82" i="42"/>
  <c r="R94" i="42"/>
  <c r="R15" i="44" s="1"/>
  <c r="S79" i="42"/>
  <c r="K94" i="42"/>
  <c r="T96" i="42"/>
  <c r="S84" i="42"/>
  <c r="R77" i="42"/>
  <c r="O96" i="42"/>
  <c r="O17" i="44" s="1"/>
  <c r="P85" i="42"/>
  <c r="M47" i="42"/>
  <c r="M41" i="42"/>
  <c r="Q44" i="42"/>
  <c r="M97" i="42"/>
  <c r="R29" i="42"/>
  <c r="N44" i="42"/>
  <c r="K97" i="42"/>
  <c r="K83" i="42"/>
  <c r="N81" i="42"/>
  <c r="J93" i="42"/>
  <c r="Q79" i="42"/>
  <c r="Q77" i="42"/>
  <c r="R79" i="42"/>
  <c r="O85" i="42"/>
  <c r="S78" i="42"/>
  <c r="R96" i="42"/>
  <c r="R17" i="44" s="1"/>
  <c r="K29" i="42"/>
  <c r="M50" i="42"/>
  <c r="L83" i="42"/>
  <c r="P82" i="42"/>
  <c r="M44" i="42"/>
  <c r="S83" i="42"/>
  <c r="O97" i="42"/>
  <c r="O18" i="44" s="1"/>
  <c r="P44" i="42"/>
  <c r="N94" i="42"/>
  <c r="Q94" i="42"/>
  <c r="Q15" i="44" s="1"/>
  <c r="K81" i="42"/>
  <c r="N95" i="42"/>
  <c r="K38" i="42"/>
  <c r="Q84" i="42"/>
  <c r="Q38" i="42"/>
  <c r="J29" i="42"/>
  <c r="T29" i="42"/>
  <c r="Q47" i="42"/>
  <c r="J47" i="42"/>
  <c r="N97" i="42"/>
  <c r="R83" i="42"/>
  <c r="O83" i="42"/>
  <c r="P83" i="42"/>
  <c r="K96" i="42"/>
  <c r="T47" i="42"/>
  <c r="N41" i="42"/>
  <c r="J77" i="42"/>
  <c r="N77" i="42"/>
  <c r="S80" i="42"/>
  <c r="O95" i="42"/>
  <c r="O16" i="44" s="1"/>
  <c r="T78" i="42"/>
  <c r="P94" i="42"/>
  <c r="P15" i="44" s="1"/>
  <c r="O79" i="42"/>
  <c r="J17" i="2"/>
  <c r="J27" i="2" s="1"/>
  <c r="M20" i="2"/>
  <c r="L20" i="2" s="1"/>
  <c r="L19" i="2"/>
  <c r="K19" i="2" s="1"/>
  <c r="K29" i="2" s="1"/>
  <c r="K80" i="42"/>
  <c r="S96" i="42"/>
  <c r="S17" i="44" s="1"/>
  <c r="N93" i="42"/>
  <c r="L80" i="42"/>
  <c r="N96" i="42"/>
  <c r="M79" i="42"/>
  <c r="S93" i="42"/>
  <c r="T41" i="42"/>
  <c r="M84" i="42"/>
  <c r="R41" i="42"/>
  <c r="T50" i="42"/>
  <c r="L47" i="42"/>
  <c r="R93" i="42"/>
  <c r="R14" i="44" s="1"/>
  <c r="P80" i="42"/>
  <c r="R81" i="42"/>
  <c r="S85" i="42"/>
  <c r="K50" i="42"/>
  <c r="Q95" i="42"/>
  <c r="Q16" i="44" s="1"/>
  <c r="O50" i="42"/>
  <c r="T79" i="42"/>
  <c r="Q80" i="42"/>
  <c r="K95" i="42"/>
  <c r="K99" i="42" s="1"/>
  <c r="K78" i="42"/>
  <c r="T82" i="42"/>
  <c r="N85" i="42"/>
  <c r="S47" i="42"/>
  <c r="M93" i="42"/>
  <c r="K84" i="42"/>
  <c r="M95" i="42"/>
  <c r="L85" i="42"/>
  <c r="O77" i="42"/>
  <c r="Q78" i="42"/>
  <c r="Q50" i="42"/>
  <c r="P79" i="42"/>
  <c r="R80" i="42"/>
  <c r="P77" i="42"/>
  <c r="O93" i="42"/>
  <c r="J38" i="42"/>
  <c r="S81" i="42"/>
  <c r="N80" i="42"/>
  <c r="Q96" i="42"/>
  <c r="Q17" i="44" s="1"/>
  <c r="J96" i="42"/>
  <c r="T77" i="42"/>
  <c r="S95" i="42"/>
  <c r="S16" i="44" s="1"/>
  <c r="O47" i="42"/>
  <c r="M77" i="42"/>
  <c r="J80" i="42"/>
  <c r="T44" i="42"/>
  <c r="T84" i="42"/>
  <c r="L81" i="42"/>
  <c r="L77" i="42"/>
  <c r="R38" i="42"/>
  <c r="P81" i="42"/>
  <c r="O38" i="42"/>
  <c r="P41" i="42"/>
  <c r="P78" i="42"/>
  <c r="O80" i="42"/>
  <c r="R78" i="42"/>
  <c r="O31" i="2"/>
  <c r="N20" i="42" s="1"/>
  <c r="J26" i="2"/>
  <c r="T81" i="42"/>
  <c r="J94" i="42"/>
  <c r="O94" i="42"/>
  <c r="O15" i="44" s="1"/>
  <c r="K82" i="42"/>
  <c r="R85" i="42"/>
  <c r="Q93" i="42"/>
  <c r="Q14" i="44" s="1"/>
  <c r="J79" i="42"/>
  <c r="L79" i="42"/>
  <c r="K41" i="42"/>
  <c r="M85" i="42"/>
  <c r="T95" i="42"/>
  <c r="K79" i="42"/>
  <c r="T93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L95" i="42"/>
  <c r="K77" i="42"/>
  <c r="J95" i="42"/>
  <c r="K85" i="42"/>
  <c r="P95" i="42"/>
  <c r="P16" i="44" s="1"/>
  <c r="R95" i="42"/>
  <c r="R16" i="44" s="1"/>
  <c r="N38" i="42"/>
  <c r="S41" i="42"/>
  <c r="J50" i="42"/>
  <c r="T94" i="42"/>
  <c r="P38" i="42"/>
  <c r="J41" i="42"/>
  <c r="P84" i="42"/>
  <c r="K18" i="2"/>
  <c r="J18" i="2" s="1"/>
  <c r="J28" i="2" s="1"/>
  <c r="L28" i="2"/>
  <c r="K26" i="2"/>
  <c r="L16" i="2"/>
  <c r="O20" i="2"/>
  <c r="O30" i="2" s="1"/>
  <c r="M29" i="2"/>
  <c r="L17" i="2"/>
  <c r="L30" i="2"/>
  <c r="K20" i="2"/>
  <c r="N29" i="2"/>
  <c r="O19" i="2"/>
  <c r="O29" i="2" s="1"/>
  <c r="N13" i="42"/>
  <c r="N26" i="42" s="1"/>
  <c r="R13" i="42"/>
  <c r="R26" i="42" s="1"/>
  <c r="R20" i="42"/>
  <c r="L29" i="2"/>
  <c r="P20" i="42"/>
  <c r="P13" i="42"/>
  <c r="P26" i="42" s="1"/>
  <c r="N18" i="2"/>
  <c r="M30" i="2"/>
  <c r="O20" i="42"/>
  <c r="O13" i="42"/>
  <c r="O26" i="42" s="1"/>
  <c r="S13" i="42"/>
  <c r="S26" i="42" s="1"/>
  <c r="S20" i="42"/>
  <c r="N21" i="2"/>
  <c r="R99" i="42"/>
  <c r="S14" i="44"/>
  <c r="P14" i="44"/>
  <c r="Q20" i="42"/>
  <c r="Q13" i="42"/>
  <c r="Q26" i="42" s="1"/>
  <c r="P52" i="42"/>
  <c r="P54" i="42" s="1"/>
  <c r="L52" i="42" l="1"/>
  <c r="L54" i="42" s="1"/>
  <c r="O99" i="42"/>
  <c r="N99" i="42"/>
  <c r="R52" i="42"/>
  <c r="R54" i="42" s="1"/>
  <c r="M52" i="42"/>
  <c r="M54" i="42" s="1"/>
  <c r="N87" i="42"/>
  <c r="S87" i="42"/>
  <c r="Q52" i="42"/>
  <c r="Q54" i="42" s="1"/>
  <c r="Q99" i="42"/>
  <c r="S99" i="42"/>
  <c r="T99" i="42"/>
  <c r="K52" i="42"/>
  <c r="K54" i="42" s="1"/>
  <c r="L99" i="42"/>
  <c r="J19" i="2"/>
  <c r="J29" i="2" s="1"/>
  <c r="Q87" i="42"/>
  <c r="S52" i="42"/>
  <c r="S54" i="42" s="1"/>
  <c r="O87" i="42"/>
  <c r="J99" i="42"/>
  <c r="O52" i="42"/>
  <c r="O54" i="42" s="1"/>
  <c r="J52" i="42"/>
  <c r="J54" i="42" s="1"/>
  <c r="M99" i="42"/>
  <c r="O14" i="44"/>
  <c r="M87" i="42"/>
  <c r="J87" i="42"/>
  <c r="L87" i="42"/>
  <c r="K87" i="42"/>
  <c r="P87" i="42"/>
  <c r="T87" i="42"/>
  <c r="R87" i="42"/>
  <c r="P99" i="42"/>
  <c r="K28" i="2"/>
  <c r="M17" i="2"/>
  <c r="L27" i="2"/>
  <c r="M16" i="2"/>
  <c r="L26" i="2"/>
  <c r="K30" i="2"/>
  <c r="J20" i="2"/>
  <c r="J30" i="2" s="1"/>
  <c r="N28" i="2"/>
  <c r="O18" i="2"/>
  <c r="O28" i="2" s="1"/>
  <c r="M21" i="2"/>
  <c r="N31" i="2"/>
  <c r="N16" i="2" l="1"/>
  <c r="M26" i="2"/>
  <c r="M27" i="2"/>
  <c r="N17" i="2"/>
  <c r="M13" i="42"/>
  <c r="M26" i="42" s="1"/>
  <c r="M20" i="42"/>
  <c r="L21" i="2"/>
  <c r="M31" i="2"/>
  <c r="O17" i="2" l="1"/>
  <c r="O27" i="2" s="1"/>
  <c r="N27" i="2"/>
  <c r="N26" i="2"/>
  <c r="O16" i="2"/>
  <c r="K21" i="2"/>
  <c r="L31" i="2"/>
  <c r="L13" i="42"/>
  <c r="L26" i="42" s="1"/>
  <c r="L20" i="42"/>
  <c r="Q24" i="42" l="1"/>
  <c r="N22" i="42"/>
  <c r="O17" i="42"/>
  <c r="K15" i="42"/>
  <c r="P22" i="42"/>
  <c r="T17" i="42"/>
  <c r="N17" i="42"/>
  <c r="R15" i="42"/>
  <c r="P15" i="42"/>
  <c r="M15" i="42"/>
  <c r="O15" i="42"/>
  <c r="P24" i="42"/>
  <c r="J22" i="42"/>
  <c r="R22" i="42"/>
  <c r="S24" i="42"/>
  <c r="J24" i="42"/>
  <c r="L15" i="42"/>
  <c r="N15" i="42"/>
  <c r="O22" i="42"/>
  <c r="M17" i="42"/>
  <c r="J15" i="42"/>
  <c r="P17" i="42"/>
  <c r="S15" i="42"/>
  <c r="T22" i="42"/>
  <c r="S22" i="42"/>
  <c r="O26" i="2"/>
  <c r="J17" i="42"/>
  <c r="Q22" i="42"/>
  <c r="S17" i="42"/>
  <c r="T15" i="42"/>
  <c r="M24" i="42"/>
  <c r="M22" i="42"/>
  <c r="Q17" i="42"/>
  <c r="L22" i="42"/>
  <c r="K22" i="42"/>
  <c r="O24" i="42"/>
  <c r="L24" i="42"/>
  <c r="Q15" i="42"/>
  <c r="K24" i="42"/>
  <c r="L17" i="42"/>
  <c r="T24" i="42"/>
  <c r="K17" i="42"/>
  <c r="R17" i="42"/>
  <c r="N24" i="42"/>
  <c r="R24" i="42"/>
  <c r="K13" i="42"/>
  <c r="K26" i="42" s="1"/>
  <c r="K20" i="42"/>
  <c r="J21" i="2"/>
  <c r="J31" i="2" s="1"/>
  <c r="K31" i="2"/>
  <c r="N31" i="42" l="1"/>
  <c r="J13" i="42"/>
  <c r="J26" i="42" s="1"/>
  <c r="J20" i="42"/>
  <c r="N35" i="42" s="1"/>
  <c r="N33" i="42" l="1"/>
  <c r="N52" i="42" l="1"/>
  <c r="N54" i="42" l="1"/>
  <c r="O106" i="42" l="1"/>
  <c r="O107" i="42" s="1"/>
  <c r="Q106" i="42"/>
  <c r="Q107" i="42" s="1"/>
  <c r="P106" i="42"/>
  <c r="P107" i="42" s="1"/>
  <c r="O105" i="42"/>
  <c r="O13" i="44" s="1"/>
  <c r="R106" i="42"/>
  <c r="R107" i="42" s="1"/>
  <c r="Q105" i="42"/>
  <c r="Q13" i="44" s="1"/>
  <c r="P105" i="42"/>
  <c r="P13" i="44" s="1"/>
  <c r="S106" i="42"/>
  <c r="S107" i="42" s="1"/>
  <c r="R105" i="42"/>
  <c r="R13" i="44" s="1"/>
  <c r="S105" i="42"/>
  <c r="S13" i="44" s="1"/>
</calcChain>
</file>

<file path=xl/sharedStrings.xml><?xml version="1.0" encoding="utf-8"?>
<sst xmlns="http://schemas.openxmlformats.org/spreadsheetml/2006/main" count="720" uniqueCount="210">
  <si>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</si>
  <si>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</si>
  <si>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</si>
  <si>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</si>
  <si>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</si>
  <si>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</si>
  <si>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</si>
  <si>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</si>
  <si>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</si>
  <si>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</si>
  <si>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</si>
  <si>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</si>
  <si>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</si>
  <si>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</si>
  <si>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</si>
  <si>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</si>
  <si>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</si>
  <si>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</si>
  <si>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</si>
  <si>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</si>
  <si>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</si>
  <si>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</si>
  <si>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</si>
  <si>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</si>
  <si>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</si>
  <si>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</si>
  <si>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</si>
  <si>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</si>
  <si>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</si>
  <si>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</si>
  <si>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</si>
  <si>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</si>
  <si>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</si>
  <si>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</si>
  <si>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</si>
  <si>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</si>
  <si>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</si>
  <si>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</si>
  <si>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</si>
  <si>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</si>
  <si>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</si>
  <si>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</si>
  <si>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</si>
  <si>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</si>
  <si>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</si>
  <si>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</si>
  <si>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</si>
  <si>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</si>
  <si>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</si>
  <si>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</si>
  <si>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</si>
  <si>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</si>
  <si>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</si>
  <si>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</si>
  <si>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</si>
  <si>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</si>
  <si>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</si>
  <si>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</si>
  <si>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</si>
  <si>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</si>
  <si>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</si>
  <si>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</si>
  <si>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</si>
  <si>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</si>
  <si>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</si>
  <si>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</si>
  <si>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</si>
  <si>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</si>
  <si>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</si>
  <si>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</si>
  <si>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</si>
  <si>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</si>
  <si>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</si>
  <si>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</si>
  <si>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</si>
  <si>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</si>
  <si>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</si>
  <si>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</si>
  <si>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</si>
  <si>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</si>
  <si>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</si>
  <si>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</si>
  <si>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</si>
  <si>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</si>
  <si>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</si>
  <si>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</si>
  <si>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</si>
  <si>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</si>
  <si>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</si>
  <si>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</si>
  <si>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</si>
  <si>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</si>
  <si>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</si>
  <si>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</si>
  <si>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</si>
  <si>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</si>
  <si>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</si>
  <si>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</si>
  <si>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</si>
  <si>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</si>
  <si>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</si>
  <si>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</si>
  <si>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</si>
  <si>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</si>
  <si>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</si>
  <si>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</si>
  <si>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</si>
  <si>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</si>
  <si>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</si>
  <si>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</si>
  <si>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</si>
  <si>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</si>
  <si>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</si>
  <si>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</si>
  <si>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</si>
  <si>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</si>
  <si>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</si>
  <si>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</si>
  <si>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</si>
  <si>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</si>
  <si>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</si>
  <si>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</si>
  <si>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</si>
  <si>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</si>
  <si>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</si>
  <si>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</si>
  <si>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</si>
  <si>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</si>
  <si>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</si>
  <si>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</si>
  <si>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</si>
  <si>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</si>
  <si>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</si>
  <si>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</si>
  <si>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</si>
  <si>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</si>
  <si>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</si>
  <si>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</si>
  <si>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</si>
  <si>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</si>
  <si>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</si>
  <si>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</si>
  <si>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</si>
  <si>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</si>
  <si>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</si>
  <si>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</si>
  <si>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</si>
  <si>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</si>
  <si>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</si>
  <si>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</si>
  <si>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</si>
  <si>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</si>
  <si>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</si>
  <si>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</si>
  <si>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</si>
  <si>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</si>
  <si>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</si>
  <si>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</si>
  <si>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</si>
  <si>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</si>
  <si>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</si>
  <si>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</si>
  <si>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</si>
  <si>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</si>
  <si>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</si>
  <si>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</si>
  <si>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</si>
  <si>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</si>
  <si>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</si>
  <si>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</si>
  <si>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</si>
  <si>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</si>
  <si>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</si>
  <si>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</si>
  <si>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</si>
  <si>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</si>
  <si>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</si>
  <si>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</si>
  <si>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</si>
  <si>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Previous period year 0</t>
  </si>
  <si>
    <t>Adjustments can be postive or negative.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</si>
  <si>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</si>
  <si>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</si>
  <si>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</si>
  <si>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</si>
  <si>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</si>
  <si>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</si>
  <si>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</si>
  <si>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</si>
  <si>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</si>
  <si>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</si>
  <si>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</si>
  <si>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</si>
  <si>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AER opex model v2.0</t>
  </si>
  <si>
    <t>Units</t>
  </si>
  <si>
    <t>AER PTRM for the current control period.</t>
  </si>
  <si>
    <t>WPI - AER forecast</t>
  </si>
  <si>
    <t>WPI - NSP forecast</t>
  </si>
  <si>
    <t>WPI - average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</si>
  <si>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</si>
  <si>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</si>
  <si>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</si>
  <si>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</si>
  <si>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</si>
  <si>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</si>
  <si>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</si>
  <si>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RBP</t>
  </si>
  <si>
    <t>No growth</t>
  </si>
  <si>
    <t>IT cloud</t>
  </si>
  <si>
    <t>Security of critical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</si>
</sst>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0.00_ ;\-0.00\ "/>
    <numFmt numFmtId="205" formatCode="0_ ;\-0\ "/>
    <numFmt numFmtId="206" formatCode="#,##0_);\(#,##0\);\-\-_)"/>
    <numFmt numFmtId="207" formatCode="0.0;\-0.0;_(&quot;-&quot;_)"/>
    <numFmt numFmtId="208" formatCode="0.0_ ;\-0.0\ "/>
  </numFmts>
  <fonts count="9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</fonts>
  <fills count="5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305">
    <xf numFmtId="0" fontId="0" fillId="0" borderId="0"/>
    <xf numFmtId="170" fontId="5" fillId="7" borderId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171" fontId="14" fillId="0" borderId="5">
      <alignment horizontal="right" vertical="center"/>
      <protection locked="0"/>
    </xf>
    <xf numFmtId="166" fontId="12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4" fillId="0" borderId="0"/>
    <xf numFmtId="177" fontId="14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0"/>
    <xf numFmtId="167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 applyNumberFormat="0" applyFill="0" applyBorder="0" applyAlignment="0"/>
    <xf numFmtId="164" fontId="21" fillId="4" borderId="0" applyNumberFormat="0" applyFont="0" applyBorder="0" applyAlignment="0">
      <alignment horizontal="right"/>
    </xf>
    <xf numFmtId="164" fontId="21" fillId="4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14" borderId="11" applyNumberFormat="0" applyAlignment="0" applyProtection="0"/>
    <xf numFmtId="0" fontId="31" fillId="31" borderId="12" applyNumberFormat="0" applyAlignment="0" applyProtection="0"/>
    <xf numFmtId="164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3" fontId="3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179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37" fillId="0" borderId="0"/>
    <xf numFmtId="0" fontId="38" fillId="0" borderId="0"/>
    <xf numFmtId="0" fontId="39" fillId="35" borderId="0" applyNumberFormat="0" applyBorder="0" applyAlignment="0" applyProtection="0"/>
    <xf numFmtId="0" fontId="23" fillId="0" borderId="0" applyFill="0" applyBorder="0">
      <alignment vertical="center"/>
    </xf>
    <xf numFmtId="0" fontId="40" fillId="0" borderId="13" applyNumberFormat="0" applyFill="0" applyAlignment="0" applyProtection="0"/>
    <xf numFmtId="0" fontId="23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14" applyNumberFormat="0" applyFill="0" applyAlignment="0" applyProtection="0"/>
    <xf numFmtId="0" fontId="41" fillId="0" borderId="0" applyFill="0" applyBorder="0">
      <alignment vertical="center"/>
    </xf>
    <xf numFmtId="0" fontId="11" fillId="0" borderId="0" applyFill="0" applyBorder="0">
      <alignment vertical="center"/>
    </xf>
    <xf numFmtId="0" fontId="43" fillId="0" borderId="15" applyNumberFormat="0" applyFill="0" applyAlignment="0" applyProtection="0"/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181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0" fontId="48" fillId="12" borderId="11" applyNumberFormat="0" applyAlignment="0" applyProtection="0"/>
    <xf numFmtId="164" fontId="21" fillId="36" borderId="0" applyFont="0" applyBorder="0" applyAlignment="0">
      <alignment horizontal="right"/>
      <protection locked="0"/>
    </xf>
    <xf numFmtId="164" fontId="21" fillId="36" borderId="0" applyFont="0" applyBorder="0" applyAlignment="0">
      <alignment horizontal="right"/>
      <protection locked="0"/>
    </xf>
    <xf numFmtId="182" fontId="21" fillId="6" borderId="0" applyFont="0" applyBorder="0">
      <alignment horizontal="right"/>
      <protection locked="0"/>
    </xf>
    <xf numFmtId="182" fontId="21" fillId="6" borderId="0" applyFont="0" applyBorder="0">
      <alignment horizontal="right"/>
      <protection locked="0"/>
    </xf>
    <xf numFmtId="164" fontId="21" fillId="10" borderId="0" applyFont="0" applyBorder="0">
      <alignment horizontal="right"/>
      <protection locked="0"/>
    </xf>
    <xf numFmtId="164" fontId="21" fillId="10" borderId="0" applyFont="0" applyBorder="0">
      <alignment horizontal="right"/>
      <protection locked="0"/>
    </xf>
    <xf numFmtId="0" fontId="14" fillId="4" borderId="0"/>
    <xf numFmtId="0" fontId="49" fillId="0" borderId="16" applyNumberFormat="0" applyFill="0" applyAlignment="0" applyProtection="0"/>
    <xf numFmtId="183" fontId="50" fillId="0" borderId="0"/>
    <xf numFmtId="0" fontId="51" fillId="0" borderId="0" applyFill="0" applyBorder="0">
      <alignment horizontal="left" vertical="center"/>
    </xf>
    <xf numFmtId="0" fontId="52" fillId="15" borderId="0" applyNumberFormat="0" applyBorder="0" applyAlignment="0" applyProtection="0"/>
    <xf numFmtId="184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0" fontId="21" fillId="3" borderId="0"/>
    <xf numFmtId="0" fontId="54" fillId="0" borderId="0"/>
    <xf numFmtId="0" fontId="21" fillId="0" borderId="0"/>
    <xf numFmtId="0" fontId="21" fillId="0" borderId="0"/>
    <xf numFmtId="0" fontId="21" fillId="13" borderId="17" applyNumberFormat="0" applyFont="0" applyAlignment="0" applyProtection="0"/>
    <xf numFmtId="0" fontId="55" fillId="14" borderId="18" applyNumberFormat="0" applyAlignment="0" applyProtection="0"/>
    <xf numFmtId="185" fontId="21" fillId="0" borderId="0" applyFill="0" applyBorder="0"/>
    <xf numFmtId="185" fontId="21" fillId="0" borderId="0" applyFill="0" applyBorder="0"/>
    <xf numFmtId="185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56" fillId="0" borderId="0"/>
    <xf numFmtId="0" fontId="11" fillId="0" borderId="0" applyFill="0" applyBorder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6" fontId="57" fillId="0" borderId="19"/>
    <xf numFmtId="0" fontId="58" fillId="0" borderId="20">
      <alignment horizontal="center"/>
    </xf>
    <xf numFmtId="3" fontId="32" fillId="0" borderId="0" applyFont="0" applyFill="0" applyBorder="0" applyAlignment="0" applyProtection="0"/>
    <xf numFmtId="0" fontId="32" fillId="37" borderId="0" applyNumberFormat="0" applyFont="0" applyBorder="0" applyAlignment="0" applyProtection="0"/>
    <xf numFmtId="187" fontId="21" fillId="0" borderId="0"/>
    <xf numFmtId="187" fontId="21" fillId="0" borderId="0"/>
    <xf numFmtId="187" fontId="21" fillId="0" borderId="0"/>
    <xf numFmtId="188" fontId="14" fillId="0" borderId="0" applyFill="0" applyBorder="0">
      <alignment horizontal="right" vertical="center"/>
    </xf>
    <xf numFmtId="189" fontId="14" fillId="0" borderId="0" applyFill="0" applyBorder="0">
      <alignment horizontal="right" vertical="center"/>
    </xf>
    <xf numFmtId="190" fontId="14" fillId="0" borderId="0" applyFill="0" applyBorder="0">
      <alignment horizontal="right" vertical="center"/>
    </xf>
    <xf numFmtId="0" fontId="21" fillId="13" borderId="0" applyNumberFormat="0" applyFont="0" applyBorder="0" applyAlignment="0" applyProtection="0"/>
    <xf numFmtId="0" fontId="21" fillId="13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1" fillId="0" borderId="0"/>
    <xf numFmtId="0" fontId="60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1" fillId="9" borderId="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0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4" fillId="0" borderId="0"/>
    <xf numFmtId="49" fontId="21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3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35" fillId="0" borderId="21" applyNumberFormat="0" applyFill="0" applyAlignment="0" applyProtection="0"/>
    <xf numFmtId="0" fontId="69" fillId="0" borderId="0" applyNumberFormat="0" applyFill="0" applyBorder="0" applyAlignment="0" applyProtection="0"/>
    <xf numFmtId="191" fontId="21" fillId="0" borderId="7" applyBorder="0" applyProtection="0">
      <alignment horizontal="right"/>
    </xf>
    <xf numFmtId="191" fontId="21" fillId="0" borderId="7" applyBorder="0" applyProtection="0">
      <alignment horizontal="right"/>
    </xf>
    <xf numFmtId="191" fontId="21" fillId="0" borderId="7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5" fillId="42" borderId="0"/>
    <xf numFmtId="201" fontId="76" fillId="0" borderId="22">
      <alignment horizontal="center"/>
    </xf>
    <xf numFmtId="0" fontId="77" fillId="43" borderId="6">
      <alignment horizontal="center" vertical="center"/>
    </xf>
    <xf numFmtId="0" fontId="21" fillId="44" borderId="11"/>
    <xf numFmtId="0" fontId="78" fillId="0" borderId="0" applyFill="0" applyBorder="0"/>
    <xf numFmtId="0" fontId="79" fillId="0" borderId="0" applyNumberFormat="0" applyFill="0"/>
    <xf numFmtId="0" fontId="80" fillId="0" borderId="0" applyFill="0"/>
    <xf numFmtId="0" fontId="81" fillId="0" borderId="0" applyFill="0"/>
    <xf numFmtId="0" fontId="82" fillId="0" borderId="0" applyFill="0"/>
    <xf numFmtId="0" fontId="75" fillId="45" borderId="0"/>
    <xf numFmtId="0" fontId="21" fillId="38" borderId="23" applyNumberFormat="0" applyFont="0" applyAlignment="0"/>
    <xf numFmtId="0" fontId="83" fillId="7" borderId="24" applyNumberFormat="0"/>
    <xf numFmtId="0" fontId="84" fillId="46" borderId="0"/>
    <xf numFmtId="0" fontId="85" fillId="46" borderId="0" applyNumberFormat="0"/>
    <xf numFmtId="0" fontId="86" fillId="46" borderId="0"/>
    <xf numFmtId="0" fontId="87" fillId="47" borderId="6" applyNumberFormat="0">
      <alignment horizontal="center" vertical="center"/>
    </xf>
    <xf numFmtId="0" fontId="88" fillId="48" borderId="11" applyNumberFormat="0" applyAlignment="0">
      <alignment horizontal="right"/>
    </xf>
    <xf numFmtId="0" fontId="23" fillId="38" borderId="23" applyNumberFormat="0" applyAlignment="0"/>
    <xf numFmtId="0" fontId="76" fillId="0" borderId="0" applyNumberFormat="0" applyFill="0" applyBorder="0"/>
    <xf numFmtId="0" fontId="89" fillId="49" borderId="23" applyNumberFormat="0">
      <protection locked="0"/>
    </xf>
    <xf numFmtId="0" fontId="2" fillId="0" borderId="0"/>
    <xf numFmtId="0" fontId="91" fillId="50" borderId="27">
      <alignment vertical="center"/>
    </xf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4" borderId="0" applyNumberFormat="0" applyFont="0" applyBorder="0" applyAlignment="0">
      <alignment horizontal="right"/>
    </xf>
    <xf numFmtId="164" fontId="21" fillId="4" borderId="0" applyNumberFormat="0" applyFont="0" applyBorder="0" applyAlignment="0">
      <alignment horizontal="right"/>
    </xf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36" borderId="0" applyFont="0" applyBorder="0" applyAlignment="0">
      <alignment horizontal="right"/>
      <protection locked="0"/>
    </xf>
    <xf numFmtId="164" fontId="21" fillId="36" borderId="0" applyFont="0" applyBorder="0" applyAlignment="0">
      <alignment horizontal="right"/>
      <protection locked="0"/>
    </xf>
    <xf numFmtId="164" fontId="21" fillId="10" borderId="0" applyFont="0" applyBorder="0">
      <alignment horizontal="right"/>
      <protection locked="0"/>
    </xf>
    <xf numFmtId="164" fontId="21" fillId="10" borderId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2" fillId="0" borderId="0"/>
    <xf numFmtId="9" fontId="92" fillId="0" borderId="0" applyFont="0" applyFill="0" applyBorder="0" applyAlignment="0" applyProtection="0"/>
    <xf numFmtId="165" fontId="92" fillId="0" borderId="0" applyFont="0" applyFill="0" applyBorder="0" applyAlignment="0" applyProtection="0"/>
    <xf numFmtId="0" fontId="1" fillId="0" borderId="0"/>
    <xf numFmtId="166" fontId="92" fillId="0" borderId="0" applyFont="0" applyFill="0" applyBorder="0" applyAlignment="0" applyProtection="0"/>
    <xf numFmtId="0" fontId="92" fillId="0" borderId="0"/>
    <xf numFmtId="206" fontId="21" fillId="0" borderId="0" applyFill="0" applyBorder="0">
      <alignment vertical="center"/>
    </xf>
  </cellStyleXfs>
  <cellXfs count="222">
    <xf numFmtId="0" fontId="0" fillId="0" borderId="0" xfId="0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1" xfId="0" applyFont="1" applyFill="1" applyBorder="1"/>
    <xf numFmtId="168" fontId="5" fillId="3" borderId="0" xfId="0" applyNumberFormat="1" applyFont="1" applyFill="1"/>
    <xf numFmtId="168" fontId="6" fillId="0" borderId="0" xfId="0" applyNumberFormat="1" applyFont="1"/>
    <xf numFmtId="168" fontId="5" fillId="0" borderId="0" xfId="0" applyNumberFormat="1" applyFont="1"/>
    <xf numFmtId="168" fontId="7" fillId="0" borderId="0" xfId="0" applyNumberFormat="1" applyFont="1"/>
    <xf numFmtId="168" fontId="8" fillId="0" borderId="0" xfId="0" applyNumberFormat="1" applyFont="1" applyAlignment="1" applyProtection="1"/>
    <xf numFmtId="0" fontId="5" fillId="5" borderId="0" xfId="0" applyFont="1" applyFill="1" applyBorder="1"/>
    <xf numFmtId="0" fontId="5" fillId="6" borderId="0" xfId="0" applyFont="1" applyFill="1" applyBorder="1"/>
    <xf numFmtId="168" fontId="11" fillId="0" borderId="0" xfId="0" applyNumberFormat="1" applyFont="1"/>
    <xf numFmtId="168" fontId="7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left" indent="1"/>
    </xf>
    <xf numFmtId="168" fontId="6" fillId="0" borderId="0" xfId="0" applyNumberFormat="1" applyFont="1" applyAlignment="1">
      <alignment horizontal="center"/>
    </xf>
    <xf numFmtId="168" fontId="0" fillId="0" borderId="0" xfId="0" applyNumberFormat="1"/>
    <xf numFmtId="166" fontId="11" fillId="0" borderId="6" xfId="0" applyNumberFormat="1" applyFont="1" applyBorder="1" applyAlignment="1">
      <alignment horizontal="center"/>
    </xf>
    <xf numFmtId="168" fontId="16" fillId="0" borderId="0" xfId="3" applyNumberFormat="1" applyFont="1" applyAlignment="1" applyProtection="1"/>
    <xf numFmtId="168" fontId="6" fillId="3" borderId="0" xfId="0" applyNumberFormat="1" applyFont="1" applyFill="1"/>
    <xf numFmtId="168" fontId="17" fillId="0" borderId="0" xfId="0" applyNumberFormat="1" applyFont="1" applyAlignment="1">
      <alignment horizontal="center"/>
    </xf>
    <xf numFmtId="173" fontId="14" fillId="0" borderId="0" xfId="5" applyNumberFormat="1" applyFont="1" applyFill="1" applyBorder="1" applyAlignment="1" applyProtection="1">
      <alignment horizontal="center" vertical="center"/>
    </xf>
    <xf numFmtId="174" fontId="11" fillId="0" borderId="0" xfId="5" applyNumberFormat="1" applyFont="1" applyFill="1" applyBorder="1" applyAlignment="1" applyProtection="1">
      <alignment horizontal="center" vertical="center"/>
    </xf>
    <xf numFmtId="174" fontId="19" fillId="0" borderId="0" xfId="5" applyNumberFormat="1" applyFont="1" applyFill="1" applyBorder="1" applyAlignment="1" applyProtection="1">
      <alignment horizontal="center" vertical="center"/>
    </xf>
    <xf numFmtId="176" fontId="14" fillId="0" borderId="0" xfId="5" applyNumberFormat="1" applyFont="1" applyFill="1" applyBorder="1" applyAlignment="1" applyProtection="1">
      <alignment horizontal="center" vertical="center"/>
    </xf>
    <xf numFmtId="168" fontId="5" fillId="3" borderId="0" xfId="0" applyNumberFormat="1" applyFont="1" applyFill="1" applyProtection="1"/>
    <xf numFmtId="168" fontId="6" fillId="3" borderId="0" xfId="0" applyNumberFormat="1" applyFont="1" applyFill="1" applyAlignment="1" applyProtection="1">
      <alignment horizontal="center"/>
    </xf>
    <xf numFmtId="168" fontId="5" fillId="0" borderId="0" xfId="0" applyNumberFormat="1" applyFont="1" applyProtection="1"/>
    <xf numFmtId="168" fontId="6" fillId="0" borderId="0" xfId="0" applyNumberFormat="1" applyFont="1" applyAlignment="1" applyProtection="1">
      <alignment horizontal="center"/>
    </xf>
    <xf numFmtId="168" fontId="11" fillId="0" borderId="0" xfId="0" applyNumberFormat="1" applyFont="1" applyProtection="1"/>
    <xf numFmtId="168" fontId="17" fillId="0" borderId="0" xfId="0" applyNumberFormat="1" applyFont="1" applyAlignment="1" applyProtection="1">
      <alignment horizontal="center"/>
    </xf>
    <xf numFmtId="168" fontId="7" fillId="0" borderId="0" xfId="0" applyNumberFormat="1" applyFont="1" applyAlignment="1" applyProtection="1">
      <alignment horizontal="center"/>
    </xf>
    <xf numFmtId="168" fontId="16" fillId="0" borderId="0" xfId="3" applyNumberFormat="1" applyFont="1" applyAlignment="1" applyProtection="1">
      <alignment horizontal="center"/>
    </xf>
    <xf numFmtId="0" fontId="70" fillId="38" borderId="0" xfId="0" applyFont="1" applyFill="1" applyBorder="1" applyAlignment="1">
      <alignment horizontal="left" vertical="center"/>
    </xf>
    <xf numFmtId="0" fontId="70" fillId="38" borderId="0" xfId="0" applyFont="1" applyFill="1" applyBorder="1" applyAlignment="1">
      <alignment horizontal="left" indent="9"/>
    </xf>
    <xf numFmtId="0" fontId="71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6" fontId="22" fillId="38" borderId="0" xfId="0" applyNumberFormat="1" applyFont="1" applyFill="1" applyBorder="1" applyAlignment="1">
      <alignment horizontal="center"/>
    </xf>
    <xf numFmtId="0" fontId="72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3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3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2" fillId="39" borderId="4" xfId="0" applyFont="1" applyFill="1" applyBorder="1"/>
    <xf numFmtId="169" fontId="5" fillId="41" borderId="3" xfId="0" applyNumberFormat="1" applyFont="1" applyFill="1" applyBorder="1" applyAlignment="1" applyProtection="1">
      <alignment horizontal="center"/>
      <protection locked="0"/>
    </xf>
    <xf numFmtId="0" fontId="72" fillId="38" borderId="0" xfId="0" applyFont="1" applyFill="1" applyBorder="1" applyAlignment="1">
      <alignment horizontal="left"/>
    </xf>
    <xf numFmtId="0" fontId="72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5" fillId="40" borderId="0" xfId="0" applyFont="1" applyFill="1" applyBorder="1" applyAlignment="1">
      <alignment horizontal="center"/>
    </xf>
    <xf numFmtId="10" fontId="5" fillId="41" borderId="3" xfId="2" applyNumberFormat="1" applyFont="1" applyFill="1" applyBorder="1" applyAlignment="1" applyProtection="1">
      <alignment horizontal="center"/>
      <protection locked="0"/>
    </xf>
    <xf numFmtId="49" fontId="5" fillId="41" borderId="3" xfId="0" applyNumberFormat="1" applyFont="1" applyFill="1" applyBorder="1" applyAlignment="1" applyProtection="1">
      <alignment horizontal="left" indent="1"/>
      <protection locked="0"/>
    </xf>
    <xf numFmtId="168" fontId="17" fillId="0" borderId="0" xfId="0" applyNumberFormat="1" applyFont="1" applyAlignment="1" applyProtection="1">
      <alignment horizontal="center" wrapText="1"/>
    </xf>
    <xf numFmtId="192" fontId="5" fillId="41" borderId="3" xfId="0" applyNumberFormat="1" applyFont="1" applyFill="1" applyBorder="1" applyAlignment="1" applyProtection="1">
      <alignment horizontal="center"/>
      <protection locked="0"/>
    </xf>
    <xf numFmtId="196" fontId="5" fillId="0" borderId="0" xfId="0" applyNumberFormat="1" applyFont="1" applyAlignment="1" applyProtection="1">
      <alignment horizontal="left"/>
    </xf>
    <xf numFmtId="194" fontId="5" fillId="0" borderId="0" xfId="0" applyNumberFormat="1" applyFont="1" applyProtection="1"/>
    <xf numFmtId="168" fontId="6" fillId="0" borderId="0" xfId="0" applyNumberFormat="1" applyFont="1" applyAlignment="1" applyProtection="1">
      <alignment horizontal="center" wrapText="1"/>
    </xf>
    <xf numFmtId="168" fontId="7" fillId="0" borderId="0" xfId="0" applyNumberFormat="1" applyFont="1" applyProtection="1"/>
    <xf numFmtId="168" fontId="18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0" fillId="38" borderId="0" xfId="0" applyFont="1" applyFill="1" applyBorder="1" applyAlignment="1" applyProtection="1">
      <alignment horizontal="left" vertical="center"/>
    </xf>
    <xf numFmtId="0" fontId="70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5" fillId="40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5" fillId="6" borderId="0" xfId="0" applyFont="1" applyFill="1" applyBorder="1" applyProtection="1"/>
    <xf numFmtId="166" fontId="22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2" fillId="38" borderId="1" xfId="0" applyFont="1" applyFill="1" applyBorder="1" applyAlignment="1" applyProtection="1">
      <alignment horizontal="left"/>
    </xf>
    <xf numFmtId="0" fontId="72" fillId="38" borderId="1" xfId="0" applyFont="1" applyFill="1" applyBorder="1" applyAlignment="1" applyProtection="1">
      <alignment horizontal="left" indent="9"/>
    </xf>
    <xf numFmtId="0" fontId="22" fillId="38" borderId="2" xfId="0" applyNumberFormat="1" applyFont="1" applyFill="1" applyBorder="1" applyProtection="1"/>
    <xf numFmtId="0" fontId="22" fillId="38" borderId="2" xfId="0" applyFont="1" applyFill="1" applyBorder="1" applyProtection="1"/>
    <xf numFmtId="0" fontId="73" fillId="38" borderId="2" xfId="0" applyNumberFormat="1" applyFont="1" applyFill="1" applyBorder="1" applyProtection="1"/>
    <xf numFmtId="0" fontId="73" fillId="39" borderId="4" xfId="0" applyFont="1" applyFill="1" applyBorder="1" applyProtection="1"/>
    <xf numFmtId="0" fontId="73" fillId="39" borderId="4" xfId="0" applyFont="1" applyFill="1" applyBorder="1" applyAlignment="1" applyProtection="1">
      <alignment horizontal="center"/>
    </xf>
    <xf numFmtId="0" fontId="18" fillId="39" borderId="4" xfId="0" applyFont="1" applyFill="1" applyBorder="1" applyAlignment="1" applyProtection="1">
      <alignment horizontal="center" vertical="center"/>
    </xf>
    <xf numFmtId="0" fontId="18" fillId="39" borderId="4" xfId="0" applyFont="1" applyFill="1" applyBorder="1" applyAlignment="1" applyProtection="1">
      <alignment vertical="center"/>
    </xf>
    <xf numFmtId="0" fontId="73" fillId="39" borderId="4" xfId="0" applyFont="1" applyFill="1" applyBorder="1" applyAlignment="1" applyProtection="1">
      <alignment wrapText="1"/>
    </xf>
    <xf numFmtId="165" fontId="18" fillId="39" borderId="4" xfId="0" applyNumberFormat="1" applyFont="1" applyFill="1" applyBorder="1" applyAlignment="1" applyProtection="1">
      <alignment horizontal="center" wrapText="1"/>
    </xf>
    <xf numFmtId="0" fontId="73" fillId="3" borderId="0" xfId="0" applyFont="1" applyFill="1" applyBorder="1" applyAlignment="1" applyProtection="1">
      <alignment wrapText="1"/>
    </xf>
    <xf numFmtId="0" fontId="73" fillId="3" borderId="0" xfId="0" applyFont="1" applyFill="1" applyAlignment="1" applyProtection="1">
      <alignment wrapText="1"/>
    </xf>
    <xf numFmtId="0" fontId="73" fillId="3" borderId="0" xfId="0" applyFont="1" applyFill="1" applyProtection="1"/>
    <xf numFmtId="0" fontId="73" fillId="0" borderId="0" xfId="0" applyFont="1" applyFill="1" applyProtection="1"/>
    <xf numFmtId="0" fontId="73" fillId="0" borderId="0" xfId="0" applyFont="1" applyProtection="1"/>
    <xf numFmtId="0" fontId="0" fillId="39" borderId="4" xfId="0" applyFill="1" applyBorder="1" applyProtection="1"/>
    <xf numFmtId="0" fontId="22" fillId="39" borderId="4" xfId="0" applyFont="1" applyFill="1" applyBorder="1" applyProtection="1"/>
    <xf numFmtId="0" fontId="23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5" fontId="23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7" fillId="0" borderId="0" xfId="0" applyNumberFormat="1" applyFont="1" applyFill="1" applyBorder="1" applyProtection="1"/>
    <xf numFmtId="168" fontId="6" fillId="0" borderId="0" xfId="0" applyNumberFormat="1" applyFont="1" applyFill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left" indent="1"/>
    </xf>
    <xf numFmtId="168" fontId="5" fillId="0" borderId="0" xfId="0" applyNumberFormat="1" applyFont="1" applyAlignment="1" applyProtection="1">
      <alignment horizontal="center"/>
    </xf>
    <xf numFmtId="168" fontId="16" fillId="0" borderId="0" xfId="3" applyNumberFormat="1" applyFont="1" applyFill="1" applyAlignment="1" applyProtection="1">
      <alignment horizontal="center"/>
    </xf>
    <xf numFmtId="197" fontId="5" fillId="0" borderId="0" xfId="0" applyNumberFormat="1" applyFont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Alignment="1" applyProtection="1">
      <alignment horizontal="left" indent="1"/>
    </xf>
    <xf numFmtId="168" fontId="6" fillId="0" borderId="7" xfId="0" applyNumberFormat="1" applyFont="1" applyBorder="1" applyAlignment="1" applyProtection="1">
      <alignment horizontal="center"/>
    </xf>
    <xf numFmtId="168" fontId="7" fillId="0" borderId="8" xfId="0" applyNumberFormat="1" applyFont="1" applyBorder="1" applyAlignment="1" applyProtection="1">
      <alignment horizontal="left" indent="1"/>
    </xf>
    <xf numFmtId="168" fontId="6" fillId="0" borderId="8" xfId="0" applyNumberFormat="1" applyFont="1" applyBorder="1" applyAlignment="1" applyProtection="1">
      <alignment horizontal="center"/>
    </xf>
    <xf numFmtId="197" fontId="7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left"/>
    </xf>
    <xf numFmtId="10" fontId="5" fillId="0" borderId="0" xfId="2" applyNumberFormat="1" applyFont="1" applyAlignment="1" applyProtection="1">
      <alignment horizontal="center"/>
    </xf>
    <xf numFmtId="168" fontId="7" fillId="0" borderId="8" xfId="0" applyNumberFormat="1" applyFont="1" applyBorder="1" applyProtection="1"/>
    <xf numFmtId="175" fontId="5" fillId="0" borderId="0" xfId="0" applyNumberFormat="1" applyFont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Fill="1" applyAlignment="1" applyProtection="1">
      <alignment horizontal="left" indent="2"/>
    </xf>
    <xf numFmtId="168" fontId="17" fillId="0" borderId="8" xfId="0" applyNumberFormat="1" applyFont="1" applyBorder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left" indent="1"/>
    </xf>
    <xf numFmtId="168" fontId="7" fillId="0" borderId="0" xfId="0" applyNumberFormat="1" applyFont="1" applyBorder="1" applyProtection="1"/>
    <xf numFmtId="194" fontId="7" fillId="0" borderId="0" xfId="0" applyNumberFormat="1" applyFont="1" applyBorder="1" applyAlignment="1" applyProtection="1">
      <alignment horizontal="center"/>
    </xf>
    <xf numFmtId="168" fontId="17" fillId="0" borderId="0" xfId="0" applyNumberFormat="1" applyFont="1" applyBorder="1" applyAlignment="1" applyProtection="1">
      <alignment horizontal="center"/>
    </xf>
    <xf numFmtId="200" fontId="5" fillId="0" borderId="0" xfId="0" applyNumberFormat="1" applyFont="1" applyAlignment="1" applyProtection="1">
      <alignment horizontal="center"/>
    </xf>
    <xf numFmtId="200" fontId="7" fillId="0" borderId="0" xfId="0" applyNumberFormat="1" applyFont="1" applyAlignment="1" applyProtection="1">
      <alignment horizontal="center"/>
    </xf>
    <xf numFmtId="198" fontId="11" fillId="0" borderId="4" xfId="5" applyNumberFormat="1" applyFont="1" applyFill="1" applyBorder="1" applyAlignment="1" applyProtection="1">
      <alignment horizontal="center" vertical="center"/>
    </xf>
    <xf numFmtId="166" fontId="11" fillId="0" borderId="3" xfId="0" applyNumberFormat="1" applyFont="1" applyBorder="1" applyAlignment="1" applyProtection="1">
      <alignment horizontal="center"/>
    </xf>
    <xf numFmtId="166" fontId="11" fillId="0" borderId="0" xfId="0" applyNumberFormat="1" applyFont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0" fontId="9" fillId="38" borderId="2" xfId="0" applyFont="1" applyFill="1" applyBorder="1" applyProtection="1"/>
    <xf numFmtId="0" fontId="10" fillId="38" borderId="2" xfId="0" applyNumberFormat="1" applyFont="1" applyFill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168" fontId="7" fillId="0" borderId="7" xfId="0" applyNumberFormat="1" applyFont="1" applyBorder="1" applyProtection="1"/>
    <xf numFmtId="168" fontId="5" fillId="0" borderId="7" xfId="0" applyNumberFormat="1" applyFont="1" applyBorder="1" applyProtection="1"/>
    <xf numFmtId="168" fontId="7" fillId="0" borderId="4" xfId="0" applyNumberFormat="1" applyFont="1" applyBorder="1" applyAlignment="1" applyProtection="1">
      <alignment horizontal="left"/>
    </xf>
    <xf numFmtId="168" fontId="6" fillId="0" borderId="4" xfId="0" applyNumberFormat="1" applyFont="1" applyBorder="1" applyAlignment="1" applyProtection="1">
      <alignment horizontal="center"/>
    </xf>
    <xf numFmtId="166" fontId="5" fillId="0" borderId="0" xfId="0" applyNumberFormat="1" applyFont="1" applyProtection="1"/>
    <xf numFmtId="168" fontId="5" fillId="0" borderId="0" xfId="0" applyNumberFormat="1" applyFont="1" applyBorder="1" applyProtection="1"/>
    <xf numFmtId="10" fontId="5" fillId="0" borderId="0" xfId="2" applyNumberFormat="1" applyFont="1" applyBorder="1" applyAlignment="1" applyProtection="1">
      <alignment horizontal="center"/>
    </xf>
    <xf numFmtId="168" fontId="6" fillId="0" borderId="0" xfId="6" applyNumberFormat="1" applyFont="1" applyAlignment="1" applyProtection="1">
      <alignment horizontal="center"/>
    </xf>
    <xf numFmtId="172" fontId="14" fillId="0" borderId="0" xfId="2" applyNumberFormat="1" applyFont="1" applyFill="1" applyBorder="1" applyAlignment="1" applyProtection="1">
      <alignment horizontal="center" vertical="center"/>
    </xf>
    <xf numFmtId="175" fontId="5" fillId="0" borderId="0" xfId="0" applyNumberFormat="1" applyFont="1" applyProtection="1"/>
    <xf numFmtId="168" fontId="5" fillId="0" borderId="0" xfId="0" applyNumberFormat="1" applyFont="1" applyAlignment="1" applyProtection="1">
      <alignment horizontal="left"/>
    </xf>
    <xf numFmtId="193" fontId="5" fillId="8" borderId="3" xfId="0" applyNumberFormat="1" applyFont="1" applyFill="1" applyBorder="1" applyAlignment="1" applyProtection="1">
      <alignment horizontal="left" indent="1"/>
    </xf>
    <xf numFmtId="0" fontId="74" fillId="39" borderId="4" xfId="0" applyFont="1" applyFill="1" applyBorder="1" applyAlignment="1" applyProtection="1"/>
    <xf numFmtId="199" fontId="7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Protection="1">
      <protection locked="0"/>
    </xf>
    <xf numFmtId="202" fontId="5" fillId="41" borderId="3" xfId="0" applyNumberFormat="1" applyFont="1" applyFill="1" applyBorder="1" applyAlignment="1" applyProtection="1">
      <alignment horizontal="center"/>
      <protection locked="0"/>
    </xf>
    <xf numFmtId="1" fontId="5" fillId="41" borderId="3" xfId="0" applyNumberFormat="1" applyFont="1" applyFill="1" applyBorder="1" applyAlignment="1" applyProtection="1">
      <alignment horizontal="center"/>
      <protection locked="0"/>
    </xf>
    <xf numFmtId="203" fontId="73" fillId="39" borderId="4" xfId="0" applyNumberFormat="1" applyFont="1" applyFill="1" applyBorder="1" applyAlignment="1" applyProtection="1">
      <alignment horizontal="center" wrapText="1"/>
    </xf>
    <xf numFmtId="203" fontId="90" fillId="38" borderId="2" xfId="0" applyNumberFormat="1" applyFont="1" applyFill="1" applyBorder="1" applyAlignment="1" applyProtection="1">
      <alignment horizontal="center"/>
    </xf>
    <xf numFmtId="203" fontId="73" fillId="38" borderId="2" xfId="0" applyNumberFormat="1" applyFont="1" applyFill="1" applyBorder="1" applyAlignment="1" applyProtection="1">
      <alignment horizontal="left"/>
    </xf>
    <xf numFmtId="203" fontId="7" fillId="0" borderId="7" xfId="0" applyNumberFormat="1" applyFont="1" applyBorder="1" applyAlignment="1" applyProtection="1">
      <alignment horizontal="center"/>
    </xf>
    <xf numFmtId="203" fontId="5" fillId="0" borderId="0" xfId="0" applyNumberFormat="1" applyFont="1" applyAlignment="1">
      <alignment horizontal="left" indent="1"/>
    </xf>
    <xf numFmtId="203" fontId="6" fillId="0" borderId="0" xfId="0" applyNumberFormat="1" applyFont="1" applyAlignment="1" applyProtection="1">
      <alignment horizontal="center"/>
    </xf>
    <xf numFmtId="203" fontId="7" fillId="0" borderId="0" xfId="0" applyNumberFormat="1" applyFont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Protection="1"/>
    <xf numFmtId="203" fontId="5" fillId="0" borderId="0" xfId="0" applyNumberFormat="1" applyFont="1" applyAlignment="1" applyProtection="1">
      <alignment horizontal="left" indent="1"/>
    </xf>
    <xf numFmtId="168" fontId="13" fillId="0" borderId="0" xfId="3" applyNumberFormat="1" applyAlignment="1" applyProtection="1">
      <alignment horizontal="center"/>
    </xf>
    <xf numFmtId="168" fontId="6" fillId="0" borderId="0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  <protection locked="0"/>
    </xf>
    <xf numFmtId="195" fontId="5" fillId="0" borderId="0" xfId="2" applyNumberFormat="1" applyFont="1" applyFill="1" applyBorder="1" applyAlignment="1" applyProtection="1">
      <alignment horizontal="center"/>
      <protection locked="0"/>
    </xf>
    <xf numFmtId="0" fontId="73" fillId="38" borderId="25" xfId="0" applyNumberFormat="1" applyFont="1" applyFill="1" applyBorder="1" applyAlignment="1" applyProtection="1"/>
    <xf numFmtId="168" fontId="5" fillId="0" borderId="0" xfId="0" applyNumberFormat="1" applyFont="1" applyBorder="1" applyAlignment="1" applyProtection="1">
      <alignment horizontal="center"/>
    </xf>
    <xf numFmtId="203" fontId="17" fillId="0" borderId="0" xfId="0" applyNumberFormat="1" applyFont="1" applyAlignment="1" applyProtection="1">
      <alignment horizontal="center"/>
    </xf>
    <xf numFmtId="200" fontId="5" fillId="0" borderId="0" xfId="0" applyNumberFormat="1" applyFont="1" applyBorder="1" applyAlignment="1" applyProtection="1">
      <alignment horizontal="center"/>
    </xf>
    <xf numFmtId="200" fontId="7" fillId="0" borderId="0" xfId="0" applyNumberFormat="1" applyFont="1" applyBorder="1" applyAlignment="1" applyProtection="1">
      <alignment horizontal="center"/>
    </xf>
    <xf numFmtId="197" fontId="7" fillId="0" borderId="0" xfId="0" applyNumberFormat="1" applyFont="1" applyBorder="1" applyAlignment="1" applyProtection="1">
      <alignment horizontal="center"/>
    </xf>
    <xf numFmtId="168" fontId="7" fillId="0" borderId="7" xfId="0" applyNumberFormat="1" applyFont="1" applyBorder="1" applyAlignment="1" applyProtection="1">
      <alignment horizontal="left" indent="1"/>
    </xf>
    <xf numFmtId="203" fontId="6" fillId="0" borderId="7" xfId="0" applyNumberFormat="1" applyFont="1" applyBorder="1" applyAlignment="1" applyProtection="1">
      <alignment horizontal="center"/>
    </xf>
    <xf numFmtId="204" fontId="5" fillId="0" borderId="0" xfId="2" applyNumberFormat="1" applyFont="1" applyFill="1" applyBorder="1" applyAlignment="1" applyProtection="1">
      <alignment horizontal="center"/>
    </xf>
    <xf numFmtId="0" fontId="13" fillId="38" borderId="0" xfId="3" applyFill="1" applyBorder="1" applyAlignment="1">
      <alignment horizontal="right"/>
    </xf>
    <xf numFmtId="0" fontId="73" fillId="38" borderId="2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203" fontId="5" fillId="0" borderId="3" xfId="0" applyNumberFormat="1" applyFont="1" applyFill="1" applyBorder="1" applyAlignment="1" applyProtection="1">
      <alignment horizontal="center"/>
      <protection locked="0"/>
    </xf>
    <xf numFmtId="2" fontId="11" fillId="0" borderId="4" xfId="5" applyNumberFormat="1" applyFont="1" applyFill="1" applyBorder="1" applyAlignment="1" applyProtection="1">
      <alignment horizontal="center" vertical="center"/>
    </xf>
    <xf numFmtId="0" fontId="13" fillId="38" borderId="0" xfId="3" applyFill="1" applyBorder="1" applyAlignment="1" applyProtection="1">
      <alignment horizontal="right"/>
    </xf>
    <xf numFmtId="194" fontId="5" fillId="0" borderId="0" xfId="0" applyNumberFormat="1" applyFont="1" applyProtection="1">
      <protection locked="0"/>
    </xf>
    <xf numFmtId="194" fontId="7" fillId="0" borderId="0" xfId="0" applyNumberFormat="1" applyFont="1" applyProtection="1">
      <protection locked="0"/>
    </xf>
    <xf numFmtId="10" fontId="5" fillId="0" borderId="0" xfId="2" applyNumberFormat="1" applyFont="1" applyFill="1" applyBorder="1" applyAlignment="1" applyProtection="1">
      <alignment horizontal="center"/>
    </xf>
    <xf numFmtId="181" fontId="5" fillId="0" borderId="0" xfId="2" applyNumberFormat="1" applyFont="1" applyAlignment="1" applyProtection="1">
      <alignment horizontal="center"/>
      <protection locked="0"/>
    </xf>
    <xf numFmtId="174" fontId="11" fillId="0" borderId="0" xfId="5" applyNumberFormat="1" applyFont="1" applyFill="1" applyBorder="1" applyAlignment="1" applyProtection="1">
      <alignment horizontal="center" vertical="center"/>
      <protection locked="0"/>
    </xf>
    <xf numFmtId="168" fontId="14" fillId="0" borderId="0" xfId="5" applyNumberFormat="1" applyFont="1" applyFill="1" applyBorder="1" applyAlignment="1" applyProtection="1">
      <alignment horizontal="center" vertic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Fill="1" applyProtection="1"/>
    <xf numFmtId="203" fontId="5" fillId="0" borderId="0" xfId="2" applyNumberFormat="1" applyFont="1" applyFill="1" applyBorder="1" applyAlignment="1" applyProtection="1">
      <alignment horizontal="center"/>
      <protection locked="0"/>
    </xf>
    <xf numFmtId="168" fontId="17" fillId="0" borderId="0" xfId="0" applyNumberFormat="1" applyFont="1" applyFill="1" applyAlignment="1" applyProtection="1">
      <alignment horizontal="center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181" fontId="5" fillId="0" borderId="0" xfId="2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168" fontId="6" fillId="0" borderId="0" xfId="0" applyNumberFormat="1" applyFont="1" applyFill="1" applyBorder="1" applyAlignment="1" applyProtection="1">
      <alignment horizontal="center"/>
      <protection locked="0"/>
    </xf>
    <xf numFmtId="203" fontId="18" fillId="8" borderId="9" xfId="0" applyNumberFormat="1" applyFont="1" applyFill="1" applyBorder="1" applyAlignment="1" applyProtection="1">
      <alignment horizontal="center"/>
      <protection locked="0"/>
    </xf>
    <xf numFmtId="205" fontId="5" fillId="0" borderId="0" xfId="0" applyNumberFormat="1" applyFont="1" applyProtection="1">
      <protection locked="0"/>
    </xf>
    <xf numFmtId="10" fontId="14" fillId="0" borderId="0" xfId="2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203" fontId="5" fillId="0" borderId="0" xfId="0" applyNumberFormat="1" applyFont="1" applyFill="1" applyBorder="1" applyAlignment="1" applyProtection="1">
      <alignment horizontal="center"/>
      <protection locked="0"/>
    </xf>
    <xf numFmtId="0" fontId="71" fillId="38" borderId="0" xfId="3" applyFont="1" applyFill="1" applyBorder="1" applyAlignment="1" applyProtection="1"/>
    <xf numFmtId="0" fontId="73" fillId="38" borderId="2" xfId="0" applyNumberFormat="1" applyFont="1" applyFill="1" applyBorder="1" applyAlignment="1" applyProtection="1">
      <alignment horizontal="center"/>
    </xf>
    <xf numFmtId="168" fontId="5" fillId="51" borderId="3" xfId="0" applyNumberFormat="1" applyFont="1" applyFill="1" applyBorder="1" applyAlignment="1" applyProtection="1">
      <alignment horizontal="left" indent="1"/>
      <protection locked="0"/>
    </xf>
    <xf numFmtId="168" fontId="5" fillId="41" borderId="3" xfId="0" applyNumberFormat="1" applyFont="1" applyFill="1" applyBorder="1" applyAlignment="1" applyProtection="1">
      <alignment horizontal="left" indent="1"/>
      <protection locked="0"/>
    </xf>
    <xf numFmtId="0" fontId="5" fillId="41" borderId="3" xfId="0" applyNumberFormat="1" applyFont="1" applyFill="1" applyBorder="1" applyAlignment="1" applyProtection="1">
      <alignment horizontal="left" indent="1"/>
      <protection locked="0"/>
    </xf>
    <xf numFmtId="193" fontId="7" fillId="40" borderId="26" xfId="0" applyNumberFormat="1" applyFont="1" applyFill="1" applyBorder="1" applyAlignment="1" applyProtection="1">
      <alignment horizontal="center"/>
      <protection locked="0"/>
    </xf>
    <xf numFmtId="192" fontId="5" fillId="41" borderId="3" xfId="0" applyNumberFormat="1" applyFont="1" applyFill="1" applyBorder="1" applyAlignment="1" applyProtection="1">
      <alignment horizontal="center"/>
      <protection locked="0"/>
    </xf>
    <xf numFmtId="10" fontId="5" fillId="0" borderId="0" xfId="2" applyNumberFormat="1" applyFont="1" applyFill="1" applyProtection="1">
      <protection locked="0"/>
    </xf>
    <xf numFmtId="181" fontId="5" fillId="0" borderId="0" xfId="2" applyNumberFormat="1" applyFont="1" applyFill="1" applyAlignment="1" applyProtection="1">
      <alignment horizontal="center"/>
      <protection locked="0"/>
    </xf>
    <xf numFmtId="203" fontId="5" fillId="0" borderId="0" xfId="2" applyNumberFormat="1" applyFont="1" applyFill="1" applyBorder="1" applyAlignment="1" applyProtection="1">
      <alignment horizontal="center"/>
    </xf>
    <xf numFmtId="203" fontId="6" fillId="0" borderId="0" xfId="0" applyNumberFormat="1" applyFont="1" applyFill="1" applyBorder="1" applyAlignment="1" applyProtection="1">
      <alignment horizontal="center"/>
    </xf>
    <xf numFmtId="168" fontId="17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left" indent="1"/>
    </xf>
    <xf numFmtId="49" fontId="5" fillId="0" borderId="28" xfId="0" applyNumberFormat="1" applyFont="1" applyFill="1" applyBorder="1" applyAlignment="1" applyProtection="1">
      <alignment horizontal="left" indent="1"/>
    </xf>
    <xf numFmtId="49" fontId="6" fillId="0" borderId="4" xfId="0" applyNumberFormat="1" applyFont="1" applyFill="1" applyBorder="1" applyAlignment="1" applyProtection="1">
      <alignment horizontal="center"/>
    </xf>
    <xf numFmtId="203" fontId="6" fillId="0" borderId="4" xfId="0" applyNumberFormat="1" applyFont="1" applyFill="1" applyBorder="1" applyAlignment="1" applyProtection="1">
      <alignment horizontal="center"/>
    </xf>
    <xf numFmtId="10" fontId="5" fillId="52" borderId="0" xfId="2" applyNumberFormat="1" applyFont="1" applyFill="1" applyAlignment="1" applyProtection="1">
      <alignment horizontal="center"/>
      <protection locked="0"/>
    </xf>
    <xf numFmtId="195" fontId="19" fillId="0" borderId="0" xfId="2" applyNumberFormat="1" applyFont="1" applyFill="1" applyBorder="1" applyAlignment="1" applyProtection="1">
      <alignment horizontal="right"/>
      <protection locked="0"/>
    </xf>
    <xf numFmtId="207" fontId="5" fillId="0" borderId="0" xfId="2" applyNumberFormat="1" applyFont="1" applyFill="1" applyBorder="1" applyAlignment="1" applyProtection="1">
      <alignment horizontal="center"/>
      <protection locked="0"/>
    </xf>
    <xf numFmtId="207" fontId="14" fillId="0" borderId="0" xfId="2" applyNumberFormat="1" applyFont="1" applyFill="1" applyBorder="1" applyAlignment="1" applyProtection="1">
      <alignment horizontal="center"/>
      <protection locked="0"/>
    </xf>
    <xf numFmtId="208" fontId="5" fillId="0" borderId="0" xfId="2" applyNumberFormat="1" applyFont="1" applyFill="1" applyBorder="1" applyAlignment="1" applyProtection="1">
      <alignment horizontal="center"/>
    </xf>
    <xf numFmtId="0" fontId="73" fillId="38" borderId="2" xfId="0" applyNumberFormat="1" applyFont="1" applyFill="1" applyBorder="1" applyAlignment="1" applyProtection="1">
      <alignment horizontal="center"/>
    </xf>
  </cellXfs>
  <cellStyles count="305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20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DBE5F1"/>
      <color rgb="FF006100"/>
      <color rgb="FFC6EFCE"/>
      <color rgb="FF9C0006"/>
      <color rgb="FFFFFF99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U17"/>
  <sheetViews>
    <sheetView showGridLines="0" workbookViewId="0">
      <selection activeCell="A33" sqref="A18:XFD33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7"/>
      <c r="B1" s="34" t="s">
        <v>193</v>
      </c>
      <c r="C1" s="34"/>
      <c r="D1" s="37"/>
      <c r="E1" s="37"/>
      <c r="G1" s="2"/>
      <c r="H1" s="3"/>
      <c r="I1" s="4"/>
    </row>
    <row r="2" spans="1:47" s="5" customFormat="1" ht="13.5" customHeight="1" thickBot="1">
      <c r="A2" s="41"/>
      <c r="B2" s="40" t="s">
        <v>41</v>
      </c>
      <c r="C2" s="40"/>
      <c r="D2" s="41"/>
      <c r="E2" s="41"/>
    </row>
    <row r="3" spans="1:47" s="6" customFormat="1" ht="3" customHeight="1"/>
    <row r="4" spans="1:47" customFormat="1" ht="12.75">
      <c r="A4" s="42"/>
      <c r="B4" s="50" t="s">
        <v>63</v>
      </c>
      <c r="C4" s="42"/>
      <c r="D4" s="42"/>
      <c r="E4" s="42"/>
      <c r="F4" s="43"/>
      <c r="G4" s="43"/>
      <c r="H4" s="43"/>
      <c r="I4" s="43"/>
      <c r="J4" s="44"/>
      <c r="K4" s="45"/>
      <c r="L4" s="44"/>
      <c r="M4" s="45"/>
      <c r="N4" s="44"/>
      <c r="O4" s="44"/>
      <c r="P4" s="44"/>
      <c r="Q4" s="44"/>
      <c r="R4" s="44"/>
      <c r="S4" s="44"/>
      <c r="T4" s="44"/>
      <c r="U4" s="44"/>
      <c r="V4" s="45"/>
      <c r="W4" s="45"/>
      <c r="X4" s="46"/>
      <c r="Y4" s="46"/>
      <c r="Z4" s="46"/>
      <c r="AA4" s="46"/>
      <c r="AB4" s="47"/>
      <c r="AC4" s="48"/>
      <c r="AD4" s="4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/>
    <row r="6" spans="1:47">
      <c r="C6" s="9" t="s">
        <v>0</v>
      </c>
      <c r="D6" s="9" t="s">
        <v>1</v>
      </c>
    </row>
    <row r="7" spans="1:47">
      <c r="C7" s="19" t="s">
        <v>61</v>
      </c>
      <c r="D7" s="7" t="s">
        <v>62</v>
      </c>
    </row>
    <row r="8" spans="1:47">
      <c r="C8" s="19" t="s">
        <v>35</v>
      </c>
      <c r="D8" s="7" t="s">
        <v>96</v>
      </c>
    </row>
    <row r="9" spans="1:47">
      <c r="C9" s="19" t="s">
        <v>57</v>
      </c>
      <c r="D9" s="7" t="s">
        <v>58</v>
      </c>
    </row>
    <row r="10" spans="1:47">
      <c r="C10" s="19" t="s">
        <v>190</v>
      </c>
      <c r="D10" s="7" t="s">
        <v>176</v>
      </c>
    </row>
    <row r="11" spans="1:47">
      <c r="C11" s="19" t="s">
        <v>60</v>
      </c>
      <c r="D11" s="7" t="s">
        <v>51</v>
      </c>
    </row>
    <row r="12" spans="1:47">
      <c r="C12" s="19" t="s">
        <v>191</v>
      </c>
      <c r="D12" s="7" t="s">
        <v>177</v>
      </c>
    </row>
    <row r="13" spans="1:47">
      <c r="C13" s="19" t="s">
        <v>192</v>
      </c>
      <c r="D13" s="7" t="s">
        <v>178</v>
      </c>
    </row>
    <row r="14" spans="1:47">
      <c r="C14" s="19" t="s">
        <v>53</v>
      </c>
      <c r="D14" s="7" t="s">
        <v>59</v>
      </c>
    </row>
    <row r="15" spans="1:47">
      <c r="C15" s="19" t="s">
        <v>25</v>
      </c>
      <c r="D15" s="7" t="s">
        <v>52</v>
      </c>
    </row>
    <row r="16" spans="1:47" ht="12.75">
      <c r="C16" s="10"/>
      <c r="D16" s="7"/>
    </row>
    <row r="17" spans="1:47" customFormat="1" ht="12.75">
      <c r="A17" s="42"/>
      <c r="B17" s="50" t="s">
        <v>21</v>
      </c>
      <c r="C17" s="42"/>
      <c r="D17" s="42"/>
      <c r="E17" s="42"/>
      <c r="F17" s="43"/>
      <c r="G17" s="43"/>
      <c r="H17" s="43"/>
      <c r="I17" s="43"/>
      <c r="J17" s="44"/>
      <c r="K17" s="45"/>
      <c r="L17" s="44"/>
      <c r="M17" s="45"/>
      <c r="N17" s="44"/>
      <c r="O17" s="44"/>
      <c r="P17" s="44"/>
      <c r="Q17" s="44"/>
      <c r="R17" s="44"/>
      <c r="S17" s="44"/>
      <c r="T17" s="44"/>
      <c r="U17" s="44"/>
      <c r="V17" s="45"/>
      <c r="W17" s="45"/>
      <c r="X17" s="46"/>
      <c r="Y17" s="46"/>
      <c r="Z17" s="46"/>
      <c r="AA17" s="46"/>
      <c r="AB17" s="47"/>
      <c r="AC17" s="48"/>
      <c r="AD17" s="48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</row>
  </sheetData>
  <hyperlinks>
    <hyperlink ref="C12" location="'Calc|Opex forecast'!A1" display="Calc | Opex Forecast" xr:uid="{00000000-0004-0000-0100-000001000000}"/>
    <hyperlink ref="C13" location="'Output|Models_final'!A1" display="Output | Models_final" xr:uid="{00000000-0004-0000-0100-000002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U27"/>
  <sheetViews>
    <sheetView showGridLines="0" zoomScaleNormal="100" workbookViewId="0">
      <selection activeCell="C4" sqref="C4"/>
    </sheetView>
  </sheetViews>
  <sheetFormatPr defaultColWidth="0" defaultRowHeight="11.25" zeroHeight="1"/>
  <cols>
    <col min="1" max="2" width="1.5" style="28" customWidth="1"/>
    <col min="3" max="3" width="42" style="28" customWidth="1"/>
    <col min="4" max="4" width="11.1640625" style="29" customWidth="1"/>
    <col min="5" max="6" width="3.33203125" style="29" customWidth="1"/>
    <col min="7" max="7" width="16.1640625" style="29" bestFit="1" customWidth="1"/>
    <col min="8" max="9" width="3.33203125" style="29" customWidth="1"/>
    <col min="10" max="23" width="10.83203125" style="28" customWidth="1"/>
    <col min="24" max="38" width="10.5" style="28" hidden="1" customWidth="1"/>
    <col min="39" max="16384" width="10.5" style="28" hidden="1"/>
  </cols>
  <sheetData>
    <row r="1" spans="1:47" s="68" customFormat="1" ht="15.75">
      <c r="B1" s="69" t="str">
        <f>Index!$B$1</f>
        <v>AER opex model v2.0</v>
      </c>
      <c r="C1" s="69"/>
      <c r="D1" s="69"/>
      <c r="E1" s="69"/>
      <c r="F1" s="70"/>
      <c r="G1" s="70"/>
      <c r="H1" s="70"/>
      <c r="I1" s="70"/>
      <c r="J1" s="36" t="s">
        <v>2</v>
      </c>
      <c r="L1" s="71" t="s">
        <v>3</v>
      </c>
      <c r="M1" s="72" t="s">
        <v>4</v>
      </c>
      <c r="N1" s="73" t="s">
        <v>5</v>
      </c>
      <c r="O1" s="74" t="s">
        <v>6</v>
      </c>
      <c r="R1" s="71" t="s">
        <v>82</v>
      </c>
      <c r="S1" s="75" t="str">
        <f>IF(COUNTA($S$5:$S$16)=COUNTIF($S5:$S17,"OK"),"OK","Check")</f>
        <v>OK</v>
      </c>
      <c r="U1" s="180" t="s">
        <v>24</v>
      </c>
      <c r="V1" s="75" t="str">
        <f>'Check|List'!$S$1</f>
        <v>Ok</v>
      </c>
    </row>
    <row r="2" spans="1:47" s="76" customFormat="1" ht="13.5" thickBot="1">
      <c r="B2" s="77" t="str">
        <f>Index!$C$7</f>
        <v>Input | General</v>
      </c>
      <c r="C2" s="77"/>
      <c r="D2" s="77"/>
      <c r="E2" s="77"/>
      <c r="F2" s="78"/>
      <c r="G2" s="78"/>
      <c r="H2" s="78"/>
      <c r="I2" s="78"/>
    </row>
    <row r="3" spans="1:47" s="26" customFormat="1" ht="3" customHeight="1">
      <c r="D3" s="27"/>
      <c r="E3" s="27"/>
      <c r="F3" s="27"/>
      <c r="G3" s="27"/>
      <c r="H3" s="27"/>
      <c r="I3" s="27"/>
    </row>
    <row r="4" spans="1:47" s="102" customFormat="1" ht="12.75">
      <c r="A4" s="93"/>
      <c r="B4" s="94" t="s">
        <v>93</v>
      </c>
      <c r="C4" s="93"/>
      <c r="D4" s="93"/>
      <c r="E4" s="93"/>
      <c r="F4" s="95"/>
      <c r="G4" s="95"/>
      <c r="H4" s="95"/>
      <c r="I4" s="95"/>
      <c r="J4" s="96"/>
      <c r="K4" s="97"/>
      <c r="L4" s="96"/>
      <c r="M4" s="97"/>
      <c r="N4" s="96"/>
      <c r="O4" s="96"/>
      <c r="P4" s="96"/>
      <c r="Q4" s="96"/>
      <c r="R4" s="96"/>
      <c r="S4" s="96"/>
      <c r="T4" s="96"/>
      <c r="U4" s="96"/>
      <c r="V4" s="97"/>
      <c r="W4" s="97"/>
      <c r="X4" s="98"/>
      <c r="Y4" s="98"/>
      <c r="Z4" s="98"/>
      <c r="AA4" s="98"/>
      <c r="AB4" s="99"/>
      <c r="AC4" s="100"/>
      <c r="AD4" s="100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</row>
    <row r="5" spans="1:47"/>
    <row r="6" spans="1:47">
      <c r="C6" s="30" t="s">
        <v>94</v>
      </c>
      <c r="D6" s="31" t="s">
        <v>7</v>
      </c>
      <c r="E6" s="31"/>
      <c r="F6" s="32"/>
      <c r="G6" s="32" t="s">
        <v>67</v>
      </c>
      <c r="H6" s="32"/>
      <c r="I6" s="28"/>
    </row>
    <row r="7" spans="1:47">
      <c r="C7" s="28" t="s">
        <v>64</v>
      </c>
      <c r="D7" s="29" t="s">
        <v>68</v>
      </c>
      <c r="E7" s="28"/>
      <c r="F7" s="28"/>
      <c r="G7" s="51" t="s">
        <v>206</v>
      </c>
      <c r="H7" s="28"/>
      <c r="I7" s="28"/>
      <c r="S7" s="129" t="str">
        <f>IF(COUNTBLANK($G7),"Check","Ok")</f>
        <v>Ok</v>
      </c>
    </row>
    <row r="8" spans="1:47">
      <c r="C8" s="28" t="s">
        <v>135</v>
      </c>
      <c r="D8" s="29" t="s">
        <v>69</v>
      </c>
      <c r="E8" s="28"/>
      <c r="F8" s="28"/>
      <c r="G8" s="51" t="s">
        <v>205</v>
      </c>
      <c r="H8" s="28"/>
      <c r="I8" s="28"/>
      <c r="S8" s="129" t="str">
        <f>IF(COUNTBLANK($G8),"Check","Ok")</f>
        <v>Ok</v>
      </c>
    </row>
    <row r="9" spans="1:47">
      <c r="C9" s="28" t="s">
        <v>119</v>
      </c>
      <c r="D9" s="29" t="s">
        <v>68</v>
      </c>
      <c r="E9" s="28"/>
      <c r="F9" s="28"/>
      <c r="G9" s="150">
        <v>36678</v>
      </c>
      <c r="H9" s="28"/>
      <c r="I9" s="28"/>
      <c r="S9" s="129" t="str">
        <f>IF(COUNTBLANK($G9),"Check","Ok")</f>
        <v>Ok</v>
      </c>
    </row>
    <row r="10" spans="1:47">
      <c r="C10" s="28" t="s">
        <v>149</v>
      </c>
      <c r="D10" s="29" t="s">
        <v>68</v>
      </c>
      <c r="E10" s="28"/>
      <c r="F10" s="28"/>
      <c r="G10" s="151">
        <v>2018</v>
      </c>
      <c r="H10" s="28"/>
      <c r="I10" s="28"/>
      <c r="S10" s="129" t="str">
        <f t="shared" ref="S10:S15" si="0">IF(COUNTBLANK($G10),"Check","Ok")</f>
        <v>Ok</v>
      </c>
    </row>
    <row r="11" spans="1:47">
      <c r="C11" s="28" t="s">
        <v>71</v>
      </c>
      <c r="D11" s="29" t="s">
        <v>68</v>
      </c>
      <c r="E11" s="28"/>
      <c r="F11" s="28"/>
      <c r="G11" s="151">
        <v>2020</v>
      </c>
      <c r="H11" s="28"/>
      <c r="I11" s="28"/>
      <c r="S11" s="129" t="str">
        <f t="shared" si="0"/>
        <v>Ok</v>
      </c>
    </row>
    <row r="12" spans="1:47">
      <c r="C12" s="28" t="s">
        <v>150</v>
      </c>
      <c r="D12" s="29" t="s">
        <v>68</v>
      </c>
      <c r="E12" s="28"/>
      <c r="F12" s="28"/>
      <c r="G12" s="151">
        <v>2022</v>
      </c>
      <c r="H12" s="28"/>
      <c r="I12" s="28"/>
      <c r="S12" s="129" t="str">
        <f t="shared" si="0"/>
        <v>Ok</v>
      </c>
    </row>
    <row r="13" spans="1:47">
      <c r="C13" s="28" t="s">
        <v>65</v>
      </c>
      <c r="D13" s="29" t="s">
        <v>68</v>
      </c>
      <c r="E13" s="28"/>
      <c r="F13" s="28"/>
      <c r="G13" s="151">
        <v>2023</v>
      </c>
      <c r="H13" s="28"/>
      <c r="I13" s="28"/>
      <c r="S13" s="129" t="str">
        <f t="shared" si="0"/>
        <v>Ok</v>
      </c>
    </row>
    <row r="14" spans="1:47">
      <c r="C14" s="28" t="s">
        <v>66</v>
      </c>
      <c r="D14" s="29" t="s">
        <v>68</v>
      </c>
      <c r="E14" s="28"/>
      <c r="F14" s="28"/>
      <c r="G14" s="151">
        <v>2027</v>
      </c>
      <c r="H14" s="28"/>
      <c r="I14" s="28"/>
      <c r="S14" s="129" t="str">
        <f t="shared" si="0"/>
        <v>Ok</v>
      </c>
    </row>
    <row r="15" spans="1:47">
      <c r="C15" s="28" t="s">
        <v>194</v>
      </c>
      <c r="D15" s="29" t="s">
        <v>68</v>
      </c>
      <c r="E15" s="28"/>
      <c r="F15" s="28"/>
      <c r="G15" s="151" t="s">
        <v>15</v>
      </c>
      <c r="H15" s="28"/>
      <c r="I15" s="28"/>
      <c r="S15" s="129" t="str">
        <f t="shared" si="0"/>
        <v>Ok</v>
      </c>
    </row>
    <row r="16" spans="1:47">
      <c r="D16" s="28"/>
      <c r="E16" s="28"/>
      <c r="F16" s="28"/>
      <c r="G16" s="28"/>
      <c r="H16" s="28"/>
      <c r="I16" s="28"/>
    </row>
    <row r="17" spans="1:47" s="102" customFormat="1" ht="12.75">
      <c r="A17" s="93"/>
      <c r="B17" s="94" t="s">
        <v>21</v>
      </c>
      <c r="C17" s="93"/>
      <c r="D17" s="93"/>
      <c r="E17" s="93"/>
      <c r="F17" s="95"/>
      <c r="G17" s="95"/>
      <c r="H17" s="95"/>
      <c r="I17" s="95"/>
      <c r="J17" s="96"/>
      <c r="K17" s="97"/>
      <c r="L17" s="96"/>
      <c r="M17" s="97"/>
      <c r="N17" s="96"/>
      <c r="O17" s="96"/>
      <c r="P17" s="96"/>
      <c r="Q17" s="96"/>
      <c r="R17" s="96"/>
      <c r="S17" s="96"/>
      <c r="T17" s="96"/>
      <c r="U17" s="96"/>
      <c r="V17" s="97"/>
      <c r="W17" s="97"/>
      <c r="X17" s="98"/>
      <c r="Y17" s="98"/>
      <c r="Z17" s="98"/>
      <c r="AA17" s="98"/>
      <c r="AB17" s="99"/>
      <c r="AC17" s="100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</row>
    <row r="18" spans="1:47" hidden="1">
      <c r="G18" s="31"/>
      <c r="H18" s="31"/>
    </row>
    <row r="19" spans="1:47" hidden="1">
      <c r="G19" s="31"/>
      <c r="H19" s="31"/>
    </row>
    <row r="20" spans="1:47" hidden="1">
      <c r="G20" s="31"/>
      <c r="H20" s="31"/>
    </row>
    <row r="21" spans="1:47" hidden="1">
      <c r="G21" s="31"/>
      <c r="H21" s="31"/>
    </row>
    <row r="22" spans="1:47" hidden="1">
      <c r="G22" s="31"/>
      <c r="H22" s="31"/>
    </row>
    <row r="23" spans="1:47" hidden="1">
      <c r="G23" s="31"/>
      <c r="H23" s="31"/>
    </row>
    <row r="24" spans="1:47" hidden="1">
      <c r="G24" s="31"/>
      <c r="H24" s="31"/>
    </row>
    <row r="25" spans="1:47" hidden="1">
      <c r="G25" s="31"/>
      <c r="H25" s="31"/>
    </row>
    <row r="26" spans="1:47" hidden="1">
      <c r="G26" s="31"/>
      <c r="H26" s="31"/>
    </row>
    <row r="27" spans="1:47" hidden="1">
      <c r="G27" s="31"/>
      <c r="H27" s="31"/>
    </row>
  </sheetData>
  <dataConsolidate/>
  <conditionalFormatting sqref="W14:W16">
    <cfRule type="cellIs" dxfId="204" priority="13" operator="equal">
      <formula>"Check"</formula>
    </cfRule>
    <cfRule type="cellIs" dxfId="203" priority="14" operator="equal">
      <formula>"Ok"</formula>
    </cfRule>
  </conditionalFormatting>
  <conditionalFormatting sqref="V1">
    <cfRule type="cellIs" dxfId="202" priority="3" operator="equal">
      <formula>"Check"</formula>
    </cfRule>
    <cfRule type="cellIs" dxfId="201" priority="4" operator="equal">
      <formula>"Ok"</formula>
    </cfRule>
  </conditionalFormatting>
  <conditionalFormatting sqref="S7:S15">
    <cfRule type="cellIs" dxfId="200" priority="5" operator="equal">
      <formula>"Check"</formula>
    </cfRule>
    <cfRule type="cellIs" dxfId="199" priority="6" operator="equal">
      <formula>"Ok"</formula>
    </cfRule>
  </conditionalFormatting>
  <conditionalFormatting sqref="S1">
    <cfRule type="cellIs" dxfId="198" priority="1" operator="equal">
      <formula>"Check"</formula>
    </cfRule>
    <cfRule type="cellIs" dxfId="197" priority="2" operator="equal">
      <formula>"Ok"</formula>
    </cfRule>
  </conditionalFormatting>
  <dataValidations count="3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V96"/>
  <sheetViews>
    <sheetView showGridLines="0" topLeftCell="A49" workbookViewId="0">
      <selection activeCell="F70" sqref="F70"/>
    </sheetView>
  </sheetViews>
  <sheetFormatPr defaultColWidth="0" defaultRowHeight="11.25" customHeight="1" zeroHeight="1"/>
  <cols>
    <col min="1" max="2" width="1.5" style="28" customWidth="1"/>
    <col min="3" max="3" width="11.6640625" style="28" bestFit="1" customWidth="1"/>
    <col min="4" max="4" width="21.5" style="29" bestFit="1" customWidth="1"/>
    <col min="5" max="5" width="21.5" style="29" customWidth="1"/>
    <col min="6" max="7" width="15" style="29" customWidth="1"/>
    <col min="8" max="10" width="3.33203125" style="29" customWidth="1"/>
    <col min="11" max="24" width="10.83203125" style="28" customWidth="1"/>
    <col min="25" max="39" width="10.5" style="28" hidden="1" customWidth="1"/>
    <col min="40" max="16384" width="10.5" style="28" hidden="1"/>
  </cols>
  <sheetData>
    <row r="1" spans="1:48" s="68" customFormat="1" ht="15.75">
      <c r="B1" s="69" t="str">
        <f>Index!$B$1</f>
        <v>AER opex model v2.0</v>
      </c>
      <c r="C1" s="69"/>
      <c r="D1" s="69"/>
      <c r="E1" s="69"/>
      <c r="F1" s="69"/>
      <c r="G1" s="70"/>
      <c r="H1" s="70"/>
      <c r="I1" s="70"/>
      <c r="J1" s="70"/>
      <c r="K1" s="36" t="s">
        <v>2</v>
      </c>
      <c r="M1" s="71" t="s">
        <v>3</v>
      </c>
      <c r="N1" s="72" t="s">
        <v>4</v>
      </c>
      <c r="O1" s="73" t="s">
        <v>5</v>
      </c>
      <c r="P1" s="74" t="s">
        <v>6</v>
      </c>
      <c r="S1" s="71" t="s">
        <v>82</v>
      </c>
      <c r="T1" s="75" t="str">
        <f>IF(COUNTA($T$5:$T$85)=COUNTIF($T5:$T86,"OK"),"OK","Check")</f>
        <v>OK</v>
      </c>
      <c r="V1" s="180" t="s">
        <v>24</v>
      </c>
      <c r="W1" s="75" t="str">
        <f>'Check|List'!$S$1</f>
        <v>Ok</v>
      </c>
    </row>
    <row r="2" spans="1:48" s="76" customFormat="1" ht="13.5" thickBot="1">
      <c r="B2" s="77" t="str">
        <f>Index!$C$7</f>
        <v>Input | General</v>
      </c>
      <c r="C2" s="77"/>
      <c r="D2" s="77"/>
      <c r="E2" s="77"/>
      <c r="F2" s="77"/>
      <c r="G2" s="78"/>
      <c r="H2" s="78"/>
      <c r="I2" s="78"/>
      <c r="J2" s="78"/>
    </row>
    <row r="3" spans="1:48" s="26" customFormat="1" ht="3" customHeight="1">
      <c r="D3" s="27"/>
      <c r="E3" s="27"/>
      <c r="F3" s="27"/>
      <c r="G3" s="27"/>
      <c r="H3" s="27"/>
      <c r="I3" s="27"/>
      <c r="J3" s="27"/>
    </row>
    <row r="4" spans="1:48" s="102" customFormat="1" ht="12.75">
      <c r="A4" s="93"/>
      <c r="B4" s="94" t="s">
        <v>93</v>
      </c>
      <c r="C4" s="93"/>
      <c r="D4" s="93"/>
      <c r="E4" s="93"/>
      <c r="F4" s="93"/>
      <c r="G4" s="95"/>
      <c r="H4" s="95"/>
      <c r="I4" s="95"/>
      <c r="J4" s="95"/>
      <c r="K4" s="96"/>
      <c r="L4" s="97"/>
      <c r="M4" s="96"/>
      <c r="N4" s="97"/>
      <c r="O4" s="96"/>
      <c r="P4" s="96"/>
      <c r="Q4" s="96"/>
      <c r="R4" s="96"/>
      <c r="S4" s="96"/>
      <c r="T4" s="96"/>
      <c r="U4" s="96"/>
      <c r="V4" s="96"/>
      <c r="W4" s="97"/>
      <c r="X4" s="97"/>
      <c r="Y4" s="98"/>
      <c r="Z4" s="98"/>
      <c r="AA4" s="98"/>
      <c r="AB4" s="98"/>
      <c r="AC4" s="99"/>
      <c r="AD4" s="100"/>
      <c r="AE4" s="100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</row>
    <row r="5" spans="1:48" ht="11.25" customHeight="1"/>
    <row r="6" spans="1:48" ht="53.25">
      <c r="D6" s="61" t="s">
        <v>97</v>
      </c>
      <c r="E6" s="61" t="s">
        <v>133</v>
      </c>
      <c r="F6" s="61" t="s">
        <v>97</v>
      </c>
      <c r="G6" s="61" t="s">
        <v>133</v>
      </c>
      <c r="H6" s="61"/>
      <c r="I6" s="28"/>
      <c r="J6" s="28"/>
    </row>
    <row r="7" spans="1:48">
      <c r="C7" s="66" t="s">
        <v>7</v>
      </c>
      <c r="D7" s="65" t="s">
        <v>95</v>
      </c>
      <c r="E7" s="65" t="s">
        <v>30</v>
      </c>
      <c r="F7" s="65" t="s">
        <v>95</v>
      </c>
      <c r="G7" s="65" t="s">
        <v>30</v>
      </c>
      <c r="H7" s="65"/>
      <c r="I7" s="28"/>
      <c r="J7" s="28"/>
    </row>
    <row r="8" spans="1:48">
      <c r="C8" s="66" t="s">
        <v>8</v>
      </c>
      <c r="D8" s="65" t="s">
        <v>83</v>
      </c>
      <c r="E8" s="65" t="s">
        <v>16</v>
      </c>
      <c r="F8" s="65" t="s">
        <v>83</v>
      </c>
      <c r="G8" s="65" t="s">
        <v>16</v>
      </c>
      <c r="H8" s="65"/>
      <c r="I8" s="28"/>
      <c r="J8" s="28"/>
    </row>
    <row r="9" spans="1:48">
      <c r="C9" s="63">
        <v>39172</v>
      </c>
      <c r="D9" s="62">
        <v>155.6</v>
      </c>
      <c r="E9" s="28"/>
      <c r="F9" s="28"/>
      <c r="G9" s="28"/>
      <c r="H9" s="28"/>
      <c r="I9" s="28"/>
      <c r="J9" s="28"/>
      <c r="T9" s="129" t="str">
        <f>IF(C9&gt;EOMONTH(DATE('Input|General'!$G$12,MONTH('Input|General'!$G$9),1),0),"Ok",IF(ISBLANK($D9),"Check","Ok"))</f>
        <v>Ok</v>
      </c>
    </row>
    <row r="10" spans="1:48">
      <c r="C10" s="63">
        <v>39263</v>
      </c>
      <c r="D10" s="62">
        <v>157.5</v>
      </c>
      <c r="E10" s="28"/>
      <c r="F10" s="28"/>
      <c r="G10" s="28"/>
      <c r="H10" s="28"/>
      <c r="I10" s="28"/>
      <c r="J10" s="28"/>
      <c r="T10" s="129" t="str">
        <f>IF(C10&gt;EOMONTH(DATE('Input|General'!$G$12,MONTH('Input|General'!$G$9),1),0),"Ok",IF(ISBLANK($D10),"Check","Ok"))</f>
        <v>Ok</v>
      </c>
    </row>
    <row r="11" spans="1:48">
      <c r="C11" s="63">
        <v>39355</v>
      </c>
      <c r="D11" s="62">
        <v>158.6</v>
      </c>
      <c r="E11" s="28"/>
      <c r="F11" s="28"/>
      <c r="G11" s="28"/>
      <c r="H11" s="28"/>
      <c r="I11" s="28"/>
      <c r="J11" s="28"/>
      <c r="T11" s="129" t="str">
        <f>IF(C11&gt;EOMONTH(DATE('Input|General'!$G$12,MONTH('Input|General'!$G$9),1),0),"Ok",IF(ISBLANK($D11),"Check","Ok"))</f>
        <v>Ok</v>
      </c>
    </row>
    <row r="12" spans="1:48">
      <c r="C12" s="63">
        <v>39447</v>
      </c>
      <c r="D12" s="62">
        <v>160.1</v>
      </c>
      <c r="E12" s="28"/>
      <c r="F12" s="28"/>
      <c r="G12" s="64"/>
      <c r="H12" s="28"/>
      <c r="I12" s="28"/>
      <c r="J12" s="28"/>
      <c r="T12" s="129" t="str">
        <f>IF(C12&gt;EOMONTH(DATE('Input|General'!$G$12,MONTH('Input|General'!$G$9),1),0),"Ok",IF(ISBLANK($D12),"Check","Ok"))</f>
        <v>Ok</v>
      </c>
    </row>
    <row r="13" spans="1:48">
      <c r="C13" s="63">
        <v>39538</v>
      </c>
      <c r="D13" s="62">
        <v>162.19999999999999</v>
      </c>
      <c r="E13" s="116">
        <f>D13/D9-1</f>
        <v>4.2416452442159303E-2</v>
      </c>
      <c r="F13" s="28"/>
      <c r="G13" s="64"/>
      <c r="H13" s="28"/>
      <c r="I13" s="28"/>
      <c r="J13" s="28"/>
      <c r="T13" s="129" t="str">
        <f>IF(C13&gt;EOMONTH(DATE('Input|General'!$G$12,MONTH('Input|General'!$G$9),1),0),"Ok",IF(ISBLANK($D13),"Check","Ok"))</f>
        <v>Ok</v>
      </c>
    </row>
    <row r="14" spans="1:48">
      <c r="C14" s="63">
        <v>39629</v>
      </c>
      <c r="D14" s="62">
        <v>164.6</v>
      </c>
      <c r="E14" s="116">
        <f t="shared" ref="E14:E29" si="0">D14/D10-1</f>
        <v>4.5079365079365052E-2</v>
      </c>
      <c r="F14" s="28"/>
      <c r="G14" s="64"/>
      <c r="H14" s="28"/>
      <c r="I14" s="28"/>
      <c r="J14" s="28"/>
      <c r="T14" s="129" t="str">
        <f>IF(C14&gt;EOMONTH(DATE('Input|General'!$G$12,MONTH('Input|General'!$G$9),1),0),"Ok",IF(ISBLANK($D14),"Check","Ok"))</f>
        <v>Ok</v>
      </c>
    </row>
    <row r="15" spans="1:48">
      <c r="C15" s="63">
        <v>39721</v>
      </c>
      <c r="D15" s="62">
        <v>166.5</v>
      </c>
      <c r="E15" s="116">
        <f t="shared" si="0"/>
        <v>4.9810844892812067E-2</v>
      </c>
      <c r="F15" s="28"/>
      <c r="G15" s="64"/>
      <c r="H15" s="28"/>
      <c r="I15" s="28"/>
      <c r="J15" s="28"/>
      <c r="T15" s="129" t="str">
        <f>IF(C15&gt;EOMONTH(DATE('Input|General'!$G$12,MONTH('Input|General'!$G$9),1),0),"Ok",IF(ISBLANK($D15),"Check","Ok"))</f>
        <v>Ok</v>
      </c>
    </row>
    <row r="16" spans="1:48">
      <c r="C16" s="63">
        <v>39813</v>
      </c>
      <c r="D16" s="62">
        <v>166</v>
      </c>
      <c r="E16" s="116">
        <f t="shared" si="0"/>
        <v>3.6851967520299844E-2</v>
      </c>
      <c r="F16" s="28"/>
      <c r="G16" s="64"/>
      <c r="H16" s="28"/>
      <c r="I16" s="28"/>
      <c r="J16" s="28"/>
      <c r="T16" s="129" t="str">
        <f>IF(C16&gt;EOMONTH(DATE('Input|General'!$G$12,MONTH('Input|General'!$G$9),1),0),"Ok",IF(ISBLANK($D16),"Check","Ok"))</f>
        <v>Ok</v>
      </c>
    </row>
    <row r="17" spans="3:20">
      <c r="C17" s="63">
        <v>39903</v>
      </c>
      <c r="D17" s="62">
        <v>166.2</v>
      </c>
      <c r="E17" s="116">
        <f t="shared" si="0"/>
        <v>2.4660912453760897E-2</v>
      </c>
      <c r="F17" s="28"/>
      <c r="G17" s="64"/>
      <c r="H17" s="28"/>
      <c r="I17" s="28"/>
      <c r="J17" s="28"/>
      <c r="T17" s="129" t="str">
        <f>IF(C17&gt;EOMONTH(DATE('Input|General'!$G$12,MONTH('Input|General'!$G$9),1),0),"Ok",IF(ISBLANK($D17),"Check","Ok"))</f>
        <v>Ok</v>
      </c>
    </row>
    <row r="18" spans="3:20">
      <c r="C18" s="63">
        <v>39994</v>
      </c>
      <c r="D18" s="62">
        <v>167</v>
      </c>
      <c r="E18" s="116">
        <f t="shared" si="0"/>
        <v>1.4580801944106936E-2</v>
      </c>
      <c r="F18" s="28"/>
      <c r="G18" s="64"/>
      <c r="H18" s="28"/>
      <c r="I18" s="28"/>
      <c r="J18" s="28"/>
      <c r="T18" s="129" t="str">
        <f>IF(C18&gt;EOMONTH(DATE('Input|General'!$G$12,MONTH('Input|General'!$G$9),1),0),"Ok",IF(ISBLANK($D18),"Check","Ok"))</f>
        <v>Ok</v>
      </c>
    </row>
    <row r="19" spans="3:20">
      <c r="C19" s="63">
        <v>40086</v>
      </c>
      <c r="D19" s="62">
        <v>168.6</v>
      </c>
      <c r="E19" s="116">
        <f t="shared" si="0"/>
        <v>1.2612612612612484E-2</v>
      </c>
      <c r="F19" s="28"/>
      <c r="G19" s="64"/>
      <c r="H19" s="28"/>
      <c r="I19" s="28"/>
      <c r="J19" s="28"/>
      <c r="T19" s="129" t="str">
        <f>IF(C19&gt;EOMONTH(DATE('Input|General'!$G$12,MONTH('Input|General'!$G$9),1),0),"Ok",IF(ISBLANK($D19),"Check","Ok"))</f>
        <v>Ok</v>
      </c>
    </row>
    <row r="20" spans="3:20">
      <c r="C20" s="63">
        <v>40178</v>
      </c>
      <c r="D20" s="62">
        <v>169.5</v>
      </c>
      <c r="E20" s="116">
        <f t="shared" si="0"/>
        <v>2.108433734939763E-2</v>
      </c>
      <c r="F20" s="28"/>
      <c r="G20" s="64"/>
      <c r="H20" s="28"/>
      <c r="I20" s="28"/>
      <c r="J20" s="28"/>
      <c r="T20" s="129" t="str">
        <f>IF(C20&gt;EOMONTH(DATE('Input|General'!$G$12,MONTH('Input|General'!$G$9),1),0),"Ok",IF(ISBLANK($D20),"Check","Ok"))</f>
        <v>Ok</v>
      </c>
    </row>
    <row r="21" spans="3:20">
      <c r="C21" s="63">
        <v>40268</v>
      </c>
      <c r="D21" s="62">
        <v>171</v>
      </c>
      <c r="E21" s="116">
        <f t="shared" si="0"/>
        <v>2.8880866425992746E-2</v>
      </c>
      <c r="F21" s="206">
        <v>95.2</v>
      </c>
      <c r="G21" s="64"/>
      <c r="H21" s="181"/>
      <c r="I21" s="28"/>
      <c r="J21" s="28"/>
      <c r="T21" s="129" t="str">
        <f>IF(C21&gt;EOMONTH(DATE('Input|General'!$G$12,MONTH('Input|General'!$G$9),1),0),"Ok",IF(ISBLANK($F21),"Check","Ok"))</f>
        <v>Ok</v>
      </c>
    </row>
    <row r="22" spans="3:20">
      <c r="C22" s="63">
        <v>40359</v>
      </c>
      <c r="D22" s="62">
        <v>172.1</v>
      </c>
      <c r="E22" s="116">
        <f t="shared" si="0"/>
        <v>3.0538922155688653E-2</v>
      </c>
      <c r="F22" s="206">
        <v>95.8</v>
      </c>
      <c r="G22" s="64"/>
      <c r="H22" s="181"/>
      <c r="I22" s="28"/>
      <c r="J22" s="28"/>
      <c r="T22" s="129" t="str">
        <f>IF(C22&gt;EOMONTH(DATE('Input|General'!$G$12,MONTH('Input|General'!$G$9),1),0),"Ok",IF(ISBLANK($F22),"Check","Ok"))</f>
        <v>Ok</v>
      </c>
    </row>
    <row r="23" spans="3:20">
      <c r="C23" s="63">
        <v>40451</v>
      </c>
      <c r="D23" s="62">
        <v>173.3</v>
      </c>
      <c r="E23" s="116">
        <f t="shared" si="0"/>
        <v>2.7876631079478242E-2</v>
      </c>
      <c r="F23" s="206">
        <v>96.5</v>
      </c>
      <c r="G23" s="64"/>
      <c r="H23" s="181"/>
      <c r="I23" s="28"/>
      <c r="J23" s="28"/>
      <c r="T23" s="129" t="str">
        <f>IF(C23&gt;EOMONTH(DATE('Input|General'!$G$12,MONTH('Input|General'!$G$9),1),0),"Ok",IF(ISBLANK($F23),"Check","Ok"))</f>
        <v>Ok</v>
      </c>
    </row>
    <row r="24" spans="3:20">
      <c r="C24" s="63">
        <v>40543</v>
      </c>
      <c r="D24" s="62">
        <v>174</v>
      </c>
      <c r="E24" s="116">
        <f t="shared" si="0"/>
        <v>2.6548672566371723E-2</v>
      </c>
      <c r="F24" s="206">
        <v>96.9</v>
      </c>
      <c r="G24" s="64"/>
      <c r="H24" s="181"/>
      <c r="I24" s="28"/>
      <c r="J24" s="28"/>
      <c r="T24" s="129" t="str">
        <f>IF(C24&gt;EOMONTH(DATE('Input|General'!$G$12,MONTH('Input|General'!$G$9),1),0),"Ok",IF(ISBLANK($F24),"Check","Ok"))</f>
        <v>Ok</v>
      </c>
    </row>
    <row r="25" spans="3:20">
      <c r="C25" s="63">
        <v>40633</v>
      </c>
      <c r="D25" s="62">
        <v>176.7</v>
      </c>
      <c r="E25" s="116">
        <f t="shared" si="0"/>
        <v>3.3333333333333215E-2</v>
      </c>
      <c r="F25" s="206">
        <v>98.3</v>
      </c>
      <c r="G25" s="116">
        <f>IF(ISBLANK(F25),"",F25/F21-1)</f>
        <v>3.2563025210083918E-2</v>
      </c>
      <c r="H25" s="181"/>
      <c r="I25" s="28"/>
      <c r="J25" s="28"/>
      <c r="T25" s="129" t="str">
        <f>IF(C25&gt;EOMONTH(DATE('Input|General'!$G$12,MONTH('Input|General'!$G$9),1),0),"Ok",IF(ISBLANK($F25),"Check","Ok"))</f>
        <v>Ok</v>
      </c>
    </row>
    <row r="26" spans="3:20">
      <c r="C26" s="63">
        <v>40724</v>
      </c>
      <c r="D26" s="62">
        <v>178.3</v>
      </c>
      <c r="E26" s="116">
        <f t="shared" si="0"/>
        <v>3.6025566531086683E-2</v>
      </c>
      <c r="F26" s="206">
        <v>99.2</v>
      </c>
      <c r="G26" s="116">
        <f t="shared" ref="G26:G84" si="1">IF(ISBLANK(F26),"",F26/F22-1)</f>
        <v>3.5490605427975108E-2</v>
      </c>
      <c r="H26" s="181"/>
      <c r="I26" s="28"/>
      <c r="J26" s="28"/>
      <c r="T26" s="129" t="str">
        <f>IF(C26&gt;EOMONTH(DATE('Input|General'!$G$12,MONTH('Input|General'!$G$9),1),0),"Ok",IF(ISBLANK($F26),"Check","Ok"))</f>
        <v>Ok</v>
      </c>
    </row>
    <row r="27" spans="3:20">
      <c r="C27" s="63">
        <v>40816</v>
      </c>
      <c r="D27" s="62">
        <v>179.4</v>
      </c>
      <c r="E27" s="116">
        <f t="shared" si="0"/>
        <v>3.5199076745527913E-2</v>
      </c>
      <c r="F27" s="206">
        <v>99.8</v>
      </c>
      <c r="G27" s="116">
        <f t="shared" si="1"/>
        <v>3.4196891191709877E-2</v>
      </c>
      <c r="H27" s="181"/>
      <c r="I27" s="28"/>
      <c r="J27" s="28"/>
      <c r="T27" s="129" t="str">
        <f>IF(C27&gt;EOMONTH(DATE('Input|General'!$G$12,MONTH('Input|General'!$G$9),1),0),"Ok",IF(ISBLANK($F27),"Check","Ok"))</f>
        <v>Ok</v>
      </c>
    </row>
    <row r="28" spans="3:20">
      <c r="C28" s="63">
        <v>40908</v>
      </c>
      <c r="D28" s="62">
        <v>179.4</v>
      </c>
      <c r="E28" s="116">
        <f t="shared" si="0"/>
        <v>3.1034482758620641E-2</v>
      </c>
      <c r="F28" s="206">
        <v>99.8</v>
      </c>
      <c r="G28" s="116">
        <f t="shared" si="1"/>
        <v>2.9927760577915352E-2</v>
      </c>
      <c r="H28" s="181"/>
      <c r="I28" s="28"/>
      <c r="J28" s="28"/>
      <c r="T28" s="129" t="str">
        <f>IF(C28&gt;EOMONTH(DATE('Input|General'!$G$12,MONTH('Input|General'!$G$9),1),0),"Ok",IF(ISBLANK($F28),"Check","Ok"))</f>
        <v>Ok</v>
      </c>
    </row>
    <row r="29" spans="3:20">
      <c r="C29" s="63">
        <v>40999</v>
      </c>
      <c r="D29" s="62">
        <v>179.5</v>
      </c>
      <c r="E29" s="116">
        <f t="shared" si="0"/>
        <v>1.5846066779853007E-2</v>
      </c>
      <c r="F29" s="206">
        <v>99.9</v>
      </c>
      <c r="G29" s="116">
        <f t="shared" si="1"/>
        <v>1.6276703967446737E-2</v>
      </c>
      <c r="H29" s="181"/>
      <c r="I29" s="28"/>
      <c r="J29" s="28"/>
      <c r="T29" s="129" t="str">
        <f>IF(C29&gt;EOMONTH(DATE('Input|General'!$G$12,MONTH('Input|General'!$G$9),1),0),"Ok",IF(ISBLANK($F29),"Check","Ok"))</f>
        <v>Ok</v>
      </c>
    </row>
    <row r="30" spans="3:20">
      <c r="C30" s="63">
        <v>41090</v>
      </c>
      <c r="D30" s="28"/>
      <c r="E30" s="28"/>
      <c r="F30" s="206">
        <v>100.4</v>
      </c>
      <c r="G30" s="116">
        <f t="shared" si="1"/>
        <v>1.2096774193548487E-2</v>
      </c>
      <c r="H30" s="181"/>
      <c r="I30" s="28"/>
      <c r="J30" s="28"/>
      <c r="T30" s="129" t="str">
        <f>IF(C30&gt;EOMONTH(DATE('Input|General'!$G$12,MONTH('Input|General'!$G$9),1),0),"Ok",IF(ISBLANK($F30),"Check","Ok"))</f>
        <v>Ok</v>
      </c>
    </row>
    <row r="31" spans="3:20">
      <c r="C31" s="63">
        <v>41182</v>
      </c>
      <c r="D31" s="28"/>
      <c r="E31" s="28"/>
      <c r="F31" s="206">
        <v>101.8</v>
      </c>
      <c r="G31" s="116">
        <f t="shared" si="1"/>
        <v>2.0040080160320661E-2</v>
      </c>
      <c r="H31" s="181"/>
      <c r="I31" s="28"/>
      <c r="J31" s="28"/>
      <c r="T31" s="129" t="str">
        <f>IF(C31&gt;EOMONTH(DATE('Input|General'!$G$12,MONTH('Input|General'!$G$9),1),0),"Ok",IF(ISBLANK($F31),"Check","Ok"))</f>
        <v>Ok</v>
      </c>
    </row>
    <row r="32" spans="3:20">
      <c r="C32" s="63">
        <v>41274</v>
      </c>
      <c r="D32" s="28"/>
      <c r="E32" s="28"/>
      <c r="F32" s="206">
        <v>102</v>
      </c>
      <c r="G32" s="116">
        <f t="shared" si="1"/>
        <v>2.2044088176352838E-2</v>
      </c>
      <c r="H32" s="181"/>
      <c r="I32" s="28"/>
      <c r="J32" s="28"/>
      <c r="T32" s="129" t="str">
        <f>IF(C32&gt;EOMONTH(DATE('Input|General'!$G$12,MONTH('Input|General'!$G$9),1),0),"Ok",IF(ISBLANK($F32),"Check","Ok"))</f>
        <v>Ok</v>
      </c>
    </row>
    <row r="33" spans="3:20">
      <c r="C33" s="63">
        <v>41364</v>
      </c>
      <c r="D33" s="28"/>
      <c r="E33" s="28"/>
      <c r="F33" s="206">
        <v>102.4</v>
      </c>
      <c r="G33" s="116">
        <f t="shared" si="1"/>
        <v>2.5025025025025016E-2</v>
      </c>
      <c r="H33" s="181"/>
      <c r="I33" s="28"/>
      <c r="J33" s="28"/>
      <c r="T33" s="129" t="str">
        <f>IF(C33&gt;EOMONTH(DATE('Input|General'!$G$12,MONTH('Input|General'!$G$9),1),0),"Ok",IF(ISBLANK($F33),"Check","Ok"))</f>
        <v>Ok</v>
      </c>
    </row>
    <row r="34" spans="3:20">
      <c r="C34" s="63">
        <v>41455</v>
      </c>
      <c r="D34" s="28"/>
      <c r="E34" s="28"/>
      <c r="F34" s="206">
        <v>102.8</v>
      </c>
      <c r="G34" s="116">
        <f t="shared" si="1"/>
        <v>2.3904382470119501E-2</v>
      </c>
      <c r="H34" s="181"/>
      <c r="I34" s="28"/>
      <c r="J34" s="28"/>
      <c r="T34" s="129" t="str">
        <f>IF(C34&gt;EOMONTH(DATE('Input|General'!$G$12,MONTH('Input|General'!$G$9),1),0),"Ok",IF(ISBLANK($F34),"Check","Ok"))</f>
        <v>Ok</v>
      </c>
    </row>
    <row r="35" spans="3:20">
      <c r="C35" s="63">
        <v>41547</v>
      </c>
      <c r="D35" s="28"/>
      <c r="E35" s="28"/>
      <c r="F35" s="206">
        <v>104</v>
      </c>
      <c r="G35" s="116">
        <f t="shared" si="1"/>
        <v>2.16110019646365E-2</v>
      </c>
      <c r="H35" s="181"/>
      <c r="I35" s="28"/>
      <c r="J35" s="28"/>
      <c r="T35" s="129" t="str">
        <f>IF(C35&gt;EOMONTH(DATE('Input|General'!$G$12,MONTH('Input|General'!$G$9),1),0),"Ok",IF(ISBLANK($F35),"Check","Ok"))</f>
        <v>Ok</v>
      </c>
    </row>
    <row r="36" spans="3:20">
      <c r="C36" s="63">
        <v>41639</v>
      </c>
      <c r="D36" s="28"/>
      <c r="E36" s="28"/>
      <c r="F36" s="206">
        <v>104.8</v>
      </c>
      <c r="G36" s="116">
        <f t="shared" si="1"/>
        <v>2.7450980392156765E-2</v>
      </c>
      <c r="H36" s="181"/>
      <c r="I36" s="28"/>
      <c r="J36" s="28"/>
      <c r="T36" s="129" t="str">
        <f>IF(C36&gt;EOMONTH(DATE('Input|General'!$G$12,MONTH('Input|General'!$G$9),1),0),"Ok",IF(ISBLANK($F36),"Check","Ok"))</f>
        <v>Ok</v>
      </c>
    </row>
    <row r="37" spans="3:20">
      <c r="C37" s="63">
        <v>41729</v>
      </c>
      <c r="D37" s="28"/>
      <c r="E37" s="28"/>
      <c r="F37" s="206">
        <v>105.4</v>
      </c>
      <c r="G37" s="116">
        <f t="shared" si="1"/>
        <v>2.9296875E-2</v>
      </c>
      <c r="H37" s="181"/>
      <c r="I37" s="28"/>
      <c r="J37" s="28"/>
      <c r="T37" s="129" t="str">
        <f>IF(C37&gt;EOMONTH(DATE('Input|General'!$G$12,MONTH('Input|General'!$G$9),1),0),"Ok",IF(ISBLANK($F37),"Check","Ok"))</f>
        <v>Ok</v>
      </c>
    </row>
    <row r="38" spans="3:20">
      <c r="C38" s="63">
        <v>41820</v>
      </c>
      <c r="D38" s="28"/>
      <c r="E38" s="28"/>
      <c r="F38" s="206">
        <v>105.9</v>
      </c>
      <c r="G38" s="116">
        <f t="shared" si="1"/>
        <v>3.0155642023346418E-2</v>
      </c>
      <c r="H38" s="181"/>
      <c r="I38" s="28"/>
      <c r="J38" s="28"/>
      <c r="T38" s="129" t="str">
        <f>IF(C38&gt;EOMONTH(DATE('Input|General'!$G$12,MONTH('Input|General'!$G$9),1),0),"Ok",IF(ISBLANK($F38),"Check","Ok"))</f>
        <v>Ok</v>
      </c>
    </row>
    <row r="39" spans="3:20">
      <c r="C39" s="63">
        <v>41912</v>
      </c>
      <c r="D39" s="28"/>
      <c r="E39" s="28"/>
      <c r="F39" s="206">
        <v>106.4</v>
      </c>
      <c r="G39" s="116">
        <f t="shared" si="1"/>
        <v>2.3076923076923217E-2</v>
      </c>
      <c r="H39" s="181"/>
      <c r="I39" s="28"/>
      <c r="J39" s="28"/>
      <c r="T39" s="129" t="str">
        <f>IF(C39&gt;EOMONTH(DATE('Input|General'!$G$12,MONTH('Input|General'!$G$9),1),0),"Ok",IF(ISBLANK($F39),"Check","Ok"))</f>
        <v>Ok</v>
      </c>
    </row>
    <row r="40" spans="3:20">
      <c r="C40" s="63">
        <v>42004</v>
      </c>
      <c r="D40" s="28"/>
      <c r="E40" s="28"/>
      <c r="F40" s="206">
        <v>106.6</v>
      </c>
      <c r="G40" s="116">
        <f t="shared" si="1"/>
        <v>1.7175572519083859E-2</v>
      </c>
      <c r="H40" s="181"/>
      <c r="I40" s="28"/>
      <c r="J40" s="28"/>
      <c r="T40" s="129" t="str">
        <f>IF(C40&gt;EOMONTH(DATE('Input|General'!$G$12,MONTH('Input|General'!$G$9),1),0),"Ok",IF(ISBLANK($F40),"Check","Ok"))</f>
        <v>Ok</v>
      </c>
    </row>
    <row r="41" spans="3:20">
      <c r="C41" s="63">
        <v>42094</v>
      </c>
      <c r="D41" s="28"/>
      <c r="E41" s="28"/>
      <c r="F41" s="206">
        <v>106.8</v>
      </c>
      <c r="G41" s="116">
        <f t="shared" si="1"/>
        <v>1.3282732447817747E-2</v>
      </c>
      <c r="H41" s="181"/>
      <c r="I41" s="28"/>
      <c r="J41" s="28"/>
      <c r="T41" s="129" t="str">
        <f>IF(C41&gt;EOMONTH(DATE('Input|General'!$G$12,MONTH('Input|General'!$G$9),1),0),"Ok",IF(ISBLANK($F41),"Check","Ok"))</f>
        <v>Ok</v>
      </c>
    </row>
    <row r="42" spans="3:20">
      <c r="C42" s="63">
        <v>42185</v>
      </c>
      <c r="D42" s="28"/>
      <c r="E42" s="28"/>
      <c r="F42" s="206">
        <v>107.5</v>
      </c>
      <c r="G42" s="116">
        <f t="shared" si="1"/>
        <v>1.5108593012275628E-2</v>
      </c>
      <c r="H42" s="181"/>
      <c r="I42" s="28"/>
      <c r="J42" s="28"/>
      <c r="T42" s="129" t="str">
        <f>IF(C42&gt;EOMONTH(DATE('Input|General'!$G$12,MONTH('Input|General'!$G$9),1),0),"Ok",IF(ISBLANK($F42),"Check","Ok"))</f>
        <v>Ok</v>
      </c>
    </row>
    <row r="43" spans="3:20">
      <c r="C43" s="63">
        <v>42277</v>
      </c>
      <c r="D43" s="28"/>
      <c r="E43" s="28"/>
      <c r="F43" s="206">
        <v>108</v>
      </c>
      <c r="G43" s="116">
        <f t="shared" si="1"/>
        <v>1.5037593984962294E-2</v>
      </c>
      <c r="H43" s="181"/>
      <c r="I43" s="28"/>
      <c r="J43" s="28"/>
      <c r="T43" s="129" t="str">
        <f>IF(C43&gt;EOMONTH(DATE('Input|General'!$G$12,MONTH('Input|General'!$G$9),1),0),"Ok",IF(ISBLANK($F43),"Check","Ok"))</f>
        <v>Ok</v>
      </c>
    </row>
    <row r="44" spans="3:20">
      <c r="C44" s="63">
        <v>42369</v>
      </c>
      <c r="D44" s="28"/>
      <c r="E44" s="28"/>
      <c r="F44" s="206">
        <v>108.4</v>
      </c>
      <c r="G44" s="116">
        <f t="shared" si="1"/>
        <v>1.6885553470919357E-2</v>
      </c>
      <c r="H44" s="181"/>
      <c r="I44" s="28"/>
      <c r="J44" s="28"/>
      <c r="T44" s="129" t="str">
        <f>IF(C44&gt;EOMONTH(DATE('Input|General'!$G$12,MONTH('Input|General'!$G$9),1),0),"Ok",IF(ISBLANK($F44),"Check","Ok"))</f>
        <v>Ok</v>
      </c>
    </row>
    <row r="45" spans="3:20">
      <c r="C45" s="63">
        <v>42460</v>
      </c>
      <c r="D45" s="28"/>
      <c r="E45" s="28"/>
      <c r="F45" s="206">
        <v>108.2</v>
      </c>
      <c r="G45" s="116">
        <f t="shared" si="1"/>
        <v>1.3108614232209881E-2</v>
      </c>
      <c r="H45" s="181"/>
      <c r="I45" s="28"/>
      <c r="J45" s="28"/>
      <c r="T45" s="129" t="str">
        <f>IF(C45&gt;EOMONTH(DATE('Input|General'!$G$12,MONTH('Input|General'!$G$9),1),0),"Ok",IF(ISBLANK($F45),"Check","Ok"))</f>
        <v>Ok</v>
      </c>
    </row>
    <row r="46" spans="3:20">
      <c r="C46" s="63">
        <v>42551</v>
      </c>
      <c r="D46" s="28"/>
      <c r="E46" s="28"/>
      <c r="F46" s="206">
        <v>108.6</v>
      </c>
      <c r="G46" s="116">
        <f t="shared" si="1"/>
        <v>1.0232558139534831E-2</v>
      </c>
      <c r="H46" s="181"/>
      <c r="I46" s="28"/>
      <c r="J46" s="28"/>
      <c r="T46" s="129" t="str">
        <f>IF(C46&gt;EOMONTH(DATE('Input|General'!$G$12,MONTH('Input|General'!$G$9),1),0),"Ok",IF(ISBLANK($F46),"Check","Ok"))</f>
        <v>Ok</v>
      </c>
    </row>
    <row r="47" spans="3:20">
      <c r="C47" s="63">
        <v>42643</v>
      </c>
      <c r="D47" s="28"/>
      <c r="E47" s="28"/>
      <c r="F47" s="206">
        <v>109.4</v>
      </c>
      <c r="G47" s="116">
        <f t="shared" si="1"/>
        <v>1.2962962962963065E-2</v>
      </c>
      <c r="H47" s="181"/>
      <c r="I47" s="28"/>
      <c r="J47" s="28"/>
      <c r="T47" s="129" t="str">
        <f>IF(C47&gt;EOMONTH(DATE('Input|General'!$G$12,MONTH('Input|General'!$G$9),1),0),"Ok",IF(ISBLANK($F47),"Check","Ok"))</f>
        <v>Ok</v>
      </c>
    </row>
    <row r="48" spans="3:20">
      <c r="C48" s="63">
        <v>42735</v>
      </c>
      <c r="D48" s="28"/>
      <c r="E48" s="28"/>
      <c r="F48" s="206">
        <v>110</v>
      </c>
      <c r="G48" s="116">
        <f t="shared" si="1"/>
        <v>1.4760147601476037E-2</v>
      </c>
      <c r="H48" s="181"/>
      <c r="I48" s="28"/>
      <c r="J48" s="28"/>
      <c r="T48" s="129" t="str">
        <f>IF(C48&gt;EOMONTH(DATE('Input|General'!$G$12,MONTH('Input|General'!$G$9),1),0),"Ok",IF(ISBLANK($F48),"Check","Ok"))</f>
        <v>Ok</v>
      </c>
    </row>
    <row r="49" spans="3:20">
      <c r="C49" s="63">
        <v>42825</v>
      </c>
      <c r="D49" s="28"/>
      <c r="E49" s="28"/>
      <c r="F49" s="206">
        <v>110.5</v>
      </c>
      <c r="G49" s="116">
        <f t="shared" si="1"/>
        <v>2.1256931608133023E-2</v>
      </c>
      <c r="H49" s="181"/>
      <c r="I49" s="28"/>
      <c r="J49" s="28"/>
      <c r="T49" s="129" t="str">
        <f>IF(C49&gt;EOMONTH(DATE('Input|General'!$G$12,MONTH('Input|General'!$G$9),1),0),"Ok",IF(ISBLANK($F49),"Check","Ok"))</f>
        <v>Ok</v>
      </c>
    </row>
    <row r="50" spans="3:20">
      <c r="C50" s="63">
        <v>42916</v>
      </c>
      <c r="D50" s="28"/>
      <c r="E50" s="28"/>
      <c r="F50" s="206">
        <v>110.7</v>
      </c>
      <c r="G50" s="116">
        <f t="shared" si="1"/>
        <v>1.9337016574585641E-2</v>
      </c>
      <c r="H50" s="182"/>
      <c r="I50" s="28"/>
      <c r="J50" s="28"/>
      <c r="T50" s="129" t="str">
        <f>IF(C50&gt;EOMONTH(DATE('Input|General'!$G$12,MONTH('Input|General'!$G$9),1),0),"Ok",IF(ISBLANK($F50),"Check","Ok"))</f>
        <v>Ok</v>
      </c>
    </row>
    <row r="51" spans="3:20">
      <c r="C51" s="63">
        <v>43008</v>
      </c>
      <c r="D51" s="28"/>
      <c r="E51" s="28"/>
      <c r="F51" s="206">
        <v>111.4</v>
      </c>
      <c r="G51" s="116">
        <f t="shared" si="1"/>
        <v>1.8281535648994485E-2</v>
      </c>
      <c r="H51" s="181"/>
      <c r="I51" s="28"/>
      <c r="J51" s="28"/>
      <c r="T51" s="129" t="str">
        <f>IF(C51&gt;EOMONTH(DATE('Input|General'!$G$12,MONTH('Input|General'!$G$9),1),0),"Ok",IF(ISBLANK($F51),"Check","Ok"))</f>
        <v>Ok</v>
      </c>
    </row>
    <row r="52" spans="3:20">
      <c r="C52" s="63">
        <v>43100</v>
      </c>
      <c r="D52" s="28"/>
      <c r="E52" s="28"/>
      <c r="F52" s="206">
        <v>112.1</v>
      </c>
      <c r="G52" s="116">
        <f t="shared" si="1"/>
        <v>1.9090909090909047E-2</v>
      </c>
      <c r="H52" s="181"/>
      <c r="I52" s="28"/>
      <c r="J52" s="28"/>
      <c r="T52" s="129" t="str">
        <f>IF(C52&gt;EOMONTH(DATE('Input|General'!$G$12,MONTH('Input|General'!$G$9),1),0),"Ok",IF(ISBLANK($F52),"Check","Ok"))</f>
        <v>Ok</v>
      </c>
    </row>
    <row r="53" spans="3:20">
      <c r="C53" s="63">
        <v>43190</v>
      </c>
      <c r="D53" s="28"/>
      <c r="E53" s="28"/>
      <c r="F53" s="206">
        <v>112.6</v>
      </c>
      <c r="G53" s="116">
        <f t="shared" si="1"/>
        <v>1.9004524886877761E-2</v>
      </c>
      <c r="H53" s="181"/>
      <c r="I53" s="28"/>
      <c r="J53" s="28"/>
      <c r="T53" s="129" t="str">
        <f>IF(C53&gt;EOMONTH(DATE('Input|General'!$G$12,MONTH('Input|General'!$G$9),1),0),"Ok",IF(ISBLANK($F53),"Check","Ok"))</f>
        <v>Ok</v>
      </c>
    </row>
    <row r="54" spans="3:20">
      <c r="C54" s="63">
        <v>43281</v>
      </c>
      <c r="D54" s="28"/>
      <c r="E54" s="28"/>
      <c r="F54" s="206">
        <v>113</v>
      </c>
      <c r="G54" s="116">
        <f t="shared" si="1"/>
        <v>2.0776874435411097E-2</v>
      </c>
      <c r="H54" s="181"/>
      <c r="I54" s="28"/>
      <c r="J54" s="28"/>
      <c r="T54" s="129" t="str">
        <f>IF(C54&gt;EOMONTH(DATE('Input|General'!$G$12,MONTH('Input|General'!$G$9),1),0),"Ok",IF(ISBLANK($F54),"Check","Ok"))</f>
        <v>Ok</v>
      </c>
    </row>
    <row r="55" spans="3:20">
      <c r="C55" s="63">
        <v>43373</v>
      </c>
      <c r="D55" s="28"/>
      <c r="E55" s="28"/>
      <c r="F55" s="206">
        <v>113.5</v>
      </c>
      <c r="G55" s="116">
        <f t="shared" si="1"/>
        <v>1.8850987432674993E-2</v>
      </c>
      <c r="H55" s="181"/>
      <c r="I55" s="28"/>
      <c r="J55" s="28"/>
      <c r="T55" s="129" t="str">
        <f>IF(C55&gt;EOMONTH(DATE('Input|General'!$G$12,MONTH('Input|General'!$G$9),1),0),"Ok",IF(ISBLANK($F55),"Check","Ok"))</f>
        <v>Ok</v>
      </c>
    </row>
    <row r="56" spans="3:20">
      <c r="C56" s="63">
        <v>43465</v>
      </c>
      <c r="D56" s="28"/>
      <c r="E56" s="28"/>
      <c r="F56" s="206">
        <v>114.1</v>
      </c>
      <c r="G56" s="116">
        <f t="shared" si="1"/>
        <v>1.7841213202497874E-2</v>
      </c>
      <c r="H56" s="181"/>
      <c r="I56" s="28"/>
      <c r="J56" s="28"/>
      <c r="T56" s="129" t="str">
        <f>IF(C56&gt;EOMONTH(DATE('Input|General'!$G$12,MONTH('Input|General'!$G$9),1),0),"Ok",IF(ISBLANK($F56),"Check","Ok"))</f>
        <v>Ok</v>
      </c>
    </row>
    <row r="57" spans="3:20">
      <c r="C57" s="63">
        <v>43555</v>
      </c>
      <c r="D57" s="28"/>
      <c r="E57" s="28"/>
      <c r="F57" s="206">
        <v>114.1</v>
      </c>
      <c r="G57" s="116">
        <f t="shared" si="1"/>
        <v>1.3321492007104752E-2</v>
      </c>
      <c r="H57" s="181"/>
      <c r="I57" s="28"/>
      <c r="J57" s="28"/>
      <c r="T57" s="129" t="str">
        <f>IF(C57&gt;EOMONTH(DATE('Input|General'!$G$12,MONTH('Input|General'!$G$9),1),0),"Ok",IF(ISBLANK($F57),"Check","Ok"))</f>
        <v>Ok</v>
      </c>
    </row>
    <row r="58" spans="3:20">
      <c r="C58" s="63">
        <v>43646</v>
      </c>
      <c r="D58" s="28"/>
      <c r="E58" s="28"/>
      <c r="F58" s="206">
        <v>114.8</v>
      </c>
      <c r="G58" s="116">
        <f t="shared" si="1"/>
        <v>1.5929203539823078E-2</v>
      </c>
      <c r="H58" s="181"/>
      <c r="I58" s="28"/>
      <c r="J58" s="28"/>
      <c r="T58" s="129" t="str">
        <f>IF(C58&gt;EOMONTH(DATE('Input|General'!$G$12,MONTH('Input|General'!$G$9),1),0),"Ok",IF(ISBLANK($F58),"Check","Ok"))</f>
        <v>Ok</v>
      </c>
    </row>
    <row r="59" spans="3:20">
      <c r="C59" s="63">
        <v>43738</v>
      </c>
      <c r="D59" s="28"/>
      <c r="E59" s="28"/>
      <c r="F59" s="206">
        <v>115.4</v>
      </c>
      <c r="G59" s="116">
        <f t="shared" si="1"/>
        <v>1.6740088105726914E-2</v>
      </c>
      <c r="H59" s="181"/>
      <c r="I59" s="28"/>
      <c r="J59" s="28"/>
      <c r="T59" s="129" t="str">
        <f>IF(C59&gt;EOMONTH(DATE('Input|General'!$G$12,MONTH('Input|General'!$G$9),1),0),"Ok",IF(ISBLANK($F59),"Check","Ok"))</f>
        <v>Ok</v>
      </c>
    </row>
    <row r="60" spans="3:20">
      <c r="C60" s="63">
        <v>43830</v>
      </c>
      <c r="D60" s="28"/>
      <c r="E60" s="28"/>
      <c r="F60" s="206">
        <v>116.2</v>
      </c>
      <c r="G60" s="116">
        <f t="shared" si="1"/>
        <v>1.8404907975460238E-2</v>
      </c>
      <c r="H60" s="181"/>
      <c r="I60" s="28"/>
      <c r="J60" s="28"/>
      <c r="T60" s="129" t="str">
        <f>IF(C60&gt;EOMONTH(DATE('Input|General'!$G$12,MONTH('Input|General'!$G$9),1),0),"Ok",IF(ISBLANK($F60),"Check","Ok"))</f>
        <v>Ok</v>
      </c>
    </row>
    <row r="61" spans="3:20">
      <c r="C61" s="63">
        <v>43921</v>
      </c>
      <c r="D61" s="28"/>
      <c r="E61" s="28"/>
      <c r="F61" s="206">
        <v>116.6</v>
      </c>
      <c r="G61" s="116">
        <f t="shared" si="1"/>
        <v>2.1910604732690686E-2</v>
      </c>
      <c r="H61" s="181"/>
      <c r="I61" s="28"/>
      <c r="J61" s="28"/>
      <c r="T61" s="129" t="str">
        <f>IF(C61&gt;EOMONTH(DATE('Input|General'!$G$12,MONTH('Input|General'!$G$9),1),0),"Ok",IF(ISBLANK($F61),"Check","Ok"))</f>
        <v>Ok</v>
      </c>
    </row>
    <row r="62" spans="3:20">
      <c r="C62" s="63">
        <v>44012</v>
      </c>
      <c r="D62" s="28"/>
      <c r="E62" s="28"/>
      <c r="F62" s="206">
        <v>114.4</v>
      </c>
      <c r="G62" s="116">
        <f t="shared" si="1"/>
        <v>-3.4843205574912606E-3</v>
      </c>
      <c r="H62" s="181"/>
      <c r="I62" s="28"/>
      <c r="J62" s="28"/>
      <c r="T62" s="129" t="str">
        <f>IF(C62&gt;EOMONTH(DATE('Input|General'!$G$12,MONTH('Input|General'!$G$9),1),0),"Ok",IF(ISBLANK($F62),"Check","Ok"))</f>
        <v>Ok</v>
      </c>
    </row>
    <row r="63" spans="3:20">
      <c r="C63" s="63">
        <v>44104</v>
      </c>
      <c r="D63" s="28"/>
      <c r="E63" s="28"/>
      <c r="F63" s="206">
        <v>116.2</v>
      </c>
      <c r="G63" s="116">
        <f t="shared" si="1"/>
        <v>6.9324090121316573E-3</v>
      </c>
      <c r="H63" s="181"/>
      <c r="I63" s="28"/>
      <c r="J63" s="28"/>
      <c r="T63" s="129" t="str">
        <f>IF(C63&gt;EOMONTH(DATE('Input|General'!$G$12,MONTH('Input|General'!$G$9),1),0),"Ok",IF(ISBLANK($F63),"Check","Ok"))</f>
        <v>Ok</v>
      </c>
    </row>
    <row r="64" spans="3:20">
      <c r="C64" s="63">
        <v>44196</v>
      </c>
      <c r="D64" s="28"/>
      <c r="E64" s="28"/>
      <c r="F64" s="206">
        <v>117.2</v>
      </c>
      <c r="G64" s="116">
        <f t="shared" si="1"/>
        <v>8.6058519793459354E-3</v>
      </c>
      <c r="H64" s="181"/>
      <c r="I64" s="28"/>
      <c r="J64" s="28"/>
      <c r="T64" s="129" t="str">
        <f>IF(C64&gt;EOMONTH(DATE('Input|General'!$G$12,MONTH('Input|General'!$G$9),1),0),"Ok",IF(ISBLANK($F64),"Check","Ok"))</f>
        <v>Ok</v>
      </c>
    </row>
    <row r="65" spans="3:20">
      <c r="C65" s="63">
        <v>44286</v>
      </c>
      <c r="D65" s="28"/>
      <c r="E65" s="28"/>
      <c r="F65" s="206">
        <v>117.9</v>
      </c>
      <c r="G65" s="116">
        <f t="shared" si="1"/>
        <v>1.1149228130360234E-2</v>
      </c>
      <c r="H65" s="181"/>
      <c r="I65" s="28"/>
      <c r="J65" s="28"/>
      <c r="T65" s="129" t="str">
        <f>IF(C65&gt;EOMONTH(DATE('Input|General'!$G$12,MONTH('Input|General'!$G$9),1),0),"Ok",IF(ISBLANK($F65),"Check","Ok"))</f>
        <v>Ok</v>
      </c>
    </row>
    <row r="66" spans="3:20">
      <c r="C66" s="63">
        <v>44377</v>
      </c>
      <c r="D66" s="28"/>
      <c r="E66" s="28"/>
      <c r="F66" s="206">
        <v>118.8</v>
      </c>
      <c r="G66" s="116">
        <f t="shared" si="1"/>
        <v>3.8461538461538325E-2</v>
      </c>
      <c r="H66" s="181"/>
      <c r="I66" s="28"/>
      <c r="J66" s="28"/>
      <c r="T66" s="129" t="str">
        <f>IF(C66&gt;EOMONTH(DATE('Input|General'!$G$12,MONTH('Input|General'!$G$9),1),0),"Ok",IF(ISBLANK($F66),"Check","Ok"))</f>
        <v>Ok</v>
      </c>
    </row>
    <row r="67" spans="3:20">
      <c r="C67" s="63">
        <v>44469</v>
      </c>
      <c r="D67" s="28"/>
      <c r="E67" s="28"/>
      <c r="F67" s="206">
        <v>119.7</v>
      </c>
      <c r="G67" s="116">
        <f t="shared" si="1"/>
        <v>3.0120481927710774E-2</v>
      </c>
      <c r="H67" s="181"/>
      <c r="I67" s="28"/>
      <c r="J67" s="28"/>
      <c r="T67" s="129" t="str">
        <f>IF(C67&gt;EOMONTH(DATE('Input|General'!$G$12,MONTH('Input|General'!$G$9),1),0),"Ok",IF(ISBLANK($F67),"Check","Ok"))</f>
        <v>Ok</v>
      </c>
    </row>
    <row r="68" spans="3:20">
      <c r="C68" s="63">
        <v>44561</v>
      </c>
      <c r="D68" s="28"/>
      <c r="E68" s="28"/>
      <c r="F68" s="206">
        <v>121.3</v>
      </c>
      <c r="G68" s="116">
        <f t="shared" si="1"/>
        <v>3.4982935153583528E-2</v>
      </c>
      <c r="H68" s="181"/>
      <c r="I68" s="28"/>
      <c r="J68" s="28"/>
      <c r="T68" s="129" t="str">
        <f>IF(C68&gt;EOMONTH(DATE('Input|General'!$G$12,MONTH('Input|General'!$G$9),1),0),"Ok",IF(ISBLANK($F68),"Check","Ok"))</f>
        <v>Ok</v>
      </c>
    </row>
    <row r="69" spans="3:20">
      <c r="C69" s="63">
        <v>44651</v>
      </c>
      <c r="D69" s="28"/>
      <c r="E69" s="28"/>
      <c r="F69" s="206">
        <v>123.9</v>
      </c>
      <c r="G69" s="116">
        <f t="shared" si="1"/>
        <v>5.0890585241730291E-2</v>
      </c>
      <c r="H69" s="181"/>
      <c r="I69" s="28"/>
      <c r="J69" s="28"/>
      <c r="T69" s="129" t="str">
        <f>IF(C69&gt;EOMONTH(DATE('Input|General'!$G$12,MONTH('Input|General'!$G$9),1),0),"Ok",IF(ISBLANK($F69),"Check","Ok"))</f>
        <v>Ok</v>
      </c>
    </row>
    <row r="70" spans="3:20">
      <c r="C70" s="63">
        <v>44742</v>
      </c>
      <c r="D70" s="28"/>
      <c r="E70" s="28"/>
      <c r="F70" s="62">
        <f>F66*(1+3.75%)</f>
        <v>123.25500000000001</v>
      </c>
      <c r="G70" s="116">
        <f t="shared" si="1"/>
        <v>3.7500000000000089E-2</v>
      </c>
      <c r="H70" s="181"/>
      <c r="I70" s="28"/>
      <c r="J70" s="28"/>
      <c r="T70" s="129" t="str">
        <f>IF(C70&gt;EOMONTH(DATE('Input|General'!$G$12,MONTH('Input|General'!$G$9),1),0),"Ok",IF(ISBLANK($F70),"Check","Ok"))</f>
        <v>Ok</v>
      </c>
    </row>
    <row r="71" spans="3:20">
      <c r="C71" s="63">
        <v>44834</v>
      </c>
      <c r="D71" s="28"/>
      <c r="E71" s="28"/>
      <c r="F71" s="62"/>
      <c r="G71" s="116" t="str">
        <f t="shared" si="1"/>
        <v/>
      </c>
      <c r="H71" s="181"/>
      <c r="I71" s="28"/>
      <c r="J71" s="28"/>
      <c r="T71" s="129" t="str">
        <f>IF(C71&gt;EOMONTH(DATE('Input|General'!$G$12,MONTH('Input|General'!$G$9),1),0),"Ok",IF(ISBLANK($F71),"Check","Ok"))</f>
        <v>Ok</v>
      </c>
    </row>
    <row r="72" spans="3:20">
      <c r="C72" s="63">
        <v>44926</v>
      </c>
      <c r="D72" s="28"/>
      <c r="E72" s="28"/>
      <c r="F72" s="62"/>
      <c r="G72" s="116" t="str">
        <f t="shared" si="1"/>
        <v/>
      </c>
      <c r="H72" s="181"/>
      <c r="I72" s="28"/>
      <c r="J72" s="28"/>
      <c r="T72" s="129" t="str">
        <f>IF(C72&gt;EOMONTH(DATE('Input|General'!$G$12,MONTH('Input|General'!$G$9),1),0),"Ok",IF(ISBLANK($F72),"Check","Ok"))</f>
        <v>Ok</v>
      </c>
    </row>
    <row r="73" spans="3:20">
      <c r="C73" s="63">
        <v>45016</v>
      </c>
      <c r="D73" s="28"/>
      <c r="E73" s="28"/>
      <c r="F73" s="62"/>
      <c r="G73" s="116" t="str">
        <f t="shared" si="1"/>
        <v/>
      </c>
      <c r="H73" s="181"/>
      <c r="I73" s="28"/>
      <c r="J73" s="28"/>
      <c r="T73" s="129" t="str">
        <f>IF(C73&gt;EOMONTH(DATE('Input|General'!$G$12,MONTH('Input|General'!$G$9),1),0),"Ok",IF(ISBLANK($F73),"Check","Ok"))</f>
        <v>Ok</v>
      </c>
    </row>
    <row r="74" spans="3:20">
      <c r="C74" s="63">
        <v>45107</v>
      </c>
      <c r="D74" s="28"/>
      <c r="E74" s="28"/>
      <c r="F74" s="62"/>
      <c r="G74" s="116" t="str">
        <f t="shared" si="1"/>
        <v/>
      </c>
      <c r="H74" s="181"/>
      <c r="I74" s="28"/>
      <c r="J74" s="28"/>
      <c r="T74" s="129" t="str">
        <f>IF(C74&gt;EOMONTH(DATE('Input|General'!$G$12,MONTH('Input|General'!$G$9),1),0),"Ok",IF(ISBLANK($F74),"Check","Ok"))</f>
        <v>Ok</v>
      </c>
    </row>
    <row r="75" spans="3:20">
      <c r="C75" s="63">
        <v>45199</v>
      </c>
      <c r="D75" s="28"/>
      <c r="E75" s="28"/>
      <c r="F75" s="62"/>
      <c r="G75" s="116" t="str">
        <f t="shared" si="1"/>
        <v/>
      </c>
      <c r="H75" s="181"/>
      <c r="I75" s="28"/>
      <c r="J75" s="28"/>
      <c r="T75" s="129" t="str">
        <f>IF(C75&gt;EOMONTH(DATE('Input|General'!$G$12,MONTH('Input|General'!$G$9),1),0),"Ok",IF(ISBLANK($F75),"Check","Ok"))</f>
        <v>Ok</v>
      </c>
    </row>
    <row r="76" spans="3:20">
      <c r="C76" s="63">
        <v>45291</v>
      </c>
      <c r="D76" s="28"/>
      <c r="E76" s="28"/>
      <c r="F76" s="62"/>
      <c r="G76" s="116" t="str">
        <f t="shared" si="1"/>
        <v/>
      </c>
      <c r="H76" s="181"/>
      <c r="I76" s="28"/>
      <c r="J76" s="28"/>
      <c r="T76" s="129" t="str">
        <f>IF(C76&gt;EOMONTH(DATE('Input|General'!$G$12,MONTH('Input|General'!$G$9),1),0),"Ok",IF(ISBLANK($F76),"Check","Ok"))</f>
        <v>Ok</v>
      </c>
    </row>
    <row r="77" spans="3:20">
      <c r="C77" s="63">
        <v>45382</v>
      </c>
      <c r="D77" s="28"/>
      <c r="E77" s="28"/>
      <c r="F77" s="62"/>
      <c r="G77" s="116" t="str">
        <f t="shared" si="1"/>
        <v/>
      </c>
      <c r="H77" s="181"/>
      <c r="I77" s="28"/>
      <c r="J77" s="28"/>
      <c r="T77" s="129" t="str">
        <f>IF(C77&gt;EOMONTH(DATE('Input|General'!$G$12,MONTH('Input|General'!$G$9),1),0),"Ok",IF(ISBLANK($F77),"Check","Ok"))</f>
        <v>Ok</v>
      </c>
    </row>
    <row r="78" spans="3:20">
      <c r="C78" s="63">
        <v>45473</v>
      </c>
      <c r="D78" s="28"/>
      <c r="E78" s="28"/>
      <c r="F78" s="62"/>
      <c r="G78" s="116" t="str">
        <f t="shared" si="1"/>
        <v/>
      </c>
      <c r="H78" s="181"/>
      <c r="I78" s="28"/>
      <c r="J78" s="28"/>
      <c r="T78" s="129" t="str">
        <f>IF(C78&gt;EOMONTH(DATE('Input|General'!$G$12,MONTH('Input|General'!$G$9),1),0),"Ok",IF(ISBLANK($F78),"Check","Ok"))</f>
        <v>Ok</v>
      </c>
    </row>
    <row r="79" spans="3:20">
      <c r="C79" s="63">
        <v>45565</v>
      </c>
      <c r="D79" s="28"/>
      <c r="E79" s="28"/>
      <c r="F79" s="62"/>
      <c r="G79" s="116" t="str">
        <f t="shared" si="1"/>
        <v/>
      </c>
      <c r="H79" s="181"/>
      <c r="I79" s="28"/>
      <c r="J79" s="28"/>
      <c r="T79" s="129" t="str">
        <f>IF(C79&gt;EOMONTH(DATE('Input|General'!$G$12,MONTH('Input|General'!$G$9),1),0),"Ok",IF(ISBLANK($F79),"Check","Ok"))</f>
        <v>Ok</v>
      </c>
    </row>
    <row r="80" spans="3:20">
      <c r="C80" s="63">
        <v>45657</v>
      </c>
      <c r="D80" s="28"/>
      <c r="E80" s="28"/>
      <c r="F80" s="62"/>
      <c r="G80" s="116" t="str">
        <f t="shared" si="1"/>
        <v/>
      </c>
      <c r="H80" s="181"/>
      <c r="I80" s="28"/>
      <c r="J80" s="28"/>
      <c r="T80" s="129" t="str">
        <f>IF(C80&gt;EOMONTH(DATE('Input|General'!$G$12,MONTH('Input|General'!$G$9),1),0),"Ok",IF(ISBLANK($F80),"Check","Ok"))</f>
        <v>Ok</v>
      </c>
    </row>
    <row r="81" spans="1:48">
      <c r="C81" s="63">
        <v>45747</v>
      </c>
      <c r="D81" s="28"/>
      <c r="E81" s="28"/>
      <c r="F81" s="62"/>
      <c r="G81" s="116" t="str">
        <f t="shared" si="1"/>
        <v/>
      </c>
      <c r="H81" s="181"/>
      <c r="I81" s="28"/>
      <c r="J81" s="28"/>
      <c r="T81" s="129" t="str">
        <f>IF(C81&gt;EOMONTH(DATE('Input|General'!$G$12,MONTH('Input|General'!$G$9),1),0),"Ok",IF(ISBLANK($F81),"Check","Ok"))</f>
        <v>Ok</v>
      </c>
    </row>
    <row r="82" spans="1:48">
      <c r="C82" s="63">
        <v>45838</v>
      </c>
      <c r="D82" s="28"/>
      <c r="E82" s="28"/>
      <c r="F82" s="62"/>
      <c r="G82" s="116" t="str">
        <f t="shared" si="1"/>
        <v/>
      </c>
      <c r="H82" s="181"/>
      <c r="I82" s="28"/>
      <c r="J82" s="28"/>
      <c r="T82" s="129" t="str">
        <f>IF(C82&gt;EOMONTH(DATE('Input|General'!$G$12,MONTH('Input|General'!$G$9),1),0),"Ok",IF(ISBLANK($F82),"Check","Ok"))</f>
        <v>Ok</v>
      </c>
    </row>
    <row r="83" spans="1:48">
      <c r="C83" s="63">
        <v>45930</v>
      </c>
      <c r="D83" s="28"/>
      <c r="E83" s="28"/>
      <c r="F83" s="62"/>
      <c r="G83" s="116" t="str">
        <f t="shared" si="1"/>
        <v/>
      </c>
      <c r="H83" s="181"/>
      <c r="I83" s="28"/>
      <c r="J83" s="28"/>
      <c r="T83" s="129" t="str">
        <f>IF(C83&gt;EOMONTH(DATE('Input|General'!$G$12,MONTH('Input|General'!$G$9),1),0),"Ok",IF(ISBLANK($F83),"Check","Ok"))</f>
        <v>Ok</v>
      </c>
    </row>
    <row r="84" spans="1:48">
      <c r="C84" s="63">
        <v>46022</v>
      </c>
      <c r="D84" s="28"/>
      <c r="E84" s="28"/>
      <c r="F84" s="62"/>
      <c r="G84" s="116" t="str">
        <f t="shared" si="1"/>
        <v/>
      </c>
      <c r="H84" s="181"/>
      <c r="I84" s="28"/>
      <c r="J84" s="28"/>
      <c r="T84" s="129" t="str">
        <f>IF(C84&gt;EOMONTH(DATE('Input|General'!$G$12,MONTH('Input|General'!$G$9),1),0),"Ok",IF(ISBLANK($F84),"Check","Ok"))</f>
        <v>Ok</v>
      </c>
    </row>
    <row r="85" spans="1:48">
      <c r="F85" s="28"/>
      <c r="G85" s="28"/>
      <c r="H85" s="28"/>
      <c r="I85" s="28"/>
      <c r="J85" s="28"/>
      <c r="T85" s="130"/>
    </row>
    <row r="86" spans="1:48" s="102" customFormat="1" ht="12.75">
      <c r="A86" s="93"/>
      <c r="B86" s="94" t="s">
        <v>21</v>
      </c>
      <c r="C86" s="93"/>
      <c r="D86" s="93"/>
      <c r="E86" s="93"/>
      <c r="F86" s="93"/>
      <c r="G86" s="95"/>
      <c r="H86" s="95"/>
      <c r="I86" s="95"/>
      <c r="J86" s="95"/>
      <c r="K86" s="96"/>
      <c r="L86" s="97"/>
      <c r="M86" s="96"/>
      <c r="N86" s="97"/>
      <c r="O86" s="96"/>
      <c r="P86" s="96"/>
      <c r="Q86" s="96"/>
      <c r="R86" s="96"/>
      <c r="S86" s="96"/>
      <c r="T86" s="96"/>
      <c r="U86" s="96"/>
      <c r="V86" s="96"/>
      <c r="W86" s="97"/>
      <c r="X86" s="97"/>
      <c r="Y86" s="98"/>
      <c r="Z86" s="98"/>
      <c r="AA86" s="98"/>
      <c r="AB86" s="98"/>
      <c r="AC86" s="99"/>
      <c r="AD86" s="100"/>
      <c r="AE86" s="100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</row>
    <row r="87" spans="1:48" hidden="1">
      <c r="H87" s="31"/>
      <c r="I87" s="31"/>
    </row>
    <row r="88" spans="1:48" hidden="1">
      <c r="H88" s="31"/>
      <c r="I88" s="31"/>
    </row>
    <row r="89" spans="1:48" s="29" customFormat="1" hidden="1">
      <c r="A89" s="28"/>
      <c r="B89" s="28"/>
      <c r="C89" s="28"/>
      <c r="H89" s="31"/>
      <c r="I89" s="31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</row>
    <row r="90" spans="1:48" s="29" customFormat="1" hidden="1">
      <c r="A90" s="28"/>
      <c r="B90" s="28"/>
      <c r="C90" s="28"/>
      <c r="H90" s="31"/>
      <c r="I90" s="31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</row>
    <row r="91" spans="1:48" s="29" customFormat="1" hidden="1">
      <c r="A91" s="28"/>
      <c r="B91" s="28"/>
      <c r="C91" s="28"/>
      <c r="H91" s="31"/>
      <c r="I91" s="31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</row>
    <row r="92" spans="1:48" s="29" customFormat="1" hidden="1">
      <c r="A92" s="28"/>
      <c r="B92" s="28"/>
      <c r="C92" s="28"/>
      <c r="H92" s="31"/>
      <c r="I92" s="31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</row>
    <row r="93" spans="1:48" s="29" customFormat="1" hidden="1">
      <c r="A93" s="28"/>
      <c r="B93" s="28"/>
      <c r="C93" s="28"/>
      <c r="H93" s="31"/>
      <c r="I93" s="31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</row>
    <row r="94" spans="1:48" s="29" customFormat="1" hidden="1">
      <c r="A94" s="28"/>
      <c r="B94" s="28"/>
      <c r="C94" s="28"/>
      <c r="H94" s="31"/>
      <c r="I94" s="31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</row>
    <row r="95" spans="1:48" s="29" customFormat="1" hidden="1">
      <c r="A95" s="28"/>
      <c r="B95" s="28"/>
      <c r="C95" s="28"/>
      <c r="H95" s="31"/>
      <c r="I95" s="31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</row>
    <row r="96" spans="1:48" s="29" customFormat="1" hidden="1">
      <c r="A96" s="28"/>
      <c r="B96" s="28"/>
      <c r="C96" s="28"/>
      <c r="H96" s="31"/>
      <c r="I96" s="31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</row>
  </sheetData>
  <conditionalFormatting sqref="X14:X50 T85 X63:X85">
    <cfRule type="cellIs" dxfId="196" priority="11" operator="equal">
      <formula>"Check"</formula>
    </cfRule>
    <cfRule type="cellIs" dxfId="195" priority="12" operator="equal">
      <formula>"Ok"</formula>
    </cfRule>
  </conditionalFormatting>
  <conditionalFormatting sqref="W1">
    <cfRule type="cellIs" dxfId="194" priority="7" operator="equal">
      <formula>"Check"</formula>
    </cfRule>
    <cfRule type="cellIs" dxfId="193" priority="8" operator="equal">
      <formula>"Ok"</formula>
    </cfRule>
  </conditionalFormatting>
  <conditionalFormatting sqref="T1">
    <cfRule type="cellIs" dxfId="192" priority="5" operator="equal">
      <formula>"Check"</formula>
    </cfRule>
    <cfRule type="cellIs" dxfId="191" priority="6" operator="equal">
      <formula>"Ok"</formula>
    </cfRule>
  </conditionalFormatting>
  <conditionalFormatting sqref="X51:X57">
    <cfRule type="cellIs" dxfId="190" priority="3" operator="equal">
      <formula>"Check"</formula>
    </cfRule>
    <cfRule type="cellIs" dxfId="189" priority="4" operator="equal">
      <formula>"Ok"</formula>
    </cfRule>
  </conditionalFormatting>
  <conditionalFormatting sqref="X58:X62 T9:T84">
    <cfRule type="cellIs" dxfId="188" priority="1" operator="equal">
      <formula>"Check"</formula>
    </cfRule>
    <cfRule type="cellIs" dxfId="187" priority="2" operator="equal">
      <formula>"Ok"</formula>
    </cfRule>
  </conditionalFormatting>
  <dataValidations disablePrompts="1" count="2">
    <dataValidation type="list" allowBlank="1" showInputMessage="1" showErrorMessage="1" sqref="G85" xr:uid="{00000000-0002-0000-0300-000000000000}">
      <formula1>"Real 2010,Real 2011,Real 2012,Real 2013,Real 2014,Real 2015,Nominal"</formula1>
    </dataValidation>
    <dataValidation type="list" allowBlank="1" showInputMessage="1" showErrorMessage="1" sqref="J12:J85" xr:uid="{00000000-0002-0000-0300-000001000000}">
      <formula1>#REF!</formula1>
    </dataValidation>
  </dataValidations>
  <hyperlinks>
    <hyperlink ref="K1" location="Index!A1" display="Back to Index" xr:uid="{00000000-0004-0000-0300-000000000000}"/>
    <hyperlink ref="V1" location="'Check|List'!A1" display="Overall Check:" xr:uid="{00000000-0004-0000-03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zoomScale="98" zoomScaleNormal="80" workbookViewId="0">
      <selection activeCell="Q35" sqref="Q35"/>
    </sheetView>
  </sheetViews>
  <sheetFormatPr defaultColWidth="0" defaultRowHeight="11.25" zeroHeight="1"/>
  <cols>
    <col min="1" max="2" width="1.6640625" style="102" customWidth="1"/>
    <col min="3" max="3" width="49.83203125" style="102" bestFit="1" customWidth="1"/>
    <col min="4" max="6" width="13.33203125" style="102" customWidth="1"/>
    <col min="7" max="9" width="3.33203125" style="102" customWidth="1"/>
    <col min="10" max="20" width="10.83203125" style="102" customWidth="1"/>
    <col min="21" max="21" width="42.33203125" style="102" bestFit="1" customWidth="1"/>
    <col min="22" max="22" width="10.83203125" style="102" customWidth="1"/>
    <col min="23" max="24" width="0" style="102" hidden="1" customWidth="1"/>
    <col min="25" max="16384" width="9.33203125" style="102" hidden="1"/>
  </cols>
  <sheetData>
    <row r="1" spans="1:22" ht="15.75">
      <c r="A1" s="68"/>
      <c r="B1" s="69"/>
      <c r="C1" s="69" t="str">
        <f>Index!$B$1</f>
        <v>AER opex model v2.0</v>
      </c>
      <c r="D1" s="69"/>
      <c r="E1" s="69"/>
      <c r="F1" s="70"/>
      <c r="G1" s="70"/>
      <c r="H1" s="70"/>
      <c r="I1" s="70"/>
      <c r="J1" s="200" t="s">
        <v>2</v>
      </c>
      <c r="K1" s="68"/>
      <c r="L1" s="71" t="s">
        <v>3</v>
      </c>
      <c r="M1" s="72" t="s">
        <v>4</v>
      </c>
      <c r="N1" s="73" t="s">
        <v>5</v>
      </c>
      <c r="O1" s="74" t="s">
        <v>6</v>
      </c>
      <c r="P1" s="68"/>
      <c r="Q1" s="68"/>
      <c r="R1" s="71" t="s">
        <v>82</v>
      </c>
      <c r="S1" s="75" t="str">
        <f>IF(COUNTA($V$29:$V$266)=COUNTIF($V$29:$V$266,"OK"),"OK","Check")</f>
        <v>OK</v>
      </c>
      <c r="T1" s="75"/>
      <c r="U1" s="180" t="s">
        <v>24</v>
      </c>
      <c r="V1" s="75" t="str">
        <f>'Check|List'!$S$1</f>
        <v>Ok</v>
      </c>
    </row>
    <row r="2" spans="1:22" ht="13.5" thickBot="1">
      <c r="A2" s="76"/>
      <c r="B2" s="77"/>
      <c r="C2" s="77" t="str">
        <f>Index!$C$9</f>
        <v>Input | Reported opex</v>
      </c>
      <c r="D2" s="77"/>
      <c r="E2" s="77"/>
      <c r="F2" s="78"/>
      <c r="G2" s="78"/>
      <c r="H2" s="78"/>
      <c r="I2" s="78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>
      <c r="A3" s="131"/>
      <c r="B3" s="131"/>
      <c r="C3" s="132"/>
      <c r="D3" s="133"/>
      <c r="E3" s="133"/>
      <c r="F3" s="133"/>
      <c r="G3" s="133"/>
      <c r="H3" s="133"/>
      <c r="I3" s="133"/>
      <c r="J3" s="154" t="s">
        <v>119</v>
      </c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34"/>
      <c r="V3" s="134"/>
    </row>
    <row r="4" spans="1:22">
      <c r="A4" s="82"/>
      <c r="B4" s="82"/>
      <c r="C4" s="82"/>
      <c r="D4" s="83" t="s">
        <v>7</v>
      </c>
      <c r="E4" s="83" t="s">
        <v>8</v>
      </c>
      <c r="F4" s="84" t="s">
        <v>22</v>
      </c>
      <c r="G4" s="85"/>
      <c r="H4" s="85"/>
      <c r="I4" s="85"/>
      <c r="J4" s="152">
        <f>DATE(PPFirstYear,MONTH('Input|General'!$G$9),1)</f>
        <v>43252</v>
      </c>
      <c r="K4" s="152">
        <f>DATE(PPFirstYear+1,MONTH('Input|General'!$G$9),1)</f>
        <v>43617</v>
      </c>
      <c r="L4" s="152">
        <f>DATE(PPFirstYear+2,MONTH('Input|General'!$G$9),1)</f>
        <v>43983</v>
      </c>
      <c r="M4" s="152">
        <f>DATE(PPFirstYear+3,MONTH('Input|General'!$G$9),1)</f>
        <v>44348</v>
      </c>
      <c r="N4" s="152">
        <f>DATE(PPFirstYear+4,MONTH('Input|General'!$G$9),1)</f>
        <v>44713</v>
      </c>
      <c r="O4" s="152">
        <f>DATE(PPFirstYear+5,MONTH('Input|General'!$G$9),1)</f>
        <v>45078</v>
      </c>
      <c r="P4" s="152">
        <f>DATE(PPFirstYear+6,MONTH('Input|General'!$G$9),1)</f>
        <v>45444</v>
      </c>
      <c r="Q4" s="152">
        <f>DATE(PPFirstYear+7,MONTH('Input|General'!$G$9),1)</f>
        <v>45809</v>
      </c>
      <c r="R4" s="152">
        <f>DATE(PPFirstYear+8,MONTH('Input|General'!$G$9),1)</f>
        <v>46174</v>
      </c>
      <c r="S4" s="152">
        <f>DATE(PPFirstYear+9,MONTH('Input|General'!$G$9),1)</f>
        <v>46539</v>
      </c>
      <c r="T4" s="152">
        <f>DATE(PPFirstYear+10,MONTH('Input|General'!$G$9),1)</f>
        <v>46905</v>
      </c>
      <c r="U4" s="86"/>
      <c r="V4" s="87"/>
    </row>
    <row r="5" spans="1:22" ht="5.25" customHeight="1">
      <c r="A5" s="26"/>
      <c r="B5" s="26"/>
      <c r="C5" s="26"/>
      <c r="D5" s="27"/>
      <c r="E5" s="27"/>
      <c r="F5" s="27"/>
      <c r="G5" s="27"/>
      <c r="H5" s="27"/>
      <c r="I5" s="27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ht="6.75" customHeight="1">
      <c r="A6" s="26"/>
      <c r="B6" s="26"/>
      <c r="C6" s="26"/>
      <c r="D6" s="27"/>
      <c r="E6" s="27"/>
      <c r="F6" s="27"/>
      <c r="G6" s="27"/>
      <c r="H6" s="27"/>
      <c r="I6" s="27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ht="5.25" customHeight="1">
      <c r="A7" s="26"/>
      <c r="B7" s="26"/>
      <c r="C7" s="26"/>
      <c r="D7" s="27"/>
      <c r="E7" s="27"/>
      <c r="F7" s="27"/>
      <c r="G7" s="27"/>
      <c r="H7" s="27"/>
      <c r="I7" s="27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ht="12.75">
      <c r="A8" s="93"/>
      <c r="B8" s="94" t="s">
        <v>45</v>
      </c>
      <c r="C8" s="93"/>
      <c r="D8" s="93"/>
      <c r="E8" s="93"/>
      <c r="F8" s="95"/>
      <c r="G8" s="95"/>
      <c r="H8" s="95"/>
      <c r="I8" s="95"/>
      <c r="J8" s="96"/>
      <c r="K8" s="97"/>
      <c r="L8" s="96"/>
      <c r="M8" s="97"/>
      <c r="N8" s="96"/>
      <c r="O8" s="96"/>
      <c r="P8" s="96"/>
      <c r="Q8" s="96"/>
      <c r="R8" s="96"/>
      <c r="S8" s="96"/>
      <c r="T8" s="96"/>
      <c r="U8" s="96"/>
      <c r="V8" s="97"/>
    </row>
    <row r="9" spans="1:22">
      <c r="A9" s="28"/>
      <c r="B9" s="28"/>
      <c r="C9" s="28"/>
      <c r="D9" s="29"/>
      <c r="E9" s="29"/>
      <c r="F9" s="29"/>
      <c r="G9" s="31"/>
      <c r="H9" s="31"/>
      <c r="I9" s="2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>
      <c r="A10" s="28"/>
      <c r="B10" s="28"/>
      <c r="C10" s="66" t="s">
        <v>76</v>
      </c>
      <c r="D10" s="31" t="s">
        <v>7</v>
      </c>
      <c r="E10" s="31" t="s">
        <v>8</v>
      </c>
      <c r="F10" s="31" t="s">
        <v>22</v>
      </c>
      <c r="G10" s="31"/>
      <c r="H10" s="31"/>
      <c r="I10" s="29"/>
      <c r="J10" s="155">
        <f t="shared" ref="J10:S10" si="0">IF(YEAR(J$4)&lt;=PPLastYear,J$4,"")</f>
        <v>43252</v>
      </c>
      <c r="K10" s="155">
        <f t="shared" si="0"/>
        <v>43617</v>
      </c>
      <c r="L10" s="155">
        <f t="shared" si="0"/>
        <v>43983</v>
      </c>
      <c r="M10" s="155">
        <f t="shared" si="0"/>
        <v>44348</v>
      </c>
      <c r="N10" s="155">
        <f t="shared" si="0"/>
        <v>44713</v>
      </c>
      <c r="O10" s="155" t="str">
        <f t="shared" si="0"/>
        <v/>
      </c>
      <c r="P10" s="155" t="str">
        <f t="shared" si="0"/>
        <v/>
      </c>
      <c r="Q10" s="155" t="str">
        <f t="shared" si="0"/>
        <v/>
      </c>
      <c r="R10" s="155" t="str">
        <f t="shared" si="0"/>
        <v/>
      </c>
      <c r="S10" s="155" t="str">
        <f t="shared" si="0"/>
        <v/>
      </c>
      <c r="T10" s="155"/>
      <c r="U10" s="135" t="s">
        <v>54</v>
      </c>
      <c r="V10" s="28"/>
    </row>
    <row r="11" spans="1:22">
      <c r="A11" s="28"/>
      <c r="B11" s="28"/>
      <c r="C11" s="110"/>
      <c r="D11" s="29"/>
      <c r="E11" s="29"/>
      <c r="F11" s="29"/>
      <c r="G11" s="31"/>
      <c r="H11" s="31"/>
      <c r="I11" s="29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8"/>
      <c r="V11" s="28"/>
    </row>
    <row r="12" spans="1:22">
      <c r="A12" s="28"/>
      <c r="B12" s="28"/>
      <c r="C12" s="110"/>
      <c r="D12" s="29"/>
      <c r="E12" s="109"/>
      <c r="F12" s="29"/>
      <c r="G12" s="31"/>
      <c r="H12" s="31"/>
      <c r="I12" s="29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8"/>
      <c r="V12" s="28"/>
    </row>
    <row r="13" spans="1:22">
      <c r="A13" s="28"/>
      <c r="B13" s="28"/>
      <c r="C13" s="60" t="s">
        <v>73</v>
      </c>
      <c r="D13" s="29" t="s">
        <v>69</v>
      </c>
      <c r="E13" s="29" t="str">
        <f>units</f>
        <v>$millions</v>
      </c>
      <c r="F13" s="189">
        <f>DATE(PPFirstYear-1,MONTH(month),1)</f>
        <v>42887</v>
      </c>
      <c r="G13" s="31"/>
      <c r="H13" s="31"/>
      <c r="I13" s="29"/>
      <c r="J13" s="159">
        <v>14.50813126120198</v>
      </c>
      <c r="K13" s="159">
        <v>14.514511952219507</v>
      </c>
      <c r="L13" s="159">
        <v>14.412354062578697</v>
      </c>
      <c r="M13" s="159">
        <v>14.355844743605436</v>
      </c>
      <c r="N13" s="159">
        <v>14.354774884375532</v>
      </c>
      <c r="O13" s="159"/>
      <c r="P13" s="159"/>
      <c r="Q13" s="159"/>
      <c r="R13" s="159"/>
      <c r="S13" s="159"/>
      <c r="T13" s="159"/>
      <c r="U13" s="28" t="s">
        <v>195</v>
      </c>
      <c r="V13" s="28"/>
    </row>
    <row r="14" spans="1:22">
      <c r="A14" s="28"/>
      <c r="B14" s="28"/>
      <c r="C14" s="110"/>
      <c r="D14" s="29"/>
      <c r="E14" s="29"/>
      <c r="F14" s="29"/>
      <c r="G14" s="31"/>
      <c r="H14" s="31"/>
      <c r="I14" s="29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8"/>
      <c r="V14" s="28"/>
    </row>
    <row r="15" spans="1:22">
      <c r="A15" s="28"/>
      <c r="B15" s="28"/>
      <c r="C15" s="137" t="s">
        <v>73</v>
      </c>
      <c r="D15" s="138" t="str">
        <f>D13</f>
        <v>AER</v>
      </c>
      <c r="E15" s="215" t="str">
        <f>E13</f>
        <v>$millions</v>
      </c>
      <c r="F15" s="215">
        <f>$F$13</f>
        <v>42887</v>
      </c>
      <c r="G15" s="31"/>
      <c r="H15" s="31"/>
      <c r="I15" s="29"/>
      <c r="J15" s="128">
        <f>J13</f>
        <v>14.50813126120198</v>
      </c>
      <c r="K15" s="128">
        <f t="shared" ref="K15:S15" si="1">K13</f>
        <v>14.514511952219507</v>
      </c>
      <c r="L15" s="128">
        <f t="shared" si="1"/>
        <v>14.412354062578697</v>
      </c>
      <c r="M15" s="128">
        <f t="shared" si="1"/>
        <v>14.355844743605436</v>
      </c>
      <c r="N15" s="128">
        <f t="shared" si="1"/>
        <v>14.354774884375532</v>
      </c>
      <c r="O15" s="128">
        <f t="shared" si="1"/>
        <v>0</v>
      </c>
      <c r="P15" s="128">
        <f t="shared" si="1"/>
        <v>0</v>
      </c>
      <c r="Q15" s="128">
        <f t="shared" si="1"/>
        <v>0</v>
      </c>
      <c r="R15" s="128">
        <f t="shared" si="1"/>
        <v>0</v>
      </c>
      <c r="S15" s="128">
        <f t="shared" si="1"/>
        <v>0</v>
      </c>
      <c r="T15" s="128"/>
      <c r="U15" s="28"/>
      <c r="V15" s="28"/>
    </row>
    <row r="16" spans="1:22">
      <c r="A16" s="28"/>
      <c r="B16" s="28"/>
      <c r="C16" s="110"/>
      <c r="D16" s="29"/>
      <c r="E16" s="29"/>
      <c r="F16" s="29"/>
      <c r="G16" s="31"/>
      <c r="H16" s="31"/>
      <c r="I16" s="29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8"/>
      <c r="V16" s="28"/>
    </row>
    <row r="17" spans="1:22">
      <c r="A17" s="28"/>
      <c r="B17" s="28"/>
      <c r="C17" s="66" t="s">
        <v>159</v>
      </c>
      <c r="D17" s="29"/>
      <c r="E17" s="29"/>
      <c r="F17" s="29"/>
      <c r="G17" s="31"/>
      <c r="H17" s="31"/>
      <c r="I17" s="29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8"/>
      <c r="V17" s="28"/>
    </row>
    <row r="18" spans="1:22">
      <c r="A18" s="28"/>
      <c r="B18" s="28"/>
      <c r="C18" s="110"/>
      <c r="D18" s="29"/>
      <c r="E18" s="29"/>
      <c r="F18" s="29"/>
      <c r="G18" s="31"/>
      <c r="H18" s="31"/>
      <c r="I18" s="29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8"/>
      <c r="V18" s="28"/>
    </row>
    <row r="19" spans="1:22">
      <c r="A19" s="28"/>
      <c r="B19" s="28"/>
      <c r="C19" s="60" t="s">
        <v>39</v>
      </c>
      <c r="D19" s="29" t="s">
        <v>69</v>
      </c>
      <c r="E19" s="29" t="str">
        <f t="shared" ref="E19:E27" si="2">units</f>
        <v>$millions</v>
      </c>
      <c r="F19" s="157">
        <f>$F$13</f>
        <v>42887</v>
      </c>
      <c r="G19" s="31"/>
      <c r="H19" s="31"/>
      <c r="I19" s="29"/>
      <c r="J19" s="159">
        <v>0.25147914767988305</v>
      </c>
      <c r="K19" s="159">
        <v>0.25785983869741091</v>
      </c>
      <c r="L19" s="159">
        <v>0.25800194905659918</v>
      </c>
      <c r="M19" s="159">
        <v>0.25264263008333943</v>
      </c>
      <c r="N19" s="159">
        <v>0.25157277085343521</v>
      </c>
      <c r="O19" s="159"/>
      <c r="P19" s="159"/>
      <c r="Q19" s="159"/>
      <c r="R19" s="159"/>
      <c r="S19" s="159"/>
      <c r="T19" s="159"/>
      <c r="U19" s="28" t="s">
        <v>171</v>
      </c>
      <c r="V19" s="28"/>
    </row>
    <row r="20" spans="1:22">
      <c r="A20" s="28"/>
      <c r="B20" s="28"/>
      <c r="C20" s="60"/>
      <c r="D20" s="29" t="s">
        <v>69</v>
      </c>
      <c r="E20" s="29" t="str">
        <f t="shared" si="2"/>
        <v>$millions</v>
      </c>
      <c r="F20" s="157">
        <f t="shared" ref="F20:F29" si="3">$F$13</f>
        <v>42887</v>
      </c>
      <c r="G20" s="31"/>
      <c r="H20" s="31"/>
      <c r="I20" s="2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28"/>
      <c r="V20" s="28"/>
    </row>
    <row r="21" spans="1:22">
      <c r="A21" s="28"/>
      <c r="B21" s="28"/>
      <c r="C21" s="60"/>
      <c r="D21" s="29" t="s">
        <v>69</v>
      </c>
      <c r="E21" s="29" t="str">
        <f t="shared" si="2"/>
        <v>$millions</v>
      </c>
      <c r="F21" s="157">
        <f t="shared" si="3"/>
        <v>42887</v>
      </c>
      <c r="G21" s="31"/>
      <c r="H21" s="31"/>
      <c r="I21" s="2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28"/>
      <c r="V21" s="28"/>
    </row>
    <row r="22" spans="1:22">
      <c r="A22" s="28"/>
      <c r="B22" s="28"/>
      <c r="C22" s="60"/>
      <c r="D22" s="29" t="s">
        <v>69</v>
      </c>
      <c r="E22" s="29" t="str">
        <f t="shared" si="2"/>
        <v>$millions</v>
      </c>
      <c r="F22" s="157">
        <f t="shared" si="3"/>
        <v>42887</v>
      </c>
      <c r="G22" s="31"/>
      <c r="H22" s="31"/>
      <c r="I22" s="2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28"/>
      <c r="V22" s="28"/>
    </row>
    <row r="23" spans="1:22">
      <c r="A23" s="28"/>
      <c r="B23" s="28"/>
      <c r="C23" s="60"/>
      <c r="D23" s="29" t="s">
        <v>69</v>
      </c>
      <c r="E23" s="29" t="str">
        <f t="shared" si="2"/>
        <v>$millions</v>
      </c>
      <c r="F23" s="157">
        <f t="shared" si="3"/>
        <v>42887</v>
      </c>
      <c r="G23" s="31"/>
      <c r="H23" s="31"/>
      <c r="I23" s="2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28"/>
      <c r="V23" s="28"/>
    </row>
    <row r="24" spans="1:22">
      <c r="A24" s="28"/>
      <c r="B24" s="28"/>
      <c r="C24" s="60"/>
      <c r="D24" s="29" t="s">
        <v>69</v>
      </c>
      <c r="E24" s="29" t="str">
        <f t="shared" si="2"/>
        <v>$millions</v>
      </c>
      <c r="F24" s="157">
        <f t="shared" si="3"/>
        <v>42887</v>
      </c>
      <c r="G24" s="31"/>
      <c r="H24" s="31"/>
      <c r="I24" s="2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28"/>
      <c r="V24" s="28"/>
    </row>
    <row r="25" spans="1:22">
      <c r="A25" s="28"/>
      <c r="B25" s="28"/>
      <c r="C25" s="60"/>
      <c r="D25" s="29" t="s">
        <v>69</v>
      </c>
      <c r="E25" s="29" t="str">
        <f t="shared" si="2"/>
        <v>$millions</v>
      </c>
      <c r="F25" s="157">
        <f t="shared" si="3"/>
        <v>42887</v>
      </c>
      <c r="G25" s="31"/>
      <c r="H25" s="31"/>
      <c r="I25" s="2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28"/>
      <c r="V25" s="28"/>
    </row>
    <row r="26" spans="1:22">
      <c r="A26" s="28"/>
      <c r="B26" s="28"/>
      <c r="C26" s="60"/>
      <c r="D26" s="29" t="s">
        <v>69</v>
      </c>
      <c r="E26" s="29" t="str">
        <f t="shared" si="2"/>
        <v>$millions</v>
      </c>
      <c r="F26" s="157">
        <f t="shared" si="3"/>
        <v>42887</v>
      </c>
      <c r="G26" s="31"/>
      <c r="H26" s="31"/>
      <c r="I26" s="2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28"/>
      <c r="V26" s="28"/>
    </row>
    <row r="27" spans="1:22">
      <c r="A27" s="28"/>
      <c r="B27" s="28"/>
      <c r="C27" s="60"/>
      <c r="D27" s="29" t="s">
        <v>69</v>
      </c>
      <c r="E27" s="29" t="str">
        <f t="shared" si="2"/>
        <v>$millions</v>
      </c>
      <c r="F27" s="157">
        <f t="shared" si="3"/>
        <v>42887</v>
      </c>
      <c r="G27" s="31"/>
      <c r="H27" s="31"/>
      <c r="I27" s="2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28"/>
      <c r="V27" s="28"/>
    </row>
    <row r="28" spans="1:22">
      <c r="A28" s="28"/>
      <c r="B28" s="28"/>
      <c r="C28" s="110"/>
      <c r="D28" s="29"/>
      <c r="E28" s="29"/>
      <c r="F28" s="29"/>
      <c r="G28" s="31"/>
      <c r="H28" s="31"/>
      <c r="I28" s="29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8"/>
      <c r="V28" s="28"/>
    </row>
    <row r="29" spans="1:22">
      <c r="A29" s="28"/>
      <c r="B29" s="28"/>
      <c r="C29" s="137" t="s">
        <v>157</v>
      </c>
      <c r="D29" s="138" t="s">
        <v>30</v>
      </c>
      <c r="E29" s="214" t="str">
        <f>units</f>
        <v>$millions</v>
      </c>
      <c r="F29" s="215">
        <f t="shared" si="3"/>
        <v>42887</v>
      </c>
      <c r="G29" s="31"/>
      <c r="H29" s="31"/>
      <c r="I29" s="29"/>
      <c r="J29" s="128">
        <f>SUM(J19:J27)</f>
        <v>0.25147914767988305</v>
      </c>
      <c r="K29" s="128">
        <f t="shared" ref="K29:S29" si="4">SUM(K19:K27)</f>
        <v>0.25785983869741091</v>
      </c>
      <c r="L29" s="128">
        <f t="shared" si="4"/>
        <v>0.25800194905659918</v>
      </c>
      <c r="M29" s="128">
        <f t="shared" si="4"/>
        <v>0.25264263008333943</v>
      </c>
      <c r="N29" s="128">
        <f t="shared" si="4"/>
        <v>0.25157277085343521</v>
      </c>
      <c r="O29" s="128">
        <f t="shared" si="4"/>
        <v>0</v>
      </c>
      <c r="P29" s="128">
        <f t="shared" si="4"/>
        <v>0</v>
      </c>
      <c r="Q29" s="128">
        <f t="shared" si="4"/>
        <v>0</v>
      </c>
      <c r="R29" s="128">
        <f t="shared" si="4"/>
        <v>0</v>
      </c>
      <c r="S29" s="128">
        <f t="shared" si="4"/>
        <v>0</v>
      </c>
      <c r="T29" s="128"/>
      <c r="U29" s="28"/>
      <c r="V29" s="106" t="str">
        <f>IF(COUNTIF(J19:S27,"&lt;0")&gt;0,"Check","Ok")</f>
        <v>Ok</v>
      </c>
    </row>
    <row r="30" spans="1:22">
      <c r="A30" s="28"/>
      <c r="B30" s="28"/>
      <c r="C30" s="28"/>
      <c r="D30" s="29"/>
      <c r="E30" s="29"/>
      <c r="F30" s="29"/>
      <c r="G30" s="31"/>
      <c r="H30" s="31"/>
      <c r="I30" s="29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12.75">
      <c r="A31" s="93"/>
      <c r="B31" s="94" t="s">
        <v>57</v>
      </c>
      <c r="C31" s="93"/>
      <c r="D31" s="93"/>
      <c r="E31" s="93"/>
      <c r="F31" s="95"/>
      <c r="G31" s="95"/>
      <c r="H31" s="95"/>
      <c r="I31" s="95"/>
      <c r="J31" s="96"/>
      <c r="K31" s="97"/>
      <c r="L31" s="96"/>
      <c r="M31" s="97"/>
      <c r="N31" s="96"/>
      <c r="O31" s="96"/>
      <c r="P31" s="96"/>
      <c r="Q31" s="96"/>
      <c r="R31" s="96"/>
      <c r="S31" s="96"/>
      <c r="T31" s="96"/>
      <c r="U31" s="96"/>
      <c r="V31" s="97"/>
    </row>
    <row r="32" spans="1:22">
      <c r="A32" s="28"/>
      <c r="B32" s="28"/>
      <c r="C32" s="28"/>
      <c r="D32" s="29"/>
      <c r="E32" s="29"/>
      <c r="F32" s="29"/>
      <c r="G32" s="29"/>
      <c r="H32" s="29"/>
      <c r="I32" s="29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>
      <c r="A33" s="28"/>
      <c r="B33" s="28"/>
      <c r="C33" s="28"/>
      <c r="D33" s="29"/>
      <c r="E33" s="29"/>
      <c r="F33" s="29"/>
      <c r="G33" s="29"/>
      <c r="H33" s="29"/>
      <c r="I33" s="29"/>
      <c r="J33" s="159" t="s">
        <v>23</v>
      </c>
      <c r="K33" s="159" t="s">
        <v>23</v>
      </c>
      <c r="L33" s="159" t="s">
        <v>23</v>
      </c>
      <c r="M33" s="159" t="s">
        <v>23</v>
      </c>
      <c r="N33" s="159" t="s">
        <v>74</v>
      </c>
      <c r="O33" s="159"/>
      <c r="P33" s="159"/>
      <c r="Q33" s="159"/>
      <c r="R33" s="159"/>
      <c r="S33" s="159"/>
      <c r="T33" s="159"/>
      <c r="U33" s="28"/>
      <c r="V33" s="28"/>
    </row>
    <row r="34" spans="1:22">
      <c r="A34" s="28"/>
      <c r="B34" s="28"/>
      <c r="C34" s="66" t="s">
        <v>76</v>
      </c>
      <c r="D34" s="31" t="s">
        <v>7</v>
      </c>
      <c r="E34" s="31" t="s">
        <v>8</v>
      </c>
      <c r="F34" s="31" t="s">
        <v>22</v>
      </c>
      <c r="G34" s="31"/>
      <c r="H34" s="31"/>
      <c r="I34" s="31"/>
      <c r="J34" s="155">
        <f t="shared" ref="J34:S34" si="5">IF(YEAR(J$4)&lt;=PPLastYear,J$4,"")</f>
        <v>43252</v>
      </c>
      <c r="K34" s="155">
        <f t="shared" si="5"/>
        <v>43617</v>
      </c>
      <c r="L34" s="155">
        <f t="shared" si="5"/>
        <v>43983</v>
      </c>
      <c r="M34" s="155">
        <f t="shared" si="5"/>
        <v>44348</v>
      </c>
      <c r="N34" s="155">
        <f t="shared" si="5"/>
        <v>44713</v>
      </c>
      <c r="O34" s="155" t="str">
        <f t="shared" si="5"/>
        <v/>
      </c>
      <c r="P34" s="155" t="str">
        <f t="shared" si="5"/>
        <v/>
      </c>
      <c r="Q34" s="155" t="str">
        <f t="shared" si="5"/>
        <v/>
      </c>
      <c r="R34" s="155" t="str">
        <f t="shared" si="5"/>
        <v/>
      </c>
      <c r="S34" s="155" t="str">
        <f t="shared" si="5"/>
        <v/>
      </c>
      <c r="T34" s="155"/>
      <c r="U34" s="135" t="s">
        <v>54</v>
      </c>
      <c r="V34" s="28"/>
    </row>
    <row r="35" spans="1:22">
      <c r="A35" s="28"/>
      <c r="B35" s="28"/>
      <c r="C35" s="110"/>
      <c r="D35" s="29"/>
      <c r="E35" s="29"/>
      <c r="F35" s="29"/>
      <c r="G35" s="31"/>
      <c r="H35" s="31"/>
      <c r="I35" s="29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>
      <c r="A36" s="28"/>
      <c r="B36" s="28"/>
      <c r="C36" s="110"/>
      <c r="D36" s="29"/>
      <c r="E36" s="29"/>
      <c r="F36" s="29"/>
      <c r="G36" s="31"/>
      <c r="H36" s="31"/>
      <c r="I36" s="29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>
      <c r="A37" s="28"/>
      <c r="B37" s="28"/>
      <c r="C37" s="60" t="s">
        <v>73</v>
      </c>
      <c r="D37" s="29" t="s">
        <v>75</v>
      </c>
      <c r="E37" s="29" t="str">
        <f>units</f>
        <v>$millions</v>
      </c>
      <c r="F37" s="210" t="s">
        <v>100</v>
      </c>
      <c r="G37" s="31"/>
      <c r="H37" s="31"/>
      <c r="I37" s="29"/>
      <c r="J37" s="159">
        <v>15.190502879014074</v>
      </c>
      <c r="K37" s="159">
        <v>17.174999268088559</v>
      </c>
      <c r="L37" s="159">
        <v>17.9634545140302</v>
      </c>
      <c r="M37" s="159">
        <v>18.892507880947299</v>
      </c>
      <c r="N37" s="159"/>
      <c r="O37" s="159"/>
      <c r="P37" s="159"/>
      <c r="Q37" s="159"/>
      <c r="R37" s="159"/>
      <c r="S37" s="159"/>
      <c r="T37" s="159"/>
      <c r="U37" s="28" t="s">
        <v>168</v>
      </c>
      <c r="V37" s="28"/>
    </row>
    <row r="38" spans="1:22">
      <c r="A38" s="28"/>
      <c r="B38" s="28"/>
      <c r="C38" s="110"/>
      <c r="D38" s="29"/>
      <c r="E38" s="29"/>
      <c r="F38" s="157"/>
      <c r="G38" s="31"/>
      <c r="H38" s="31"/>
      <c r="I38" s="2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28"/>
      <c r="V38" s="28"/>
    </row>
    <row r="39" spans="1:22">
      <c r="A39" s="28"/>
      <c r="B39" s="28"/>
      <c r="C39" s="66" t="s">
        <v>175</v>
      </c>
      <c r="D39" s="29"/>
      <c r="E39" s="29"/>
      <c r="F39" s="157"/>
      <c r="G39" s="31"/>
      <c r="H39" s="31"/>
      <c r="I39" s="2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28"/>
      <c r="V39" s="28"/>
    </row>
    <row r="40" spans="1:22">
      <c r="A40" s="28"/>
      <c r="B40" s="28"/>
      <c r="C40" s="66"/>
      <c r="D40" s="29"/>
      <c r="E40" s="29"/>
      <c r="F40" s="157"/>
      <c r="G40" s="31"/>
      <c r="H40" s="31"/>
      <c r="I40" s="2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28"/>
      <c r="V40" s="28"/>
    </row>
    <row r="41" spans="1:22">
      <c r="A41" s="28"/>
      <c r="B41" s="28"/>
      <c r="C41" s="60"/>
      <c r="D41" s="29" t="s">
        <v>75</v>
      </c>
      <c r="E41" s="29" t="str">
        <f>units</f>
        <v>$millions</v>
      </c>
      <c r="F41" s="210" t="s">
        <v>100</v>
      </c>
      <c r="G41" s="31"/>
      <c r="H41" s="31"/>
      <c r="I41" s="2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28" t="s">
        <v>174</v>
      </c>
      <c r="V41" s="28"/>
    </row>
    <row r="42" spans="1:22">
      <c r="A42" s="28"/>
      <c r="B42" s="28"/>
      <c r="C42" s="60"/>
      <c r="D42" s="29" t="s">
        <v>75</v>
      </c>
      <c r="E42" s="29" t="str">
        <f>units</f>
        <v>$millions</v>
      </c>
      <c r="F42" s="210" t="s">
        <v>100</v>
      </c>
      <c r="G42" s="31"/>
      <c r="H42" s="31"/>
      <c r="I42" s="2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28"/>
      <c r="V42" s="28"/>
    </row>
    <row r="43" spans="1:22">
      <c r="A43" s="28"/>
      <c r="B43" s="28"/>
      <c r="C43" s="60"/>
      <c r="D43" s="29" t="s">
        <v>75</v>
      </c>
      <c r="E43" s="29" t="str">
        <f>units</f>
        <v>$millions</v>
      </c>
      <c r="F43" s="210" t="s">
        <v>100</v>
      </c>
      <c r="G43" s="31"/>
      <c r="H43" s="31"/>
      <c r="I43" s="2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28"/>
      <c r="V43" s="28"/>
    </row>
    <row r="44" spans="1:22">
      <c r="A44" s="28"/>
      <c r="B44" s="28"/>
      <c r="C44" s="60"/>
      <c r="D44" s="29" t="s">
        <v>75</v>
      </c>
      <c r="E44" s="29" t="str">
        <f>units</f>
        <v>$millions</v>
      </c>
      <c r="F44" s="210" t="s">
        <v>100</v>
      </c>
      <c r="G44" s="31"/>
      <c r="H44" s="31"/>
      <c r="I44" s="2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28"/>
      <c r="V44" s="28"/>
    </row>
    <row r="45" spans="1:22">
      <c r="A45" s="28"/>
      <c r="B45" s="28"/>
      <c r="C45" s="60"/>
      <c r="D45" s="29" t="s">
        <v>75</v>
      </c>
      <c r="E45" s="29" t="str">
        <f>units</f>
        <v>$millions</v>
      </c>
      <c r="F45" s="210" t="s">
        <v>100</v>
      </c>
      <c r="G45" s="31"/>
      <c r="H45" s="31"/>
      <c r="I45" s="2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28"/>
      <c r="V45" s="28"/>
    </row>
    <row r="46" spans="1:22">
      <c r="A46" s="28"/>
      <c r="B46" s="28"/>
      <c r="C46" s="110"/>
      <c r="D46" s="29"/>
      <c r="E46" s="29"/>
      <c r="F46" s="29"/>
      <c r="G46" s="31"/>
      <c r="H46" s="31"/>
      <c r="I46" s="29"/>
      <c r="J46" s="28"/>
      <c r="K46" s="28"/>
      <c r="L46" s="28"/>
      <c r="M46" s="28"/>
      <c r="N46" s="139"/>
      <c r="O46" s="139"/>
      <c r="P46" s="139"/>
      <c r="Q46" s="139"/>
      <c r="R46" s="139"/>
      <c r="S46" s="139"/>
      <c r="T46" s="139"/>
      <c r="U46" s="28"/>
      <c r="V46" s="28"/>
    </row>
    <row r="47" spans="1:22">
      <c r="A47" s="28"/>
      <c r="B47" s="28"/>
      <c r="C47" s="137" t="s">
        <v>172</v>
      </c>
      <c r="D47" s="138" t="s">
        <v>30</v>
      </c>
      <c r="E47" s="214" t="str">
        <f>units</f>
        <v>$millions</v>
      </c>
      <c r="F47" s="215" t="s">
        <v>100</v>
      </c>
      <c r="G47" s="31"/>
      <c r="H47" s="31"/>
      <c r="I47" s="29"/>
      <c r="J47" s="128">
        <f>J37-SUM(J41:J45)</f>
        <v>15.190502879014074</v>
      </c>
      <c r="K47" s="128">
        <f t="shared" ref="K47:S47" si="6">K37-SUM(K41:K45)</f>
        <v>17.174999268088559</v>
      </c>
      <c r="L47" s="128">
        <f t="shared" si="6"/>
        <v>17.9634545140302</v>
      </c>
      <c r="M47" s="128">
        <f t="shared" si="6"/>
        <v>18.892507880947299</v>
      </c>
      <c r="N47" s="128">
        <f t="shared" si="6"/>
        <v>0</v>
      </c>
      <c r="O47" s="128">
        <f t="shared" si="6"/>
        <v>0</v>
      </c>
      <c r="P47" s="128">
        <f t="shared" si="6"/>
        <v>0</v>
      </c>
      <c r="Q47" s="128">
        <f t="shared" si="6"/>
        <v>0</v>
      </c>
      <c r="R47" s="128">
        <f t="shared" si="6"/>
        <v>0</v>
      </c>
      <c r="S47" s="128">
        <f t="shared" si="6"/>
        <v>0</v>
      </c>
      <c r="T47" s="128"/>
      <c r="U47" s="28"/>
      <c r="V47" s="28"/>
    </row>
    <row r="48" spans="1:22">
      <c r="A48" s="28"/>
      <c r="B48" s="28"/>
      <c r="C48" s="28"/>
      <c r="D48" s="29"/>
      <c r="E48" s="29"/>
      <c r="F48" s="29"/>
      <c r="G48" s="29"/>
      <c r="H48" s="29"/>
      <c r="I48" s="29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28"/>
      <c r="V48" s="28"/>
    </row>
    <row r="49" spans="1:22">
      <c r="A49" s="28"/>
      <c r="B49" s="28"/>
      <c r="C49" s="66" t="s">
        <v>108</v>
      </c>
      <c r="D49" s="29"/>
      <c r="E49" s="29"/>
      <c r="F49" s="29"/>
      <c r="G49" s="29"/>
      <c r="H49" s="29"/>
      <c r="I49" s="29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28"/>
      <c r="V49" s="28"/>
    </row>
    <row r="50" spans="1:22">
      <c r="A50" s="28"/>
      <c r="B50" s="28"/>
      <c r="C50" s="28"/>
      <c r="D50" s="29"/>
      <c r="E50" s="29"/>
      <c r="F50" s="29"/>
      <c r="G50" s="29"/>
      <c r="H50" s="29"/>
      <c r="I50" s="29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28"/>
      <c r="V50" s="28"/>
    </row>
    <row r="51" spans="1:22">
      <c r="A51" s="28"/>
      <c r="B51" s="28"/>
      <c r="C51" s="60" t="s">
        <v>39</v>
      </c>
      <c r="D51" s="29" t="s">
        <v>75</v>
      </c>
      <c r="E51" s="29" t="str">
        <f>units</f>
        <v>$millions</v>
      </c>
      <c r="F51" s="210" t="s">
        <v>100</v>
      </c>
      <c r="G51" s="31"/>
      <c r="H51" s="31"/>
      <c r="I51" s="29"/>
      <c r="J51" s="159">
        <v>0.24812715346926473</v>
      </c>
      <c r="K51" s="159">
        <v>0.25108676990414286</v>
      </c>
      <c r="L51" s="159">
        <v>0.25656129349019513</v>
      </c>
      <c r="M51" s="159">
        <v>0.2614961030518031</v>
      </c>
      <c r="N51" s="159"/>
      <c r="O51" s="159"/>
      <c r="P51" s="159"/>
      <c r="Q51" s="159"/>
      <c r="R51" s="159"/>
      <c r="S51" s="159"/>
      <c r="T51" s="159"/>
      <c r="U51" s="28" t="s">
        <v>171</v>
      </c>
      <c r="V51" s="28"/>
    </row>
    <row r="52" spans="1:22">
      <c r="A52" s="28"/>
      <c r="B52" s="28"/>
      <c r="C52" s="60"/>
      <c r="D52" s="29" t="s">
        <v>75</v>
      </c>
      <c r="E52" s="29" t="str">
        <f>units</f>
        <v>$millions</v>
      </c>
      <c r="F52" s="210" t="s">
        <v>100</v>
      </c>
      <c r="G52" s="31"/>
      <c r="H52" s="31"/>
      <c r="I52" s="2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28"/>
      <c r="V52" s="28"/>
    </row>
    <row r="53" spans="1:22">
      <c r="A53" s="28"/>
      <c r="B53" s="28"/>
      <c r="C53" s="60"/>
      <c r="D53" s="29" t="s">
        <v>75</v>
      </c>
      <c r="E53" s="29" t="str">
        <f>units</f>
        <v>$millions</v>
      </c>
      <c r="F53" s="210" t="s">
        <v>100</v>
      </c>
      <c r="G53" s="31"/>
      <c r="H53" s="31"/>
      <c r="I53" s="2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28"/>
      <c r="V53" s="28"/>
    </row>
    <row r="54" spans="1:22">
      <c r="A54" s="28"/>
      <c r="B54" s="28"/>
      <c r="C54" s="60"/>
      <c r="D54" s="29" t="s">
        <v>75</v>
      </c>
      <c r="E54" s="29" t="str">
        <f>units</f>
        <v>$millions</v>
      </c>
      <c r="F54" s="210" t="s">
        <v>100</v>
      </c>
      <c r="G54" s="31"/>
      <c r="H54" s="31"/>
      <c r="I54" s="2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28"/>
      <c r="V54" s="28"/>
    </row>
    <row r="55" spans="1:22">
      <c r="A55" s="28"/>
      <c r="B55" s="28"/>
      <c r="C55" s="60"/>
      <c r="D55" s="29" t="s">
        <v>75</v>
      </c>
      <c r="E55" s="29" t="str">
        <f>units</f>
        <v>$millions</v>
      </c>
      <c r="F55" s="210" t="s">
        <v>100</v>
      </c>
      <c r="G55" s="31"/>
      <c r="H55" s="31"/>
      <c r="I55" s="2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28"/>
      <c r="V55" s="28"/>
    </row>
    <row r="56" spans="1:22">
      <c r="A56" s="28"/>
      <c r="B56" s="28"/>
      <c r="C56" s="110"/>
      <c r="D56" s="29"/>
      <c r="E56" s="29"/>
      <c r="F56" s="29"/>
      <c r="G56" s="31"/>
      <c r="H56" s="31"/>
      <c r="I56" s="29"/>
      <c r="J56" s="28"/>
      <c r="K56" s="28"/>
      <c r="L56" s="28"/>
      <c r="M56" s="28"/>
      <c r="N56" s="139"/>
      <c r="O56" s="139"/>
      <c r="P56" s="139"/>
      <c r="Q56" s="139"/>
      <c r="R56" s="139"/>
      <c r="S56" s="139"/>
      <c r="T56" s="139"/>
      <c r="U56" s="28"/>
      <c r="V56" s="28"/>
    </row>
    <row r="57" spans="1:22">
      <c r="A57" s="28"/>
      <c r="B57" s="28"/>
      <c r="C57" s="137" t="s">
        <v>157</v>
      </c>
      <c r="D57" s="138" t="s">
        <v>30</v>
      </c>
      <c r="E57" s="214" t="str">
        <f>units</f>
        <v>$millions</v>
      </c>
      <c r="F57" s="215" t="s">
        <v>100</v>
      </c>
      <c r="G57" s="31"/>
      <c r="H57" s="31"/>
      <c r="I57" s="29"/>
      <c r="J57" s="179">
        <f>SUM(J51:J55)</f>
        <v>0.24812715346926473</v>
      </c>
      <c r="K57" s="179">
        <f t="shared" ref="K57:S57" si="7">SUM(K51:K55)</f>
        <v>0.25108676990414286</v>
      </c>
      <c r="L57" s="179">
        <f t="shared" si="7"/>
        <v>0.25656129349019513</v>
      </c>
      <c r="M57" s="179">
        <f t="shared" si="7"/>
        <v>0.2614961030518031</v>
      </c>
      <c r="N57" s="179">
        <f t="shared" si="7"/>
        <v>0</v>
      </c>
      <c r="O57" s="179">
        <f t="shared" si="7"/>
        <v>0</v>
      </c>
      <c r="P57" s="179">
        <f t="shared" si="7"/>
        <v>0</v>
      </c>
      <c r="Q57" s="179">
        <f t="shared" si="7"/>
        <v>0</v>
      </c>
      <c r="R57" s="179">
        <f t="shared" si="7"/>
        <v>0</v>
      </c>
      <c r="S57" s="179">
        <f t="shared" si="7"/>
        <v>0</v>
      </c>
      <c r="T57" s="179"/>
      <c r="U57" s="28"/>
      <c r="V57" s="106" t="str">
        <f>IF(COUNTIF(J51:S55,"&lt;0")&gt;0,"Check","Ok")</f>
        <v>Ok</v>
      </c>
    </row>
    <row r="58" spans="1:22">
      <c r="A58" s="28"/>
      <c r="B58" s="28"/>
      <c r="C58" s="28"/>
      <c r="D58" s="29"/>
      <c r="E58" s="29"/>
      <c r="F58" s="29"/>
      <c r="G58" s="31"/>
      <c r="H58" s="31"/>
      <c r="I58" s="29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</row>
    <row r="59" spans="1:22" ht="12.75">
      <c r="A59" s="93"/>
      <c r="B59" s="94" t="s">
        <v>109</v>
      </c>
      <c r="C59" s="93"/>
      <c r="D59" s="93"/>
      <c r="E59" s="93"/>
      <c r="F59" s="95"/>
      <c r="G59" s="95"/>
      <c r="H59" s="95"/>
      <c r="I59" s="95"/>
      <c r="J59" s="96"/>
      <c r="K59" s="97"/>
      <c r="L59" s="96"/>
      <c r="M59" s="97"/>
      <c r="N59" s="96"/>
      <c r="O59" s="96"/>
      <c r="P59" s="96"/>
      <c r="Q59" s="96"/>
      <c r="R59" s="96"/>
      <c r="S59" s="96"/>
      <c r="T59" s="96"/>
      <c r="U59" s="96"/>
      <c r="V59" s="97"/>
    </row>
    <row r="60" spans="1:22">
      <c r="A60" s="28"/>
      <c r="B60" s="28"/>
      <c r="C60" s="28"/>
      <c r="D60" s="29"/>
      <c r="E60" s="29"/>
      <c r="F60" s="29"/>
      <c r="G60" s="29"/>
      <c r="H60" s="29"/>
      <c r="I60" s="29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</row>
    <row r="61" spans="1:22">
      <c r="A61" s="28"/>
      <c r="B61" s="28"/>
      <c r="C61" s="66" t="s">
        <v>110</v>
      </c>
      <c r="D61" s="31" t="s">
        <v>7</v>
      </c>
      <c r="E61" s="31" t="s">
        <v>8</v>
      </c>
      <c r="F61" s="31" t="s">
        <v>22</v>
      </c>
      <c r="G61" s="31"/>
      <c r="H61" s="31"/>
      <c r="I61" s="31"/>
      <c r="J61" s="155" t="str">
        <f t="shared" ref="J61:S61" si="8">IF(YEAR(J$4)=PPLastYear,J$4,"")</f>
        <v/>
      </c>
      <c r="K61" s="155" t="str">
        <f t="shared" si="8"/>
        <v/>
      </c>
      <c r="L61" s="155" t="str">
        <f t="shared" si="8"/>
        <v/>
      </c>
      <c r="M61" s="155" t="str">
        <f t="shared" si="8"/>
        <v/>
      </c>
      <c r="N61" s="155">
        <f t="shared" si="8"/>
        <v>44713</v>
      </c>
      <c r="O61" s="155" t="str">
        <f t="shared" si="8"/>
        <v/>
      </c>
      <c r="P61" s="155" t="str">
        <f t="shared" si="8"/>
        <v/>
      </c>
      <c r="Q61" s="155" t="str">
        <f t="shared" si="8"/>
        <v/>
      </c>
      <c r="R61" s="155" t="str">
        <f t="shared" si="8"/>
        <v/>
      </c>
      <c r="S61" s="155" t="str">
        <f t="shared" si="8"/>
        <v/>
      </c>
      <c r="T61" s="155"/>
      <c r="U61" s="28"/>
      <c r="V61" s="28"/>
    </row>
    <row r="62" spans="1:22">
      <c r="A62" s="28"/>
      <c r="B62" s="28"/>
      <c r="C62" s="66"/>
      <c r="D62" s="31"/>
      <c r="E62" s="31"/>
      <c r="F62" s="31"/>
      <c r="G62" s="31"/>
      <c r="H62" s="31"/>
      <c r="I62" s="31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28"/>
      <c r="V62" s="28"/>
    </row>
    <row r="63" spans="1:22">
      <c r="A63" s="28"/>
      <c r="B63" s="28"/>
      <c r="C63" s="60" t="s">
        <v>111</v>
      </c>
      <c r="D63" s="29" t="s">
        <v>34</v>
      </c>
      <c r="E63" s="29" t="str">
        <f>units</f>
        <v>$millions</v>
      </c>
      <c r="F63" s="209">
        <f>DATE(PPLastYear,MONTH(month),1)</f>
        <v>44713</v>
      </c>
      <c r="G63" s="31"/>
      <c r="H63" s="31"/>
      <c r="I63" s="31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28" t="s">
        <v>180</v>
      </c>
      <c r="V63" s="28"/>
    </row>
    <row r="64" spans="1:22">
      <c r="A64" s="28"/>
      <c r="B64" s="28"/>
      <c r="C64" s="60" t="s">
        <v>112</v>
      </c>
      <c r="D64" s="29" t="s">
        <v>34</v>
      </c>
      <c r="E64" s="29" t="str">
        <f>units</f>
        <v>$millions</v>
      </c>
      <c r="F64" s="209">
        <f>DATE(PPLastYear,MONTH(month),1)</f>
        <v>44713</v>
      </c>
      <c r="G64" s="31"/>
      <c r="H64" s="31"/>
      <c r="I64" s="31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23"/>
      <c r="V64" s="28"/>
    </row>
    <row r="65" spans="1:22">
      <c r="A65" s="28"/>
      <c r="B65" s="28"/>
      <c r="C65" s="60" t="s">
        <v>113</v>
      </c>
      <c r="D65" s="29" t="s">
        <v>34</v>
      </c>
      <c r="E65" s="29" t="str">
        <f>units</f>
        <v>$millions</v>
      </c>
      <c r="F65" s="209">
        <f>DATE(PPLastYear,MONTH(month),1)</f>
        <v>44713</v>
      </c>
      <c r="G65" s="31"/>
      <c r="H65" s="31"/>
      <c r="I65" s="31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23"/>
      <c r="V65" s="28"/>
    </row>
    <row r="66" spans="1:22">
      <c r="A66" s="28"/>
      <c r="B66" s="28"/>
      <c r="C66" s="60" t="s">
        <v>114</v>
      </c>
      <c r="D66" s="29" t="s">
        <v>34</v>
      </c>
      <c r="E66" s="29" t="str">
        <f>units</f>
        <v>$millions</v>
      </c>
      <c r="F66" s="209">
        <f>DATE(PPLastYear,MONTH(month),1)</f>
        <v>44713</v>
      </c>
      <c r="G66" s="31"/>
      <c r="H66" s="31"/>
      <c r="I66" s="31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23"/>
      <c r="V66" s="28"/>
    </row>
    <row r="67" spans="1:22">
      <c r="A67" s="28"/>
      <c r="B67" s="28"/>
      <c r="C67" s="60" t="s">
        <v>115</v>
      </c>
      <c r="D67" s="29" t="s">
        <v>34</v>
      </c>
      <c r="E67" s="29" t="str">
        <f>units</f>
        <v>$millions</v>
      </c>
      <c r="F67" s="209">
        <f>DATE(PPLastYear,MONTH(month),1)</f>
        <v>44713</v>
      </c>
      <c r="G67" s="31"/>
      <c r="H67" s="31"/>
      <c r="I67" s="31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23"/>
      <c r="V67" s="28"/>
    </row>
    <row r="68" spans="1:22" s="101" customFormat="1">
      <c r="A68" s="188"/>
      <c r="B68" s="160"/>
      <c r="C68" s="213"/>
      <c r="D68" s="104"/>
      <c r="E68" s="104"/>
      <c r="F68" s="211"/>
      <c r="G68" s="190"/>
      <c r="H68" s="190"/>
      <c r="I68" s="190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03"/>
      <c r="V68" s="188"/>
    </row>
    <row r="69" spans="1:22">
      <c r="A69" s="28"/>
      <c r="B69" s="28"/>
      <c r="C69" s="212" t="s">
        <v>173</v>
      </c>
      <c r="D69" s="29" t="s">
        <v>34</v>
      </c>
      <c r="E69" s="29" t="str">
        <f>units</f>
        <v>$millions</v>
      </c>
      <c r="F69" s="209">
        <f>DATE(PPLastYear,MONTH(month),1)</f>
        <v>44713</v>
      </c>
      <c r="G69" s="31"/>
      <c r="H69" s="31"/>
      <c r="I69" s="31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23"/>
      <c r="V69" s="28"/>
    </row>
    <row r="70" spans="1:22" s="101" customFormat="1">
      <c r="A70" s="188"/>
      <c r="B70" s="188"/>
      <c r="C70" s="212"/>
      <c r="D70" s="104"/>
      <c r="E70" s="104"/>
      <c r="F70" s="211"/>
      <c r="G70" s="190"/>
      <c r="H70" s="190"/>
      <c r="I70" s="190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03"/>
      <c r="V70" s="188"/>
    </row>
    <row r="71" spans="1:22">
      <c r="A71" s="28"/>
      <c r="B71" s="28"/>
      <c r="C71" s="212" t="s">
        <v>89</v>
      </c>
      <c r="D71" s="29" t="s">
        <v>34</v>
      </c>
      <c r="E71" s="29" t="s">
        <v>31</v>
      </c>
      <c r="F71" s="31"/>
      <c r="G71" s="31"/>
      <c r="H71" s="31"/>
      <c r="I71" s="31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23"/>
      <c r="V71" s="28"/>
    </row>
    <row r="72" spans="1:22">
      <c r="A72" s="28"/>
      <c r="B72" s="28"/>
      <c r="C72" s="110"/>
      <c r="D72" s="29"/>
      <c r="E72" s="29"/>
      <c r="F72" s="29"/>
      <c r="G72" s="31"/>
      <c r="H72" s="31"/>
      <c r="I72" s="29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 ht="12.75">
      <c r="A73" s="93"/>
      <c r="B73" s="94" t="s">
        <v>21</v>
      </c>
      <c r="C73" s="93"/>
      <c r="D73" s="93"/>
      <c r="E73" s="93"/>
      <c r="F73" s="95"/>
      <c r="G73" s="95"/>
      <c r="H73" s="95"/>
      <c r="I73" s="95"/>
      <c r="J73" s="96"/>
      <c r="K73" s="97"/>
      <c r="L73" s="96"/>
      <c r="M73" s="97"/>
      <c r="N73" s="96"/>
      <c r="O73" s="96"/>
      <c r="P73" s="96"/>
      <c r="Q73" s="96"/>
      <c r="R73" s="96"/>
      <c r="S73" s="96"/>
      <c r="T73" s="96"/>
      <c r="U73" s="96"/>
      <c r="V73" s="97"/>
    </row>
  </sheetData>
  <conditionalFormatting sqref="V37 V51:V55 V41:V45">
    <cfRule type="cellIs" dxfId="186" priority="62" operator="equal">
      <formula>"Check"</formula>
    </cfRule>
    <cfRule type="cellIs" dxfId="185" priority="63" operator="equal">
      <formula>"Ok"</formula>
    </cfRule>
  </conditionalFormatting>
  <conditionalFormatting sqref="V57">
    <cfRule type="cellIs" dxfId="184" priority="60" operator="equal">
      <formula>"Check"</formula>
    </cfRule>
    <cfRule type="cellIs" dxfId="183" priority="61" operator="equal">
      <formula>"Ok"</formula>
    </cfRule>
  </conditionalFormatting>
  <conditionalFormatting sqref="V15">
    <cfRule type="cellIs" dxfId="182" priority="58" operator="equal">
      <formula>"Check"</formula>
    </cfRule>
    <cfRule type="cellIs" dxfId="181" priority="59" operator="equal">
      <formula>"Ok"</formula>
    </cfRule>
  </conditionalFormatting>
  <conditionalFormatting sqref="V1">
    <cfRule type="cellIs" dxfId="180" priority="56" operator="equal">
      <formula>"Check"</formula>
    </cfRule>
    <cfRule type="cellIs" dxfId="179" priority="57" operator="equal">
      <formula>"Ok"</formula>
    </cfRule>
  </conditionalFormatting>
  <conditionalFormatting sqref="S1">
    <cfRule type="cellIs" dxfId="178" priority="54" operator="equal">
      <formula>"Check"</formula>
    </cfRule>
    <cfRule type="cellIs" dxfId="177" priority="55" operator="equal">
      <formula>"Ok"</formula>
    </cfRule>
  </conditionalFormatting>
  <conditionalFormatting sqref="J15:N15">
    <cfRule type="cellIs" dxfId="176" priority="53" operator="equal">
      <formula>0</formula>
    </cfRule>
  </conditionalFormatting>
  <conditionalFormatting sqref="J57:N57">
    <cfRule type="cellIs" dxfId="175" priority="52" operator="equal">
      <formula>0</formula>
    </cfRule>
  </conditionalFormatting>
  <conditionalFormatting sqref="V48:V50">
    <cfRule type="cellIs" dxfId="174" priority="50" operator="equal">
      <formula>"Check"</formula>
    </cfRule>
    <cfRule type="cellIs" dxfId="173" priority="51" operator="equal">
      <formula>"Ok"</formula>
    </cfRule>
  </conditionalFormatting>
  <conditionalFormatting sqref="J33:N33 N37 J54:J55 J52:M52 J41:N45 J51:N51">
    <cfRule type="expression" dxfId="172" priority="48">
      <formula>J$34=J$4</formula>
    </cfRule>
  </conditionalFormatting>
  <conditionalFormatting sqref="J20:N27 J13:O13">
    <cfRule type="expression" dxfId="171" priority="47">
      <formula>J$10=J$4</formula>
    </cfRule>
  </conditionalFormatting>
  <conditionalFormatting sqref="J37:N37">
    <cfRule type="expression" dxfId="170" priority="44">
      <formula>J$10=J$4</formula>
    </cfRule>
  </conditionalFormatting>
  <conditionalFormatting sqref="V47">
    <cfRule type="cellIs" dxfId="169" priority="42" operator="equal">
      <formula>"Check"</formula>
    </cfRule>
    <cfRule type="cellIs" dxfId="168" priority="43" operator="equal">
      <formula>"Ok"</formula>
    </cfRule>
  </conditionalFormatting>
  <conditionalFormatting sqref="J47:N47">
    <cfRule type="cellIs" dxfId="167" priority="40" operator="equal">
      <formula>0</formula>
    </cfRule>
  </conditionalFormatting>
  <conditionalFormatting sqref="J63:N67 J69:T69 J71:T71">
    <cfRule type="expression" dxfId="166" priority="39">
      <formula>J$61=J$4</formula>
    </cfRule>
  </conditionalFormatting>
  <conditionalFormatting sqref="V29">
    <cfRule type="cellIs" dxfId="165" priority="35" operator="equal">
      <formula>"Check"</formula>
    </cfRule>
    <cfRule type="cellIs" dxfId="164" priority="36" operator="equal">
      <formula>"Ok"</formula>
    </cfRule>
  </conditionalFormatting>
  <conditionalFormatting sqref="J29:N29">
    <cfRule type="cellIs" dxfId="163" priority="34" operator="equal">
      <formula>0</formula>
    </cfRule>
  </conditionalFormatting>
  <conditionalFormatting sqref="T1">
    <cfRule type="cellIs" dxfId="162" priority="27" operator="equal">
      <formula>"Check"</formula>
    </cfRule>
    <cfRule type="cellIs" dxfId="161" priority="28" operator="equal">
      <formula>"Ok"</formula>
    </cfRule>
  </conditionalFormatting>
  <conditionalFormatting sqref="O57:T57">
    <cfRule type="cellIs" dxfId="160" priority="9" operator="equal">
      <formula>0</formula>
    </cfRule>
  </conditionalFormatting>
  <conditionalFormatting sqref="O37:T37">
    <cfRule type="expression" dxfId="159" priority="6">
      <formula>O$10=O$4</formula>
    </cfRule>
  </conditionalFormatting>
  <conditionalFormatting sqref="O47:T47">
    <cfRule type="cellIs" dxfId="158" priority="5" operator="equal">
      <formula>0</formula>
    </cfRule>
  </conditionalFormatting>
  <conditionalFormatting sqref="O63:T67">
    <cfRule type="expression" dxfId="157" priority="4">
      <formula>O$61=O$4</formula>
    </cfRule>
  </conditionalFormatting>
  <conditionalFormatting sqref="O29:T29">
    <cfRule type="cellIs" dxfId="156" priority="3" operator="equal">
      <formula>0</formula>
    </cfRule>
  </conditionalFormatting>
  <conditionalFormatting sqref="O15:T15">
    <cfRule type="cellIs" dxfId="155" priority="10" operator="equal">
      <formula>0</formula>
    </cfRule>
  </conditionalFormatting>
  <conditionalFormatting sqref="O41:T45 O33:T33 O37:T37 O51:T51 O54:T55 P52:T53">
    <cfRule type="expression" dxfId="154" priority="8">
      <formula>O$34=O$4</formula>
    </cfRule>
  </conditionalFormatting>
  <conditionalFormatting sqref="P13:T13 O20:T27 P19:T19">
    <cfRule type="expression" dxfId="153" priority="7">
      <formula>O$10=O$4</formula>
    </cfRule>
  </conditionalFormatting>
  <conditionalFormatting sqref="J19:O19">
    <cfRule type="expression" dxfId="152" priority="2">
      <formula>J$10=J$4</formula>
    </cfRule>
  </conditionalFormatting>
  <conditionalFormatting sqref="J53 O52:O53 K53:N55 N52">
    <cfRule type="expression" dxfId="151" priority="1">
      <formula>J$34=J$4</formula>
    </cfRule>
  </conditionalFormatting>
  <dataValidations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J1" location="Index!A1" display="Back to Index" xr:uid="{00000000-0004-0000-0400-000000000000}"/>
    <hyperlink ref="U1" location="'Check|List'!A1" display="Overall Check:" xr:uid="{00000000-0004-0000-04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Y110"/>
  <sheetViews>
    <sheetView showGridLines="0" zoomScale="95" zoomScaleNormal="95" workbookViewId="0">
      <selection activeCell="O12" sqref="O12"/>
    </sheetView>
  </sheetViews>
  <sheetFormatPr defaultColWidth="0" defaultRowHeight="11.25" zeroHeight="1" outlineLevelRow="1"/>
  <cols>
    <col min="1" max="2" width="1.5" style="28" customWidth="1"/>
    <col min="3" max="3" width="57.5" style="28" bestFit="1" customWidth="1"/>
    <col min="4" max="4" width="27.6640625" style="29" customWidth="1"/>
    <col min="5" max="5" width="15.83203125" style="29" customWidth="1"/>
    <col min="6" max="6" width="10.6640625" style="29" customWidth="1"/>
    <col min="7" max="9" width="3.33203125" style="29" customWidth="1"/>
    <col min="10" max="10" width="10.83203125" style="29" customWidth="1"/>
    <col min="11" max="24" width="10.83203125" style="28" customWidth="1"/>
    <col min="25" max="16384" width="10.5" style="28" hidden="1"/>
  </cols>
  <sheetData>
    <row r="1" spans="1:51" s="68" customFormat="1" ht="15.75">
      <c r="B1" s="69" t="str">
        <f>Index!$B$1</f>
        <v>AER opex model v2.0</v>
      </c>
      <c r="C1" s="69"/>
      <c r="D1" s="69"/>
      <c r="E1" s="69"/>
      <c r="F1" s="70"/>
      <c r="G1" s="70"/>
      <c r="H1" s="70"/>
      <c r="I1" s="70"/>
      <c r="J1" s="70"/>
      <c r="K1" s="36" t="s">
        <v>2</v>
      </c>
      <c r="M1" s="71" t="s">
        <v>3</v>
      </c>
      <c r="N1" s="72" t="s">
        <v>4</v>
      </c>
      <c r="O1" s="73" t="s">
        <v>5</v>
      </c>
      <c r="P1" s="74" t="s">
        <v>6</v>
      </c>
      <c r="S1" s="71" t="s">
        <v>82</v>
      </c>
      <c r="T1" s="75" t="str">
        <f>IF(COUNTIF(X5:X109,"Check")=0,"Ok","Check")</f>
        <v>Ok</v>
      </c>
      <c r="U1" s="75"/>
      <c r="W1" s="180" t="s">
        <v>24</v>
      </c>
      <c r="X1" s="75" t="str">
        <f>'Check|List'!$S$1</f>
        <v>Ok</v>
      </c>
    </row>
    <row r="2" spans="1:51" s="76" customFormat="1" ht="13.5" thickBot="1">
      <c r="B2" s="77" t="str">
        <f>Index!$C$10</f>
        <v>Input | Rate of change</v>
      </c>
      <c r="C2" s="77"/>
      <c r="D2" s="77"/>
      <c r="E2" s="77"/>
      <c r="F2" s="78"/>
      <c r="G2" s="78"/>
      <c r="H2" s="78"/>
      <c r="I2" s="78"/>
      <c r="J2" s="78"/>
    </row>
    <row r="3" spans="1:51" s="79" customFormat="1">
      <c r="C3" s="80"/>
      <c r="D3" s="176"/>
      <c r="E3" s="176"/>
      <c r="F3" s="176"/>
      <c r="G3" s="176"/>
      <c r="H3" s="176"/>
      <c r="I3" s="176"/>
      <c r="J3" s="154" t="s">
        <v>119</v>
      </c>
      <c r="K3" s="221"/>
      <c r="L3" s="221"/>
      <c r="M3" s="221"/>
      <c r="N3" s="176"/>
      <c r="O3" s="221"/>
      <c r="P3" s="221"/>
      <c r="Q3" s="221"/>
      <c r="R3" s="221"/>
      <c r="S3" s="221"/>
      <c r="T3" s="221"/>
      <c r="U3" s="201"/>
      <c r="V3" s="81"/>
      <c r="W3" s="81"/>
      <c r="X3" s="81"/>
      <c r="Y3" s="81"/>
      <c r="Z3" s="81"/>
      <c r="AA3" s="81"/>
      <c r="AB3" s="81"/>
      <c r="AC3" s="81"/>
      <c r="AD3" s="81"/>
    </row>
    <row r="4" spans="1:51" s="92" customFormat="1" ht="10.5">
      <c r="A4" s="82"/>
      <c r="B4" s="82"/>
      <c r="C4" s="82"/>
      <c r="D4" s="83" t="s">
        <v>7</v>
      </c>
      <c r="E4" s="83" t="s">
        <v>8</v>
      </c>
      <c r="F4" s="84" t="s">
        <v>22</v>
      </c>
      <c r="G4" s="85"/>
      <c r="H4" s="85"/>
      <c r="I4" s="85"/>
      <c r="J4" s="152">
        <f>DATE(PPFirstYear-1,MONTH('Input|General'!$G$9),1)</f>
        <v>42887</v>
      </c>
      <c r="K4" s="152">
        <f>DATE(PPFirstYear,MONTH('Input|General'!$G$9),1)</f>
        <v>43252</v>
      </c>
      <c r="L4" s="152">
        <f>DATE(PPFirstYear+1,MONTH('Input|General'!$G$9),1)</f>
        <v>43617</v>
      </c>
      <c r="M4" s="152">
        <f>DATE(PPFirstYear+2,MONTH('Input|General'!$G$9),1)</f>
        <v>43983</v>
      </c>
      <c r="N4" s="152">
        <f>DATE(PPFirstYear+3,MONTH('Input|General'!$G$9),1)</f>
        <v>44348</v>
      </c>
      <c r="O4" s="152">
        <f>DATE(PPFirstYear+4,MONTH('Input|General'!$G$9),1)</f>
        <v>44713</v>
      </c>
      <c r="P4" s="152">
        <f>DATE(PPFirstYear+5,MONTH('Input|General'!$G$9),1)</f>
        <v>45078</v>
      </c>
      <c r="Q4" s="152">
        <f>DATE(PPFirstYear+6,MONTH('Input|General'!$G$9),1)</f>
        <v>45444</v>
      </c>
      <c r="R4" s="152">
        <f>DATE(PPFirstYear+7,MONTH('Input|General'!$G$9),1)</f>
        <v>45809</v>
      </c>
      <c r="S4" s="152">
        <f>DATE(PPFirstYear+8,MONTH('Input|General'!$G$9),1)</f>
        <v>46174</v>
      </c>
      <c r="T4" s="152">
        <f>DATE(PPFirstYear+9,MONTH('Input|General'!$G$9),1)</f>
        <v>46539</v>
      </c>
      <c r="U4" s="152">
        <f>DATE(PPFirstYear+10,MONTH('Input|General'!$G$9),1)</f>
        <v>46905</v>
      </c>
      <c r="V4" s="86"/>
      <c r="W4" s="86"/>
      <c r="X4" s="87"/>
      <c r="Y4" s="88"/>
      <c r="Z4" s="88"/>
      <c r="AA4" s="88"/>
      <c r="AB4" s="88"/>
      <c r="AC4" s="88"/>
      <c r="AD4" s="88"/>
      <c r="AE4" s="88"/>
      <c r="AF4" s="89"/>
      <c r="AG4" s="90"/>
      <c r="AH4" s="90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</row>
    <row r="5" spans="1:51" s="26" customFormat="1" ht="3" customHeight="1">
      <c r="D5" s="27"/>
      <c r="E5" s="27"/>
      <c r="F5" s="27"/>
      <c r="G5" s="27"/>
      <c r="H5" s="27"/>
      <c r="I5" s="27"/>
      <c r="J5" s="27"/>
    </row>
    <row r="6" spans="1:51" s="26" customFormat="1" ht="9" customHeight="1">
      <c r="D6" s="27"/>
      <c r="E6" s="27"/>
      <c r="F6" s="27"/>
      <c r="G6" s="27"/>
      <c r="H6" s="27"/>
      <c r="I6" s="27"/>
      <c r="J6" s="27"/>
    </row>
    <row r="7" spans="1:51" s="26" customFormat="1" ht="3" customHeight="1">
      <c r="D7" s="27"/>
      <c r="E7" s="27"/>
      <c r="F7" s="27"/>
      <c r="G7" s="27"/>
      <c r="H7" s="27"/>
      <c r="I7" s="27"/>
      <c r="J7" s="27"/>
    </row>
    <row r="8" spans="1:51" s="102" customFormat="1" ht="12.75">
      <c r="A8" s="93"/>
      <c r="B8" s="94" t="s">
        <v>35</v>
      </c>
      <c r="C8" s="93"/>
      <c r="D8" s="93"/>
      <c r="E8" s="93"/>
      <c r="F8" s="95"/>
      <c r="G8" s="95"/>
      <c r="H8" s="95"/>
      <c r="I8" s="95"/>
      <c r="J8" s="95"/>
      <c r="K8" s="96"/>
      <c r="L8" s="97"/>
      <c r="M8" s="96"/>
      <c r="N8" s="97"/>
      <c r="O8" s="96"/>
      <c r="P8" s="96"/>
      <c r="Q8" s="96"/>
      <c r="R8" s="96"/>
      <c r="S8" s="96"/>
      <c r="T8" s="96"/>
      <c r="U8" s="96"/>
      <c r="V8" s="96"/>
      <c r="W8" s="96"/>
      <c r="X8" s="97"/>
      <c r="Y8" s="98"/>
      <c r="Z8" s="98"/>
      <c r="AA8" s="98"/>
      <c r="AB8" s="98"/>
      <c r="AC8" s="98"/>
      <c r="AD8" s="98"/>
      <c r="AE8" s="98"/>
      <c r="AF8" s="99"/>
      <c r="AG8" s="100"/>
      <c r="AH8" s="100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</row>
    <row r="9" spans="1:51" ht="11.25" customHeight="1" outlineLevel="1"/>
    <row r="10" spans="1:51" ht="11.25" customHeight="1" outlineLevel="1">
      <c r="C10" s="66" t="s">
        <v>33</v>
      </c>
      <c r="J10" s="155">
        <f t="shared" ref="J10:T10" si="0">IF(YEAR(J$4)&lt;=PPLastYear,J$4,"")</f>
        <v>42887</v>
      </c>
      <c r="K10" s="155">
        <f t="shared" si="0"/>
        <v>43252</v>
      </c>
      <c r="L10" s="155">
        <f t="shared" si="0"/>
        <v>43617</v>
      </c>
      <c r="M10" s="155">
        <f t="shared" si="0"/>
        <v>43983</v>
      </c>
      <c r="N10" s="155">
        <f t="shared" si="0"/>
        <v>44348</v>
      </c>
      <c r="O10" s="155">
        <f t="shared" si="0"/>
        <v>44713</v>
      </c>
      <c r="P10" s="155" t="str">
        <f t="shared" si="0"/>
        <v/>
      </c>
      <c r="Q10" s="155" t="str">
        <f t="shared" si="0"/>
        <v/>
      </c>
      <c r="R10" s="155" t="str">
        <f t="shared" si="0"/>
        <v/>
      </c>
      <c r="S10" s="155" t="str">
        <f t="shared" si="0"/>
        <v/>
      </c>
      <c r="T10" s="155" t="str">
        <f t="shared" si="0"/>
        <v/>
      </c>
      <c r="U10" s="158"/>
    </row>
    <row r="11" spans="1:51" ht="11.25" customHeight="1" outlineLevel="1">
      <c r="C11" s="66"/>
      <c r="J11" s="28"/>
      <c r="P11" s="141"/>
      <c r="Q11" s="141"/>
      <c r="R11" s="141"/>
      <c r="S11" s="141"/>
      <c r="T11" s="141"/>
      <c r="U11" s="141"/>
      <c r="V11" s="119"/>
      <c r="W11" s="119"/>
      <c r="X11" s="119"/>
    </row>
    <row r="12" spans="1:51" ht="11.25" customHeight="1" outlineLevel="1">
      <c r="C12" s="110" t="s">
        <v>33</v>
      </c>
      <c r="D12" s="142" t="s">
        <v>98</v>
      </c>
      <c r="E12" s="29" t="str">
        <f>percent</f>
        <v>Per cent</v>
      </c>
      <c r="J12" s="141">
        <f>IF(J10=J4,LOOKUP(EOMONTH(J4,0),'Input|Inflation'!$C$9:$C$84,'Input|Inflation'!$G$9:$G$84),"")</f>
        <v>1.9337016574585641E-2</v>
      </c>
      <c r="K12" s="141">
        <f>IF(K10=K4,LOOKUP(EOMONTH(K4,0),'Input|Inflation'!$C$9:$C$84,'Input|Inflation'!$G$9:$G$84),"")</f>
        <v>2.0776874435411097E-2</v>
      </c>
      <c r="L12" s="141">
        <f>IF(L10=L4,LOOKUP(EOMONTH(L4,0),'Input|Inflation'!$C$9:$C$84,'Input|Inflation'!$G$9:$G$84),"")</f>
        <v>1.5929203539823078E-2</v>
      </c>
      <c r="M12" s="141">
        <f>IF(M10=M4,LOOKUP(EOMONTH(M4,0),'Input|Inflation'!$C$9:$C$84,'Input|Inflation'!$G$9:$G$84),"")</f>
        <v>-3.4843205574912606E-3</v>
      </c>
      <c r="N12" s="141">
        <f>IF(N10=N4,LOOKUP(EOMONTH(N4,0),'Input|Inflation'!$C$9:$C$84,'Input|Inflation'!$G$9:$G$84),"")</f>
        <v>3.8461538461538325E-2</v>
      </c>
      <c r="O12" s="141">
        <f>IF(O10=O4,LOOKUP(EOMONTH(O4,0),'Input|Inflation'!$C$9:$C$84,'Input|Inflation'!$G$9:$G$84),"")</f>
        <v>3.7500000000000089E-2</v>
      </c>
      <c r="P12" s="141" t="str">
        <f>IF(P10=P4,LOOKUP(EOMONTH(P4,0),'Input|Inflation'!$C$9:$C$84,'Input|Inflation'!$G$9:$G$84),"")</f>
        <v/>
      </c>
      <c r="Q12" s="141" t="str">
        <f>IF(Q10=Q4,LOOKUP(EOMONTH(Q4,0),'Input|Inflation'!$C$9:$C$84,'Input|Inflation'!$G$9:$G$84),"")</f>
        <v/>
      </c>
      <c r="R12" s="141" t="str">
        <f>IF(R10=R4,LOOKUP(EOMONTH(R4,0),'Input|Inflation'!$C$9:$C$84,'Input|Inflation'!$G$9:$G$84),"")</f>
        <v/>
      </c>
      <c r="S12" s="141" t="str">
        <f>IF(S10=S4,LOOKUP(EOMONTH(S4,0),'Input|Inflation'!$C$9:$C$84,'Input|Inflation'!$G$9:$G$84),"")</f>
        <v/>
      </c>
      <c r="T12" s="141" t="str">
        <f>IF(T10=T4,LOOKUP(EOMONTH(T4,0),'Input|Inflation'!$C$9:$C$84,'Input|Inflation'!$G$9:$G$84),"")</f>
        <v/>
      </c>
      <c r="U12" s="141"/>
      <c r="V12" s="143"/>
    </row>
    <row r="13" spans="1:51" ht="11.25" customHeight="1" outlineLevel="1">
      <c r="D13" s="28"/>
      <c r="E13" s="28"/>
      <c r="F13" s="28"/>
      <c r="G13" s="28"/>
      <c r="H13" s="28"/>
      <c r="I13" s="28"/>
      <c r="J13" s="28"/>
    </row>
    <row r="14" spans="1:51" ht="11.25" customHeight="1" outlineLevel="1">
      <c r="C14" s="66" t="s">
        <v>99</v>
      </c>
      <c r="I14" s="28"/>
      <c r="J14" s="155">
        <f t="shared" ref="J14:T14" si="1">IF(YEAR(J$4)&lt;=PPLastYear,J$4,"")</f>
        <v>42887</v>
      </c>
      <c r="K14" s="155">
        <f t="shared" si="1"/>
        <v>43252</v>
      </c>
      <c r="L14" s="155">
        <f t="shared" si="1"/>
        <v>43617</v>
      </c>
      <c r="M14" s="155">
        <f t="shared" si="1"/>
        <v>43983</v>
      </c>
      <c r="N14" s="155">
        <f t="shared" si="1"/>
        <v>44348</v>
      </c>
      <c r="O14" s="155">
        <f t="shared" si="1"/>
        <v>44713</v>
      </c>
      <c r="P14" s="155" t="str">
        <f t="shared" si="1"/>
        <v/>
      </c>
      <c r="Q14" s="155" t="str">
        <f t="shared" si="1"/>
        <v/>
      </c>
      <c r="R14" s="155" t="str">
        <f t="shared" si="1"/>
        <v/>
      </c>
      <c r="S14" s="155" t="str">
        <f t="shared" si="1"/>
        <v/>
      </c>
      <c r="T14" s="155" t="str">
        <f t="shared" si="1"/>
        <v/>
      </c>
      <c r="U14" s="158"/>
    </row>
    <row r="15" spans="1:51" ht="11.25" customHeight="1" outlineLevel="1">
      <c r="C15" s="66"/>
      <c r="I15" s="28"/>
      <c r="J15" s="119"/>
      <c r="K15" s="119"/>
      <c r="L15" s="119"/>
      <c r="M15" s="119"/>
      <c r="N15" s="119"/>
      <c r="O15" s="119"/>
      <c r="P15" s="25"/>
      <c r="Q15" s="25"/>
      <c r="R15" s="25"/>
      <c r="S15" s="25"/>
      <c r="T15" s="25"/>
      <c r="U15" s="25"/>
    </row>
    <row r="16" spans="1:51" ht="11.25" customHeight="1" outlineLevel="1">
      <c r="C16" s="161">
        <f t="array" ref="C16:C22">TRANSPOSE(J10:P10)</f>
        <v>42887</v>
      </c>
      <c r="D16" s="142" t="str">
        <f t="shared" ref="D16:D20" si="2">IF(ISNONTEXT($C16),"calculated","")</f>
        <v>calculated</v>
      </c>
      <c r="E16" s="29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1.0207768744354111</v>
      </c>
      <c r="L16" s="22">
        <f t="shared" si="3"/>
        <v>1.0370370370370372</v>
      </c>
      <c r="M16" s="22">
        <f t="shared" si="3"/>
        <v>1.0334236675700093</v>
      </c>
      <c r="N16" s="22">
        <f t="shared" si="3"/>
        <v>1.0731707317073171</v>
      </c>
      <c r="O16" s="22">
        <f t="shared" ref="O16:P16" si="4">IF(AND($C16&gt;O$14,ISNONTEXT($C16)),P16/(1+O$12),IF(AND($C16=O$14,O$14=O$4),1,IF(AND($C16&lt;O$14,O$14=O$4),N16*(1+O$12),0)))</f>
        <v>1.1134146341463416</v>
      </c>
      <c r="P16" s="22">
        <f t="shared" si="4"/>
        <v>0</v>
      </c>
      <c r="Q16" s="197"/>
      <c r="R16" s="197"/>
      <c r="S16" s="197"/>
      <c r="T16" s="197"/>
      <c r="U16" s="197"/>
    </row>
    <row r="17" spans="3:23" ht="11.25" customHeight="1" outlineLevel="1">
      <c r="C17" s="161">
        <v>43252</v>
      </c>
      <c r="D17" s="142" t="str">
        <f t="shared" si="2"/>
        <v>calculated</v>
      </c>
      <c r="E17" s="29" t="str">
        <f t="shared" ref="E17:E22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0.97964601769911497</v>
      </c>
      <c r="K17" s="22">
        <f t="shared" si="6"/>
        <v>1</v>
      </c>
      <c r="L17" s="22">
        <f t="shared" si="6"/>
        <v>1.0159292035398231</v>
      </c>
      <c r="M17" s="22">
        <f t="shared" si="6"/>
        <v>1.0123893805309736</v>
      </c>
      <c r="N17" s="22">
        <f t="shared" si="6"/>
        <v>1.0513274336283187</v>
      </c>
      <c r="O17" s="22">
        <f t="shared" ref="O17:P17" si="7">IF(AND($C17&gt;O$14,ISNONTEXT($C17)),P17/(1+O$12),IF(AND($C17=O$14,O$14=O$4),1,IF(AND($C17&lt;O$14,O$14=O$4),N17*(1+O$12),0)))</f>
        <v>1.0907522123893807</v>
      </c>
      <c r="P17" s="22">
        <f t="shared" si="7"/>
        <v>0</v>
      </c>
      <c r="Q17" s="197"/>
      <c r="R17" s="197"/>
      <c r="S17" s="197"/>
      <c r="T17" s="197"/>
      <c r="U17" s="197"/>
    </row>
    <row r="18" spans="3:23" ht="11.25" customHeight="1" outlineLevel="1">
      <c r="C18" s="161">
        <v>43617</v>
      </c>
      <c r="D18" s="142" t="str">
        <f t="shared" si="2"/>
        <v>calculated</v>
      </c>
      <c r="E18" s="29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0.96428571428571408</v>
      </c>
      <c r="K18" s="22">
        <f t="shared" si="8"/>
        <v>0.98432055749128911</v>
      </c>
      <c r="L18" s="22">
        <f t="shared" si="8"/>
        <v>1</v>
      </c>
      <c r="M18" s="22">
        <f t="shared" si="8"/>
        <v>0.99651567944250874</v>
      </c>
      <c r="N18" s="22">
        <f t="shared" si="8"/>
        <v>1.0348432055749128</v>
      </c>
      <c r="O18" s="22">
        <f t="shared" ref="O18:P18" si="9">IF(AND($C18&gt;O$14,ISNONTEXT($C18)),P18/(1+O$12),IF(AND($C18=O$14,O$14=O$4),1,IF(AND($C18&lt;O$14,O$14=O$4),N18*(1+O$12),0)))</f>
        <v>1.0736498257839722</v>
      </c>
      <c r="P18" s="22">
        <f t="shared" si="9"/>
        <v>0</v>
      </c>
      <c r="Q18" s="197"/>
      <c r="R18" s="197"/>
      <c r="S18" s="197"/>
      <c r="T18" s="197"/>
      <c r="U18" s="197"/>
    </row>
    <row r="19" spans="3:23" ht="11.25" customHeight="1" outlineLevel="1">
      <c r="C19" s="161">
        <v>43983</v>
      </c>
      <c r="D19" s="142" t="str">
        <f t="shared" si="2"/>
        <v>calculated</v>
      </c>
      <c r="E19" s="29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0.96765734265734249</v>
      </c>
      <c r="K19" s="22">
        <f t="shared" si="10"/>
        <v>0.9877622377622377</v>
      </c>
      <c r="L19" s="22">
        <f t="shared" si="10"/>
        <v>1.0034965034965035</v>
      </c>
      <c r="M19" s="22">
        <f t="shared" si="10"/>
        <v>1</v>
      </c>
      <c r="N19" s="22">
        <f t="shared" si="10"/>
        <v>1.0384615384615383</v>
      </c>
      <c r="O19" s="22">
        <f t="shared" ref="O19:P19" si="11">IF(AND($C19&gt;O$14,ISNONTEXT($C19)),P19/(1+O$12),IF(AND($C19=O$14,O$14=O$4),1,IF(AND($C19&lt;O$14,O$14=O$4),N19*(1+O$12),0)))</f>
        <v>1.0774038461538462</v>
      </c>
      <c r="P19" s="22">
        <f t="shared" si="11"/>
        <v>0</v>
      </c>
      <c r="Q19" s="197"/>
      <c r="R19" s="197"/>
      <c r="S19" s="197"/>
      <c r="T19" s="197"/>
      <c r="U19" s="197"/>
    </row>
    <row r="20" spans="3:23" ht="11.25" customHeight="1" outlineLevel="1">
      <c r="C20" s="161">
        <v>44348</v>
      </c>
      <c r="D20" s="142" t="str">
        <f t="shared" si="2"/>
        <v>calculated</v>
      </c>
      <c r="E20" s="29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0.93181818181818177</v>
      </c>
      <c r="K20" s="22">
        <f t="shared" ref="K20:N20" si="12">IF(AND($C20&gt;K$14,ISNONTEXT($C20)),L20/(1+L$12),IF(AND($C20=K$14,K$14=K$4),1,IF(AND($C20&lt;K$14,K$14=K$4),J20*(1+K$12),0)))</f>
        <v>0.95117845117845123</v>
      </c>
      <c r="L20" s="22">
        <f t="shared" si="12"/>
        <v>0.96632996632996648</v>
      </c>
      <c r="M20" s="22">
        <f t="shared" si="12"/>
        <v>0.96296296296296313</v>
      </c>
      <c r="N20" s="22">
        <f t="shared" si="12"/>
        <v>1</v>
      </c>
      <c r="O20" s="22">
        <f t="shared" ref="O20:P20" si="13">IF(AND($C20&gt;O$14,ISNONTEXT($C20)),P20/(1+O$12),IF(AND($C20=O$14,O$14=O$4),1,IF(AND($C20&lt;O$14,O$14=O$4),N20*(1+O$12),0)))</f>
        <v>1.0375000000000001</v>
      </c>
      <c r="P20" s="22">
        <f t="shared" si="13"/>
        <v>0</v>
      </c>
      <c r="Q20" s="197"/>
      <c r="R20" s="197"/>
      <c r="S20" s="197"/>
      <c r="T20" s="197"/>
      <c r="U20" s="197"/>
    </row>
    <row r="21" spans="3:23" ht="11.25" customHeight="1" outlineLevel="1">
      <c r="C21" s="161">
        <v>44713</v>
      </c>
      <c r="D21" s="142" t="str">
        <f>IF(ISNONTEXT($C21),"calculated","")</f>
        <v>calculated</v>
      </c>
      <c r="E21" s="29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0.89813800657174137</v>
      </c>
      <c r="K21" s="22">
        <f t="shared" ref="K21:K22" si="14">IF(AND($C21&gt;K$14,ISNONTEXT($C21)),L21/(1+L$12),IF(AND($C21=K$14,K$14=K$4),1,IF(AND($C21&lt;K$14,K$14=K$4),J21*(1+K$12),0)))</f>
        <v>0.91679850715995281</v>
      </c>
      <c r="L21" s="22">
        <f t="shared" ref="L21:L22" si="15">IF(AND($C21&gt;L$14,ISNONTEXT($C21)),M21/(1+M$12),IF(AND($C21=L$14,L$14=L$4),1,IF(AND($C21&lt;L$14,L$14=L$4),K21*(1+L$12),0)))</f>
        <v>0.93140237718550967</v>
      </c>
      <c r="M21" s="22">
        <f t="shared" ref="M21:M22" si="16">IF(AND($C21&gt;M$14,ISNONTEXT($C21)),N21/(1+N$12),IF(AND($C21=M$14,M$14=M$4),1,IF(AND($C21&lt;M$14,M$14=M$4),L21*(1+M$12),0)))</f>
        <v>0.92815707273538595</v>
      </c>
      <c r="N21" s="22">
        <f t="shared" ref="N21:N22" si="17">IF(AND($C21&gt;N$14,ISNONTEXT($C21)),O21/(1+O$12),IF(AND($C21=N$14,N$14=N$4),1,IF(AND($C21&lt;N$14,N$14=N$4),M21*(1+N$12),0)))</f>
        <v>0.96385542168674687</v>
      </c>
      <c r="O21" s="22">
        <f t="shared" ref="O21:P21" si="18">IF(AND($C21&gt;O$14,ISNONTEXT($C21)),P21/(1+O$12),IF(AND($C21=O$14,O$14=O$4),1,IF(AND($C21&lt;O$14,O$14=O$4),N21*(1+O$12),0)))</f>
        <v>1</v>
      </c>
      <c r="P21" s="22">
        <f t="shared" si="18"/>
        <v>0</v>
      </c>
      <c r="Q21" s="197"/>
      <c r="R21" s="197"/>
      <c r="S21" s="197"/>
      <c r="T21" s="197"/>
      <c r="U21" s="197"/>
    </row>
    <row r="22" spans="3:23" ht="11.25" customHeight="1" outlineLevel="1">
      <c r="C22" s="161" t="str">
        <v/>
      </c>
      <c r="D22" s="142" t="str">
        <f>IF(ISNONTEXT($C22),"calculated","")</f>
        <v/>
      </c>
      <c r="E22" s="29" t="str">
        <f t="shared" si="5"/>
        <v/>
      </c>
      <c r="I22" s="22"/>
      <c r="J22" s="22">
        <f>IF(AND($C22&gt;J$14,ISNONTEXT($C22)),K22/(1+K$12),IF(AND($C22=J$14,J$14=J$4),1,IF(AND($C22&lt;J$14,J$14=J$4),I22*(1+J$12),0)))</f>
        <v>0</v>
      </c>
      <c r="K22" s="22">
        <f t="shared" si="14"/>
        <v>0</v>
      </c>
      <c r="L22" s="22">
        <f t="shared" si="15"/>
        <v>0</v>
      </c>
      <c r="M22" s="22">
        <f t="shared" si="16"/>
        <v>0</v>
      </c>
      <c r="N22" s="22">
        <f t="shared" si="17"/>
        <v>0</v>
      </c>
      <c r="O22" s="22">
        <f t="shared" ref="O22:P22" si="19">IF(AND($C22&gt;O$14,ISNONTEXT($C22)),P22/(1+P$12),IF(AND($C22=O$14,O$14=O$4),1,IF(AND($C22&lt;O$14,O$14=O$4),N22*(1+O$12),0)))</f>
        <v>0</v>
      </c>
      <c r="P22" s="22">
        <f t="shared" si="19"/>
        <v>0</v>
      </c>
      <c r="Q22" s="197"/>
      <c r="R22" s="197"/>
      <c r="S22" s="197"/>
      <c r="T22" s="197"/>
      <c r="U22" s="197"/>
    </row>
    <row r="23" spans="3:23" ht="11.25" customHeight="1" outlineLevel="1">
      <c r="C23" s="110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3" ht="11.25" customHeight="1" outlineLevel="1">
      <c r="C24" s="66" t="s">
        <v>47</v>
      </c>
      <c r="J24" s="155">
        <f t="shared" ref="J24:T24" si="20">IF(YEAR(J$4)&lt;=PPLastYear,J$4,"")</f>
        <v>42887</v>
      </c>
      <c r="K24" s="155">
        <f t="shared" si="20"/>
        <v>43252</v>
      </c>
      <c r="L24" s="155">
        <f t="shared" si="20"/>
        <v>43617</v>
      </c>
      <c r="M24" s="155">
        <f t="shared" si="20"/>
        <v>43983</v>
      </c>
      <c r="N24" s="155">
        <f t="shared" si="20"/>
        <v>44348</v>
      </c>
      <c r="O24" s="155">
        <f t="shared" si="20"/>
        <v>44713</v>
      </c>
      <c r="P24" s="155" t="str">
        <f t="shared" si="20"/>
        <v/>
      </c>
      <c r="Q24" s="155" t="str">
        <f t="shared" si="20"/>
        <v/>
      </c>
      <c r="R24" s="155" t="str">
        <f t="shared" si="20"/>
        <v/>
      </c>
      <c r="S24" s="155" t="str">
        <f t="shared" si="20"/>
        <v/>
      </c>
      <c r="T24" s="155" t="str">
        <f t="shared" si="20"/>
        <v/>
      </c>
      <c r="U24" s="158"/>
    </row>
    <row r="25" spans="3:23" ht="11.25" customHeight="1" outlineLevel="1">
      <c r="C25" s="110"/>
      <c r="J25" s="28"/>
      <c r="P25" s="140"/>
      <c r="Q25" s="22"/>
      <c r="R25" s="22"/>
      <c r="S25" s="22"/>
      <c r="T25" s="22"/>
      <c r="U25" s="22"/>
    </row>
    <row r="26" spans="3:23" ht="11.25" customHeight="1" outlineLevel="1">
      <c r="C26" s="161">
        <f t="array" ref="C26:C32">TRANSPOSE(J10:P10)</f>
        <v>42887</v>
      </c>
      <c r="D26" s="142" t="str">
        <f t="shared" ref="D26:D32" si="21">IF(ISNONTEXT($C26),"calculated","")</f>
        <v>calculated</v>
      </c>
      <c r="E26" s="29" t="str">
        <f>IF(ISNONTEXT($C26),"index","")</f>
        <v>index</v>
      </c>
      <c r="I26" s="22"/>
      <c r="J26" s="22">
        <f>IF(AND(J$24=J$4,ISNONTEXT($C26)),1/J16*(1+J$12)^0.5,0)</f>
        <v>1.0096222147786693</v>
      </c>
      <c r="K26" s="22">
        <f t="shared" ref="K26:T26" si="22">IF(AND(K$24=K$4,ISNONTEXT($C26)),1/K16*(1+K$12)^0.5,0)</f>
        <v>0.98977068945241797</v>
      </c>
      <c r="L26" s="22">
        <f t="shared" si="22"/>
        <v>0.97193552251378601</v>
      </c>
      <c r="M26" s="22">
        <f t="shared" si="22"/>
        <v>0.96597005742836117</v>
      </c>
      <c r="N26" s="22">
        <f t="shared" si="22"/>
        <v>0.9495686945439904</v>
      </c>
      <c r="O26" s="22">
        <f t="shared" si="22"/>
        <v>0.91482311093756608</v>
      </c>
      <c r="P26" s="22">
        <f t="shared" si="22"/>
        <v>0</v>
      </c>
      <c r="Q26" s="22">
        <f t="shared" si="22"/>
        <v>0</v>
      </c>
      <c r="R26" s="22">
        <f t="shared" si="22"/>
        <v>0</v>
      </c>
      <c r="S26" s="22">
        <f t="shared" si="22"/>
        <v>0</v>
      </c>
      <c r="T26" s="22">
        <f t="shared" si="22"/>
        <v>0</v>
      </c>
      <c r="U26" s="22"/>
      <c r="V26" s="144"/>
      <c r="W26" s="144"/>
    </row>
    <row r="27" spans="3:23" ht="11.25" customHeight="1" outlineLevel="1">
      <c r="C27" s="161">
        <v>43252</v>
      </c>
      <c r="D27" s="142" t="str">
        <f t="shared" si="21"/>
        <v>calculated</v>
      </c>
      <c r="E27" s="29" t="str">
        <f t="shared" ref="E27:E32" si="23">IF(ISNONTEXT($C27),"index","")</f>
        <v>index</v>
      </c>
      <c r="I27" s="22"/>
      <c r="J27" s="22">
        <f t="shared" ref="J27:T27" si="24">IF(AND(J$24=J$4,ISNONTEXT($C27)),1/J17*(1+J$12)^0.5,0)</f>
        <v>1.0305990087623274</v>
      </c>
      <c r="K27" s="22">
        <f t="shared" si="24"/>
        <v>1.0103350307870211</v>
      </c>
      <c r="L27" s="22">
        <f t="shared" si="24"/>
        <v>0.99212930482437067</v>
      </c>
      <c r="M27" s="22">
        <f t="shared" si="24"/>
        <v>0.98603989601991704</v>
      </c>
      <c r="N27" s="22">
        <f t="shared" si="24"/>
        <v>0.96929776407832791</v>
      </c>
      <c r="O27" s="22">
        <f t="shared" si="24"/>
        <v>0.93383027584412792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22"/>
      <c r="V27" s="144"/>
      <c r="W27" s="144"/>
    </row>
    <row r="28" spans="3:23" ht="11.25" customHeight="1" outlineLevel="1">
      <c r="C28" s="161">
        <v>43617</v>
      </c>
      <c r="D28" s="142" t="str">
        <f t="shared" si="21"/>
        <v>calculated</v>
      </c>
      <c r="E28" s="29" t="str">
        <f t="shared" si="23"/>
        <v>index</v>
      </c>
      <c r="I28" s="22"/>
      <c r="J28" s="22">
        <f t="shared" ref="J28:T28" si="25">IF(AND(J$24=J$4,ISNONTEXT($C28)),1/J18*(1+J$12)^0.5,0)</f>
        <v>1.0470156301408424</v>
      </c>
      <c r="K28" s="22">
        <f t="shared" si="25"/>
        <v>1.0264288631358409</v>
      </c>
      <c r="L28" s="22">
        <f t="shared" si="25"/>
        <v>1.0079331344587412</v>
      </c>
      <c r="M28" s="22">
        <f t="shared" si="25"/>
        <v>1.0017467262220046</v>
      </c>
      <c r="N28" s="22">
        <f t="shared" si="25"/>
        <v>0.98473790545302708</v>
      </c>
      <c r="O28" s="22">
        <f t="shared" si="25"/>
        <v>0.94870544837969817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22"/>
      <c r="V28" s="144"/>
      <c r="W28" s="144"/>
    </row>
    <row r="29" spans="3:23" ht="11.25" customHeight="1" outlineLevel="1">
      <c r="C29" s="161">
        <v>43983</v>
      </c>
      <c r="D29" s="142" t="str">
        <f t="shared" si="21"/>
        <v>calculated</v>
      </c>
      <c r="E29" s="29" t="str">
        <f t="shared" si="23"/>
        <v>index</v>
      </c>
      <c r="I29" s="22"/>
      <c r="J29" s="22">
        <f t="shared" ref="J29:T29" si="26">IF(AND(J$24=J$4,ISNONTEXT($C29)),1/J19*(1+J$12)^0.5,0)</f>
        <v>1.043367492056728</v>
      </c>
      <c r="K29" s="22">
        <f t="shared" si="26"/>
        <v>1.0228524559472145</v>
      </c>
      <c r="L29" s="22">
        <f t="shared" si="26"/>
        <v>1.0044211723177698</v>
      </c>
      <c r="M29" s="22">
        <f t="shared" si="26"/>
        <v>0.99825631951042948</v>
      </c>
      <c r="N29" s="22">
        <f t="shared" si="26"/>
        <v>0.98130676292531638</v>
      </c>
      <c r="O29" s="22">
        <f t="shared" si="26"/>
        <v>0.94539985448290476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22"/>
      <c r="V29" s="144"/>
      <c r="W29" s="144"/>
    </row>
    <row r="30" spans="3:23" ht="11.25" customHeight="1" outlineLevel="1">
      <c r="C30" s="161">
        <v>44348</v>
      </c>
      <c r="D30" s="142" t="str">
        <f t="shared" si="21"/>
        <v>calculated</v>
      </c>
      <c r="E30" s="29" t="str">
        <f t="shared" si="23"/>
        <v>index</v>
      </c>
      <c r="I30" s="22"/>
      <c r="J30" s="22">
        <f t="shared" ref="J30:T30" si="27">IF(AND(J$24=J$4,ISNONTEXT($C30)),1/J20*(1+J$12)^0.5,0)</f>
        <v>1.0834970109819866</v>
      </c>
      <c r="K30" s="22">
        <f t="shared" si="27"/>
        <v>1.0621929350221071</v>
      </c>
      <c r="L30" s="22">
        <f t="shared" si="27"/>
        <v>1.0430527558684535</v>
      </c>
      <c r="M30" s="22">
        <f t="shared" si="27"/>
        <v>1.0366507933377536</v>
      </c>
      <c r="N30" s="22">
        <f t="shared" si="27"/>
        <v>1.019049330730136</v>
      </c>
      <c r="O30" s="22">
        <f t="shared" si="27"/>
        <v>0.98176138734763185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22"/>
      <c r="V30" s="144"/>
      <c r="W30" s="144"/>
    </row>
    <row r="31" spans="3:23" ht="11.25" customHeight="1" outlineLevel="1">
      <c r="C31" s="161">
        <v>44713</v>
      </c>
      <c r="D31" s="142" t="str">
        <f t="shared" si="21"/>
        <v>calculated</v>
      </c>
      <c r="E31" s="29" t="str">
        <f t="shared" si="23"/>
        <v>index</v>
      </c>
      <c r="I31" s="22"/>
      <c r="J31" s="22">
        <f t="shared" ref="J31:T32" si="28">IF(AND(J$24=J$4,ISNONTEXT($C31)),1/J21*(1+J$12)^0.5,0)</f>
        <v>1.1241281488938111</v>
      </c>
      <c r="K31" s="22">
        <f t="shared" si="28"/>
        <v>1.1020251700854364</v>
      </c>
      <c r="L31" s="22">
        <f t="shared" si="28"/>
        <v>1.0821672342135205</v>
      </c>
      <c r="M31" s="22">
        <f t="shared" si="28"/>
        <v>1.0755251980879195</v>
      </c>
      <c r="N31" s="22">
        <f t="shared" si="28"/>
        <v>1.0572636806325162</v>
      </c>
      <c r="O31" s="22">
        <f t="shared" si="28"/>
        <v>1.0185774393731681</v>
      </c>
      <c r="P31" s="22">
        <f t="shared" si="28"/>
        <v>0</v>
      </c>
      <c r="Q31" s="22">
        <f t="shared" si="28"/>
        <v>0</v>
      </c>
      <c r="R31" s="22">
        <f t="shared" si="28"/>
        <v>0</v>
      </c>
      <c r="S31" s="22">
        <f t="shared" si="28"/>
        <v>0</v>
      </c>
      <c r="T31" s="22">
        <f t="shared" si="28"/>
        <v>0</v>
      </c>
      <c r="U31" s="22"/>
      <c r="V31" s="144"/>
      <c r="W31" s="144"/>
    </row>
    <row r="32" spans="3:23" ht="11.25" customHeight="1" outlineLevel="1">
      <c r="C32" s="161" t="str">
        <v/>
      </c>
      <c r="D32" s="142" t="str">
        <f t="shared" si="21"/>
        <v/>
      </c>
      <c r="E32" s="29" t="str">
        <f t="shared" si="23"/>
        <v/>
      </c>
      <c r="I32" s="22"/>
      <c r="J32" s="22">
        <f t="shared" si="28"/>
        <v>0</v>
      </c>
      <c r="K32" s="22">
        <f t="shared" si="28"/>
        <v>0</v>
      </c>
      <c r="L32" s="22">
        <f t="shared" si="28"/>
        <v>0</v>
      </c>
      <c r="M32" s="22">
        <f t="shared" si="28"/>
        <v>0</v>
      </c>
      <c r="N32" s="22">
        <f t="shared" si="28"/>
        <v>0</v>
      </c>
      <c r="O32" s="22">
        <f t="shared" si="28"/>
        <v>0</v>
      </c>
      <c r="P32" s="22">
        <f t="shared" si="28"/>
        <v>0</v>
      </c>
      <c r="Q32" s="22">
        <f t="shared" si="28"/>
        <v>0</v>
      </c>
      <c r="R32" s="22">
        <f t="shared" si="28"/>
        <v>0</v>
      </c>
      <c r="S32" s="22">
        <f t="shared" si="28"/>
        <v>0</v>
      </c>
      <c r="T32" s="22">
        <f t="shared" si="28"/>
        <v>0</v>
      </c>
      <c r="U32" s="22"/>
      <c r="V32" s="144"/>
      <c r="W32" s="144"/>
    </row>
    <row r="33" spans="1:51">
      <c r="C33" s="110"/>
      <c r="K33" s="22"/>
      <c r="L33" s="22"/>
      <c r="M33" s="22"/>
      <c r="N33" s="22"/>
      <c r="O33" s="22"/>
      <c r="P33" s="25"/>
      <c r="Q33" s="22"/>
      <c r="R33" s="22"/>
      <c r="S33" s="22"/>
      <c r="T33" s="22"/>
      <c r="U33" s="22"/>
    </row>
    <row r="34" spans="1:51" s="102" customFormat="1" ht="12.75">
      <c r="A34" s="93"/>
      <c r="B34" s="94" t="s">
        <v>77</v>
      </c>
      <c r="C34" s="93"/>
      <c r="D34" s="93"/>
      <c r="E34" s="93"/>
      <c r="F34" s="95"/>
      <c r="G34" s="95"/>
      <c r="H34" s="95"/>
      <c r="I34" s="95"/>
      <c r="J34" s="95"/>
      <c r="K34" s="96"/>
      <c r="L34" s="97"/>
      <c r="M34" s="96"/>
      <c r="N34" s="97"/>
      <c r="O34" s="96"/>
      <c r="P34" s="96"/>
      <c r="Q34" s="96"/>
      <c r="R34" s="96"/>
      <c r="S34" s="96"/>
      <c r="T34" s="96"/>
      <c r="U34" s="96"/>
      <c r="V34" s="96"/>
      <c r="W34" s="96"/>
      <c r="X34" s="97"/>
      <c r="Y34" s="98"/>
      <c r="Z34" s="98"/>
      <c r="AA34" s="98"/>
      <c r="AB34" s="98"/>
      <c r="AC34" s="98"/>
      <c r="AD34" s="98"/>
      <c r="AE34" s="98"/>
      <c r="AF34" s="99"/>
      <c r="AG34" s="100"/>
      <c r="AH34" s="100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</row>
    <row r="35" spans="1:51" ht="11.25" customHeight="1" outlineLevel="1"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51" ht="11.25" customHeight="1" outlineLevel="1">
      <c r="C36" s="66" t="s">
        <v>80</v>
      </c>
      <c r="D36" s="31" t="s">
        <v>7</v>
      </c>
      <c r="E36" s="31" t="s">
        <v>8</v>
      </c>
      <c r="J36" s="158" t="str">
        <f t="shared" ref="J36:U36" si="29">IF(YEAR(J$4)&gt;=FPFirstYear,IF(YEAR(J$4)&lt;=FPLastYear,J$4,""),"")</f>
        <v/>
      </c>
      <c r="K36" s="158" t="str">
        <f t="shared" si="29"/>
        <v/>
      </c>
      <c r="L36" s="158" t="str">
        <f t="shared" si="29"/>
        <v/>
      </c>
      <c r="M36" s="158" t="str">
        <f t="shared" si="29"/>
        <v/>
      </c>
      <c r="N36" s="158" t="str">
        <f t="shared" si="29"/>
        <v/>
      </c>
      <c r="O36" s="158" t="str">
        <f t="shared" si="29"/>
        <v/>
      </c>
      <c r="P36" s="158">
        <f t="shared" si="29"/>
        <v>45078</v>
      </c>
      <c r="Q36" s="158">
        <f t="shared" si="29"/>
        <v>45444</v>
      </c>
      <c r="R36" s="158">
        <f t="shared" si="29"/>
        <v>45809</v>
      </c>
      <c r="S36" s="158">
        <f t="shared" si="29"/>
        <v>46174</v>
      </c>
      <c r="T36" s="158">
        <f t="shared" si="29"/>
        <v>46539</v>
      </c>
      <c r="U36" s="158" t="str">
        <f t="shared" si="29"/>
        <v/>
      </c>
    </row>
    <row r="37" spans="1:51" ht="11.25" customHeight="1" outlineLevel="1">
      <c r="J37" s="109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</row>
    <row r="38" spans="1:51" ht="11.25" customHeight="1" outlineLevel="1">
      <c r="C38" s="60" t="s">
        <v>196</v>
      </c>
      <c r="D38" s="29" t="s">
        <v>101</v>
      </c>
      <c r="E38" s="29" t="str">
        <f t="shared" ref="E38:E45" si="30">percent</f>
        <v>Per cent</v>
      </c>
      <c r="J38" s="193"/>
      <c r="K38" s="149"/>
      <c r="L38" s="149"/>
      <c r="M38" s="149"/>
      <c r="N38" s="149"/>
      <c r="O38" s="149"/>
      <c r="P38" s="208">
        <v>-4.5897642644056047E-3</v>
      </c>
      <c r="Q38" s="208">
        <v>2.759538008456186E-3</v>
      </c>
      <c r="R38" s="208">
        <v>4.5778309779020976E-3</v>
      </c>
      <c r="S38" s="208">
        <v>4.6572152336861183E-3</v>
      </c>
      <c r="T38" s="208">
        <v>5.8629705722093028E-3</v>
      </c>
    </row>
    <row r="39" spans="1:51" ht="11.25" customHeight="1" outlineLevel="1">
      <c r="C39" s="204" t="s">
        <v>197</v>
      </c>
      <c r="D39" s="29" t="s">
        <v>101</v>
      </c>
      <c r="E39" s="29" t="str">
        <f t="shared" si="30"/>
        <v>Per cent</v>
      </c>
      <c r="J39" s="193"/>
      <c r="K39" s="149"/>
      <c r="L39" s="149"/>
      <c r="M39" s="149"/>
      <c r="N39" s="149"/>
      <c r="O39" s="149"/>
      <c r="P39" s="216">
        <v>6.0000000000000001E-3</v>
      </c>
      <c r="Q39" s="216">
        <v>5.0000000000000001E-3</v>
      </c>
      <c r="R39" s="216">
        <v>8.0000000000000002E-3</v>
      </c>
      <c r="S39" s="216">
        <v>8.0000000000000002E-3</v>
      </c>
      <c r="T39" s="216">
        <v>8.9999999999999993E-3</v>
      </c>
    </row>
    <row r="40" spans="1:51" ht="11.25" customHeight="1" outlineLevel="1">
      <c r="C40" s="60" t="s">
        <v>198</v>
      </c>
      <c r="D40" s="29" t="s">
        <v>101</v>
      </c>
      <c r="E40" s="29" t="str">
        <f t="shared" si="30"/>
        <v>Per cent</v>
      </c>
      <c r="J40" s="193"/>
      <c r="K40" s="149"/>
      <c r="L40" s="149"/>
      <c r="M40" s="149"/>
      <c r="N40" s="149"/>
      <c r="O40" s="149"/>
      <c r="P40" s="208">
        <f>AVERAGE(P38:P39)</f>
        <v>7.0511786779719771E-4</v>
      </c>
      <c r="Q40" s="208">
        <f t="shared" ref="Q40:T40" si="31">AVERAGE(Q38:Q39)</f>
        <v>3.8797690042280931E-3</v>
      </c>
      <c r="R40" s="208">
        <f t="shared" si="31"/>
        <v>6.2889154889510489E-3</v>
      </c>
      <c r="S40" s="208">
        <f t="shared" si="31"/>
        <v>6.3286076168430593E-3</v>
      </c>
      <c r="T40" s="208">
        <f t="shared" si="31"/>
        <v>7.4314852861046511E-3</v>
      </c>
    </row>
    <row r="41" spans="1:51" ht="11.25" customHeight="1" outlineLevel="1">
      <c r="C41" s="60" t="s">
        <v>182</v>
      </c>
      <c r="D41" s="29" t="s">
        <v>101</v>
      </c>
      <c r="E41" s="29" t="str">
        <f t="shared" si="30"/>
        <v>Per cent</v>
      </c>
      <c r="J41" s="193"/>
      <c r="K41" s="149"/>
      <c r="L41" s="149"/>
      <c r="M41" s="149"/>
      <c r="N41" s="149"/>
      <c r="O41" s="149"/>
      <c r="P41" s="208">
        <v>5.0000000000000001E-3</v>
      </c>
      <c r="Q41" s="208">
        <v>5.0000000000000001E-3</v>
      </c>
      <c r="R41" s="208">
        <v>5.0000000000000001E-3</v>
      </c>
      <c r="S41" s="208">
        <v>5.0000000000000001E-3</v>
      </c>
      <c r="T41" s="208">
        <v>0</v>
      </c>
      <c r="U41" s="207"/>
      <c r="V41" s="145"/>
    </row>
    <row r="42" spans="1:51" ht="11.25" customHeight="1" outlineLevel="1">
      <c r="C42" s="60" t="s">
        <v>183</v>
      </c>
      <c r="D42" s="29" t="s">
        <v>101</v>
      </c>
      <c r="E42" s="29" t="str">
        <f t="shared" si="30"/>
        <v>Per cent</v>
      </c>
      <c r="J42" s="193"/>
      <c r="K42" s="149"/>
      <c r="L42" s="149"/>
      <c r="M42" s="149"/>
      <c r="N42" s="149"/>
      <c r="O42" s="149"/>
      <c r="P42" s="208">
        <f>P41+P40</f>
        <v>5.7051178677971978E-3</v>
      </c>
      <c r="Q42" s="208">
        <f t="shared" ref="Q42:T42" si="32">Q41+Q40</f>
        <v>8.8797690042280927E-3</v>
      </c>
      <c r="R42" s="208">
        <f t="shared" si="32"/>
        <v>1.128891548895105E-2</v>
      </c>
      <c r="S42" s="208">
        <f t="shared" si="32"/>
        <v>1.132860761684306E-2</v>
      </c>
      <c r="T42" s="208">
        <f t="shared" si="32"/>
        <v>7.4314852861046511E-3</v>
      </c>
      <c r="U42" s="207"/>
    </row>
    <row r="43" spans="1:51" ht="11.25" customHeight="1" outlineLevel="1">
      <c r="C43" s="60"/>
      <c r="D43" s="29" t="s">
        <v>101</v>
      </c>
      <c r="E43" s="29" t="str">
        <f t="shared" si="30"/>
        <v>Per cent</v>
      </c>
      <c r="J43" s="193"/>
      <c r="K43" s="149"/>
      <c r="L43" s="149"/>
      <c r="M43" s="149"/>
      <c r="N43" s="149"/>
      <c r="O43" s="149"/>
      <c r="P43" s="208"/>
      <c r="Q43" s="208"/>
      <c r="R43" s="208"/>
      <c r="S43" s="208"/>
      <c r="T43" s="208"/>
      <c r="U43" s="207"/>
    </row>
    <row r="44" spans="1:51" ht="11.25" customHeight="1" outlineLevel="1">
      <c r="C44" s="60"/>
      <c r="D44" s="29" t="s">
        <v>101</v>
      </c>
      <c r="E44" s="29" t="str">
        <f t="shared" si="30"/>
        <v>Per cent</v>
      </c>
      <c r="J44" s="193"/>
      <c r="K44" s="149"/>
      <c r="L44" s="149"/>
      <c r="M44" s="149"/>
      <c r="N44" s="149"/>
      <c r="O44" s="149"/>
      <c r="P44" s="208"/>
      <c r="Q44" s="208"/>
      <c r="R44" s="208"/>
      <c r="S44" s="208"/>
      <c r="T44" s="208"/>
      <c r="U44" s="207"/>
    </row>
    <row r="45" spans="1:51" ht="11.25" customHeight="1" outlineLevel="1">
      <c r="C45" s="60" t="s">
        <v>81</v>
      </c>
      <c r="D45" s="29" t="s">
        <v>101</v>
      </c>
      <c r="E45" s="29" t="str">
        <f t="shared" si="30"/>
        <v>Per cent</v>
      </c>
      <c r="J45" s="193"/>
      <c r="K45" s="149"/>
      <c r="L45" s="149"/>
      <c r="M45" s="149"/>
      <c r="N45" s="149"/>
      <c r="O45" s="149"/>
      <c r="P45" s="208">
        <v>0</v>
      </c>
      <c r="Q45" s="208">
        <v>0</v>
      </c>
      <c r="R45" s="208">
        <v>0</v>
      </c>
      <c r="S45" s="208">
        <v>0</v>
      </c>
      <c r="T45" s="208">
        <v>0</v>
      </c>
      <c r="U45" s="207"/>
    </row>
    <row r="46" spans="1:51" ht="11.25" customHeight="1" outlineLevel="1"/>
    <row r="47" spans="1:51" ht="11.25" customHeight="1" outlineLevel="1">
      <c r="C47" s="28" t="s">
        <v>40</v>
      </c>
      <c r="D47" s="29" t="s">
        <v>98</v>
      </c>
      <c r="E47" s="29" t="s">
        <v>28</v>
      </c>
      <c r="F47" s="29" t="s">
        <v>36</v>
      </c>
      <c r="J47" s="130" t="str">
        <f t="shared" ref="J47:S47" si="33">IF(J36=J4,IF(COUNTA($C38:$C45)=COUNT(J38:J45),"Ok","Check"),"")</f>
        <v/>
      </c>
      <c r="K47" s="130" t="str">
        <f t="shared" si="33"/>
        <v/>
      </c>
      <c r="L47" s="130" t="str">
        <f t="shared" si="33"/>
        <v/>
      </c>
      <c r="M47" s="130" t="str">
        <f t="shared" si="33"/>
        <v/>
      </c>
      <c r="N47" s="130" t="str">
        <f t="shared" si="33"/>
        <v/>
      </c>
      <c r="O47" s="130" t="str">
        <f t="shared" si="33"/>
        <v/>
      </c>
      <c r="P47" s="130" t="str">
        <f t="shared" si="33"/>
        <v>Ok</v>
      </c>
      <c r="Q47" s="130" t="str">
        <f t="shared" si="33"/>
        <v>Ok</v>
      </c>
      <c r="R47" s="130" t="str">
        <f t="shared" si="33"/>
        <v>Ok</v>
      </c>
      <c r="S47" s="130" t="str">
        <f t="shared" si="33"/>
        <v>Ok</v>
      </c>
      <c r="T47" s="130" t="str">
        <f>IF(T36=T4,IF(COUNTA($C38:$C45)=COUNT(T38:T45),"Ok","Check"),"")</f>
        <v>Ok</v>
      </c>
      <c r="U47" s="130" t="str">
        <f>IF(U36=U4,IF(COUNTA($C38:$C45)=COUNT(U38:U45),"Ok","Check"),"")</f>
        <v/>
      </c>
      <c r="V47" s="24"/>
      <c r="X47" s="129" t="str">
        <f>IF(COUNTIF(J47:U47,"Check")=0,"Ok","Check")</f>
        <v>Ok</v>
      </c>
    </row>
    <row r="48" spans="1:51" ht="11.25" customHeight="1" outlineLevel="1"/>
    <row r="49" spans="1:51" ht="11.25" customHeight="1" outlineLevel="1">
      <c r="C49" s="66" t="s">
        <v>43</v>
      </c>
      <c r="D49" s="31" t="s">
        <v>7</v>
      </c>
      <c r="E49" s="31" t="s">
        <v>8</v>
      </c>
      <c r="J49" s="158" t="str">
        <f t="shared" ref="J49:U49" si="34">IF(YEAR(J$4)&gt;=FPFirstYear,IF(YEAR(J$4)&lt;=FPLastYear,J$4,""),"")</f>
        <v/>
      </c>
      <c r="K49" s="158" t="str">
        <f t="shared" si="34"/>
        <v/>
      </c>
      <c r="L49" s="158" t="str">
        <f t="shared" si="34"/>
        <v/>
      </c>
      <c r="M49" s="158" t="str">
        <f t="shared" si="34"/>
        <v/>
      </c>
      <c r="N49" s="158" t="str">
        <f t="shared" si="34"/>
        <v/>
      </c>
      <c r="O49" s="158" t="str">
        <f t="shared" si="34"/>
        <v/>
      </c>
      <c r="P49" s="158">
        <f t="shared" si="34"/>
        <v>45078</v>
      </c>
      <c r="Q49" s="158">
        <f t="shared" si="34"/>
        <v>45444</v>
      </c>
      <c r="R49" s="158">
        <f t="shared" si="34"/>
        <v>45809</v>
      </c>
      <c r="S49" s="158">
        <f t="shared" si="34"/>
        <v>46174</v>
      </c>
      <c r="T49" s="158">
        <f t="shared" si="34"/>
        <v>46539</v>
      </c>
      <c r="U49" s="158" t="str">
        <f t="shared" si="34"/>
        <v/>
      </c>
    </row>
    <row r="50" spans="1:51" ht="11.25" customHeight="1" outlineLevel="1"/>
    <row r="51" spans="1:51" ht="11.25" customHeight="1" outlineLevel="1">
      <c r="C51" s="146" t="str">
        <f t="shared" ref="C51:C58" si="35">C38</f>
        <v>WPI - AER forecast</v>
      </c>
      <c r="D51" s="29" t="s">
        <v>101</v>
      </c>
      <c r="E51" s="29" t="str">
        <f t="shared" ref="E51:E58" si="36">percent</f>
        <v>Per cent</v>
      </c>
      <c r="J51" s="193"/>
      <c r="K51" s="149"/>
      <c r="L51" s="149"/>
      <c r="M51" s="149"/>
      <c r="N51" s="149"/>
      <c r="O51" s="149"/>
      <c r="P51" s="192"/>
      <c r="Q51" s="192"/>
      <c r="R51" s="192"/>
      <c r="S51" s="192"/>
      <c r="T51" s="192"/>
      <c r="U51" s="164"/>
    </row>
    <row r="52" spans="1:51" ht="11.25" customHeight="1" outlineLevel="1">
      <c r="C52" s="146" t="str">
        <f t="shared" si="35"/>
        <v>WPI - NSP forecast</v>
      </c>
      <c r="D52" s="29" t="s">
        <v>101</v>
      </c>
      <c r="E52" s="29" t="str">
        <f t="shared" si="36"/>
        <v>Per cent</v>
      </c>
      <c r="J52" s="193"/>
      <c r="K52" s="149"/>
      <c r="L52" s="149"/>
      <c r="M52" s="149"/>
      <c r="N52" s="149"/>
      <c r="O52" s="149"/>
      <c r="P52" s="192"/>
      <c r="Q52" s="192"/>
      <c r="R52" s="192"/>
      <c r="S52" s="192"/>
      <c r="T52" s="192"/>
      <c r="U52" s="164"/>
    </row>
    <row r="53" spans="1:51" ht="11.25" customHeight="1" outlineLevel="1">
      <c r="C53" s="146" t="str">
        <f t="shared" si="35"/>
        <v>WPI - average</v>
      </c>
      <c r="D53" s="29" t="s">
        <v>101</v>
      </c>
      <c r="E53" s="29" t="str">
        <f t="shared" si="36"/>
        <v>Per cent</v>
      </c>
      <c r="J53" s="193"/>
      <c r="K53" s="149"/>
      <c r="L53" s="149"/>
      <c r="M53" s="149"/>
      <c r="N53" s="149"/>
      <c r="O53" s="149"/>
      <c r="P53" s="192"/>
      <c r="Q53" s="192"/>
      <c r="R53" s="192"/>
      <c r="S53" s="192"/>
      <c r="T53" s="192"/>
      <c r="U53" s="164"/>
    </row>
    <row r="54" spans="1:51" ht="11.25" customHeight="1" outlineLevel="1">
      <c r="C54" s="146" t="str">
        <f t="shared" si="35"/>
        <v>Superannuation guarantee increases</v>
      </c>
      <c r="D54" s="29" t="s">
        <v>101</v>
      </c>
      <c r="E54" s="29" t="str">
        <f t="shared" si="36"/>
        <v>Per cent</v>
      </c>
      <c r="J54" s="193"/>
      <c r="K54" s="149"/>
      <c r="L54" s="149"/>
      <c r="M54" s="149"/>
      <c r="N54" s="149"/>
      <c r="O54" s="149"/>
      <c r="P54" s="192"/>
      <c r="Q54" s="192"/>
      <c r="R54" s="192"/>
      <c r="S54" s="192"/>
      <c r="T54" s="192"/>
      <c r="U54" s="164"/>
      <c r="V54" s="145"/>
    </row>
    <row r="55" spans="1:51" ht="11.25" customHeight="1" outlineLevel="1">
      <c r="C55" s="146" t="str">
        <f t="shared" si="35"/>
        <v>WPI - average + super guarantee increases</v>
      </c>
      <c r="D55" s="29" t="s">
        <v>101</v>
      </c>
      <c r="E55" s="29" t="str">
        <f t="shared" si="36"/>
        <v>Per cent</v>
      </c>
      <c r="J55" s="193"/>
      <c r="K55" s="149"/>
      <c r="L55" s="149"/>
      <c r="M55" s="149"/>
      <c r="N55" s="149"/>
      <c r="O55" s="149"/>
      <c r="P55" s="192">
        <v>0.62079331225465317</v>
      </c>
      <c r="Q55" s="192">
        <f>P55</f>
        <v>0.62079331225465317</v>
      </c>
      <c r="R55" s="192">
        <f t="shared" ref="R55:T55" si="37">Q55</f>
        <v>0.62079331225465317</v>
      </c>
      <c r="S55" s="192">
        <f t="shared" si="37"/>
        <v>0.62079331225465317</v>
      </c>
      <c r="T55" s="192">
        <f t="shared" si="37"/>
        <v>0.62079331225465317</v>
      </c>
      <c r="U55" s="164"/>
    </row>
    <row r="56" spans="1:51" ht="11.25" customHeight="1" outlineLevel="1">
      <c r="C56" s="146">
        <f t="shared" si="35"/>
        <v>0</v>
      </c>
      <c r="D56" s="29" t="s">
        <v>101</v>
      </c>
      <c r="E56" s="29" t="str">
        <f t="shared" si="36"/>
        <v>Per cent</v>
      </c>
      <c r="J56" s="193"/>
      <c r="K56" s="149"/>
      <c r="L56" s="149"/>
      <c r="M56" s="149"/>
      <c r="N56" s="149"/>
      <c r="O56" s="149"/>
      <c r="P56" s="192"/>
      <c r="Q56" s="192"/>
      <c r="R56" s="192"/>
      <c r="S56" s="192"/>
      <c r="T56" s="192"/>
      <c r="U56" s="164"/>
    </row>
    <row r="57" spans="1:51" ht="11.25" customHeight="1" outlineLevel="1">
      <c r="C57" s="146">
        <f t="shared" si="35"/>
        <v>0</v>
      </c>
      <c r="D57" s="29" t="s">
        <v>101</v>
      </c>
      <c r="E57" s="29" t="str">
        <f t="shared" si="36"/>
        <v>Per cent</v>
      </c>
      <c r="J57" s="193"/>
      <c r="K57" s="149"/>
      <c r="L57" s="149"/>
      <c r="M57" s="149"/>
      <c r="N57" s="149"/>
      <c r="O57" s="149"/>
      <c r="P57" s="192"/>
      <c r="Q57" s="192"/>
      <c r="R57" s="192"/>
      <c r="S57" s="192"/>
      <c r="T57" s="192"/>
      <c r="U57" s="164"/>
    </row>
    <row r="58" spans="1:51" ht="11.25" customHeight="1" outlineLevel="1">
      <c r="C58" s="146" t="str">
        <f t="shared" si="35"/>
        <v>CPI</v>
      </c>
      <c r="D58" s="29" t="s">
        <v>101</v>
      </c>
      <c r="E58" s="29" t="str">
        <f t="shared" si="36"/>
        <v>Per cent</v>
      </c>
      <c r="J58" s="193"/>
      <c r="K58" s="149"/>
      <c r="L58" s="149"/>
      <c r="M58" s="149"/>
      <c r="N58" s="149"/>
      <c r="O58" s="149"/>
      <c r="P58" s="192">
        <f>1-P55</f>
        <v>0.37920668774534683</v>
      </c>
      <c r="Q58" s="192">
        <f t="shared" ref="Q58:T58" si="38">1-Q55</f>
        <v>0.37920668774534683</v>
      </c>
      <c r="R58" s="192">
        <f t="shared" si="38"/>
        <v>0.37920668774534683</v>
      </c>
      <c r="S58" s="192">
        <f t="shared" si="38"/>
        <v>0.37920668774534683</v>
      </c>
      <c r="T58" s="192">
        <f t="shared" si="38"/>
        <v>0.37920668774534683</v>
      </c>
      <c r="U58" s="164"/>
    </row>
    <row r="59" spans="1:51" ht="11.25" customHeight="1" outlineLevel="1"/>
    <row r="60" spans="1:51" outlineLevel="1">
      <c r="C60" s="28" t="s">
        <v>40</v>
      </c>
      <c r="D60" s="29" t="s">
        <v>98</v>
      </c>
      <c r="E60" s="29" t="s">
        <v>28</v>
      </c>
      <c r="F60" s="29" t="s">
        <v>36</v>
      </c>
      <c r="J60" s="130" t="str">
        <f t="shared" ref="J60:S60" si="39">IF(J49=J$4,IF(SUM(J51:J58)=1,"Ok","Check"),"")</f>
        <v/>
      </c>
      <c r="K60" s="130" t="str">
        <f t="shared" si="39"/>
        <v/>
      </c>
      <c r="L60" s="130" t="str">
        <f t="shared" si="39"/>
        <v/>
      </c>
      <c r="M60" s="130" t="str">
        <f t="shared" si="39"/>
        <v/>
      </c>
      <c r="N60" s="130" t="str">
        <f t="shared" si="39"/>
        <v/>
      </c>
      <c r="O60" s="130" t="str">
        <f t="shared" si="39"/>
        <v/>
      </c>
      <c r="P60" s="130" t="str">
        <f t="shared" si="39"/>
        <v>Ok</v>
      </c>
      <c r="Q60" s="130" t="str">
        <f t="shared" si="39"/>
        <v>Ok</v>
      </c>
      <c r="R60" s="130" t="str">
        <f t="shared" si="39"/>
        <v>Ok</v>
      </c>
      <c r="S60" s="130" t="str">
        <f t="shared" si="39"/>
        <v>Ok</v>
      </c>
      <c r="T60" s="130" t="str">
        <f>IF(T49=T$4,IF(SUM(T51:T58)=1,"Ok","Check"),"")</f>
        <v>Ok</v>
      </c>
      <c r="U60" s="130" t="str">
        <f>IF(U49=U$4,IF(SUM(U51:U58)=1,"Ok","Check"),"")</f>
        <v/>
      </c>
      <c r="V60" s="24"/>
      <c r="X60" s="129" t="str">
        <f>IF(COUNTIF(J60:U60,"Check")=0,"Ok","Check")</f>
        <v>Ok</v>
      </c>
    </row>
    <row r="61" spans="1:51"/>
    <row r="62" spans="1:51" s="102" customFormat="1" ht="12.75">
      <c r="A62" s="93"/>
      <c r="B62" s="94" t="s">
        <v>84</v>
      </c>
      <c r="C62" s="93"/>
      <c r="D62" s="93"/>
      <c r="E62" s="93"/>
      <c r="F62" s="95"/>
      <c r="G62" s="95"/>
      <c r="H62" s="95"/>
      <c r="I62" s="95"/>
      <c r="J62" s="95"/>
      <c r="K62" s="96"/>
      <c r="L62" s="97"/>
      <c r="M62" s="96"/>
      <c r="N62" s="97"/>
      <c r="O62" s="96"/>
      <c r="P62" s="96"/>
      <c r="Q62" s="96"/>
      <c r="R62" s="96"/>
      <c r="S62" s="96"/>
      <c r="T62" s="96"/>
      <c r="U62" s="96"/>
      <c r="V62" s="96"/>
      <c r="W62" s="96"/>
      <c r="X62" s="97"/>
      <c r="Y62" s="98"/>
      <c r="Z62" s="98"/>
      <c r="AA62" s="98"/>
      <c r="AB62" s="98"/>
      <c r="AC62" s="98"/>
      <c r="AD62" s="98"/>
      <c r="AE62" s="98"/>
      <c r="AF62" s="99"/>
      <c r="AG62" s="100"/>
      <c r="AH62" s="100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</row>
    <row r="63" spans="1:51" outlineLevel="1">
      <c r="G63" s="31"/>
      <c r="H63" s="31"/>
    </row>
    <row r="64" spans="1:51" outlineLevel="1">
      <c r="C64" s="66" t="s">
        <v>85</v>
      </c>
      <c r="D64" s="31" t="s">
        <v>7</v>
      </c>
      <c r="E64" s="31" t="s">
        <v>8</v>
      </c>
      <c r="F64" s="31" t="s">
        <v>22</v>
      </c>
      <c r="G64" s="31"/>
      <c r="H64" s="31"/>
      <c r="J64" s="158" t="str">
        <f t="shared" ref="J64:U64" si="40">IF(YEAR(J$4)&gt;=PPLastYear,IF(YEAR(J$4)&lt;=FPLastYear,J$4,""),"")</f>
        <v/>
      </c>
      <c r="K64" s="158" t="str">
        <f t="shared" si="40"/>
        <v/>
      </c>
      <c r="L64" s="158" t="str">
        <f t="shared" si="40"/>
        <v/>
      </c>
      <c r="M64" s="158" t="str">
        <f t="shared" si="40"/>
        <v/>
      </c>
      <c r="N64" s="158" t="str">
        <f t="shared" si="40"/>
        <v/>
      </c>
      <c r="O64" s="158">
        <f t="shared" si="40"/>
        <v>44713</v>
      </c>
      <c r="P64" s="158">
        <f t="shared" si="40"/>
        <v>45078</v>
      </c>
      <c r="Q64" s="158">
        <f t="shared" si="40"/>
        <v>45444</v>
      </c>
      <c r="R64" s="158">
        <f t="shared" si="40"/>
        <v>45809</v>
      </c>
      <c r="S64" s="158">
        <f t="shared" si="40"/>
        <v>46174</v>
      </c>
      <c r="T64" s="158">
        <f t="shared" si="40"/>
        <v>46539</v>
      </c>
      <c r="U64" s="158" t="str">
        <f t="shared" si="40"/>
        <v/>
      </c>
    </row>
    <row r="65" spans="3:24" outlineLevel="1">
      <c r="C65" s="110"/>
      <c r="G65" s="31"/>
      <c r="H65" s="31"/>
      <c r="K65" s="23"/>
      <c r="L65" s="23"/>
      <c r="M65" s="23"/>
      <c r="N65" s="23"/>
      <c r="O65" s="23"/>
    </row>
    <row r="66" spans="3:24" outlineLevel="1">
      <c r="C66" s="60"/>
      <c r="D66" s="29" t="s">
        <v>101</v>
      </c>
      <c r="E66" s="29" t="s">
        <v>18</v>
      </c>
      <c r="F66" s="29" t="s">
        <v>36</v>
      </c>
      <c r="G66" s="31"/>
      <c r="H66" s="31"/>
      <c r="J66" s="193"/>
      <c r="K66" s="186"/>
      <c r="L66" s="186"/>
      <c r="M66" s="186"/>
      <c r="N66" s="186"/>
      <c r="O66" s="187"/>
      <c r="P66" s="187"/>
      <c r="Q66" s="187"/>
      <c r="R66" s="187"/>
      <c r="S66" s="187"/>
      <c r="T66" s="187"/>
      <c r="U66" s="187"/>
    </row>
    <row r="67" spans="3:24" outlineLevel="1">
      <c r="C67" s="60"/>
      <c r="D67" s="29" t="s">
        <v>101</v>
      </c>
      <c r="E67" s="29" t="s">
        <v>18</v>
      </c>
      <c r="F67" s="29" t="s">
        <v>36</v>
      </c>
      <c r="G67" s="31"/>
      <c r="H67" s="31"/>
      <c r="J67" s="193"/>
      <c r="K67" s="186"/>
      <c r="L67" s="186"/>
      <c r="M67" s="186"/>
      <c r="N67" s="186"/>
      <c r="O67" s="187"/>
      <c r="P67" s="187"/>
      <c r="Q67" s="187"/>
      <c r="R67" s="187"/>
      <c r="S67" s="187"/>
      <c r="T67" s="187"/>
      <c r="U67" s="187"/>
    </row>
    <row r="68" spans="3:24" outlineLevel="1">
      <c r="C68" s="60"/>
      <c r="D68" s="29" t="s">
        <v>101</v>
      </c>
      <c r="E68" s="29" t="s">
        <v>18</v>
      </c>
      <c r="F68" s="29" t="s">
        <v>36</v>
      </c>
      <c r="G68" s="31"/>
      <c r="H68" s="31"/>
      <c r="J68" s="193"/>
      <c r="K68" s="186"/>
      <c r="L68" s="186"/>
      <c r="M68" s="186"/>
      <c r="N68" s="186"/>
      <c r="O68" s="187"/>
      <c r="P68" s="187"/>
      <c r="Q68" s="187"/>
      <c r="R68" s="187"/>
      <c r="S68" s="187"/>
      <c r="T68" s="187"/>
      <c r="U68" s="187"/>
    </row>
    <row r="69" spans="3:24" outlineLevel="1">
      <c r="C69" s="60"/>
      <c r="D69" s="29" t="s">
        <v>101</v>
      </c>
      <c r="E69" s="29" t="s">
        <v>18</v>
      </c>
      <c r="F69" s="29" t="s">
        <v>36</v>
      </c>
      <c r="G69" s="31"/>
      <c r="H69" s="31"/>
      <c r="J69" s="193"/>
      <c r="K69" s="186"/>
      <c r="L69" s="186"/>
      <c r="M69" s="186"/>
      <c r="N69" s="186"/>
      <c r="O69" s="187"/>
      <c r="P69" s="187"/>
      <c r="Q69" s="187"/>
      <c r="R69" s="187"/>
      <c r="S69" s="187"/>
      <c r="T69" s="187"/>
      <c r="U69" s="187"/>
    </row>
    <row r="70" spans="3:24" outlineLevel="1">
      <c r="C70" s="60"/>
      <c r="D70" s="29" t="s">
        <v>101</v>
      </c>
      <c r="E70" s="29" t="s">
        <v>18</v>
      </c>
      <c r="F70" s="29" t="s">
        <v>36</v>
      </c>
      <c r="G70" s="31"/>
      <c r="H70" s="31"/>
      <c r="J70" s="193"/>
      <c r="K70" s="186"/>
      <c r="L70" s="186"/>
      <c r="M70" s="186"/>
      <c r="N70" s="186"/>
      <c r="O70" s="187"/>
      <c r="P70" s="187"/>
      <c r="Q70" s="187"/>
      <c r="R70" s="187"/>
      <c r="S70" s="187"/>
      <c r="T70" s="187"/>
      <c r="U70" s="187"/>
    </row>
    <row r="71" spans="3:24" outlineLevel="1">
      <c r="C71" s="60"/>
      <c r="D71" s="29" t="s">
        <v>101</v>
      </c>
      <c r="E71" s="29" t="s">
        <v>18</v>
      </c>
      <c r="F71" s="29" t="s">
        <v>36</v>
      </c>
      <c r="G71" s="31"/>
      <c r="H71" s="31"/>
      <c r="J71" s="193"/>
      <c r="K71" s="186"/>
      <c r="L71" s="186"/>
      <c r="M71" s="186"/>
      <c r="N71" s="186"/>
      <c r="O71" s="187"/>
      <c r="P71" s="187"/>
      <c r="Q71" s="187"/>
      <c r="R71" s="187"/>
      <c r="S71" s="187"/>
      <c r="T71" s="187"/>
      <c r="U71" s="187"/>
    </row>
    <row r="72" spans="3:24" outlineLevel="1">
      <c r="C72" s="110"/>
      <c r="G72" s="31"/>
      <c r="H72" s="31"/>
      <c r="K72" s="23"/>
      <c r="L72" s="23"/>
      <c r="M72" s="23"/>
      <c r="N72" s="23"/>
      <c r="O72" s="23"/>
    </row>
    <row r="73" spans="3:24" outlineLevel="1">
      <c r="C73" s="28" t="s">
        <v>40</v>
      </c>
      <c r="D73" s="29" t="s">
        <v>98</v>
      </c>
      <c r="E73" s="29" t="s">
        <v>28</v>
      </c>
      <c r="F73" s="29" t="s">
        <v>36</v>
      </c>
      <c r="J73" s="130" t="str">
        <f t="shared" ref="J73:S73" si="41">IF(J64=J$4,IF(COUNTA($C66:$C71)=COUNT(J66:J71),"Ok","Check"),"")</f>
        <v/>
      </c>
      <c r="K73" s="130" t="str">
        <f t="shared" si="41"/>
        <v/>
      </c>
      <c r="L73" s="130" t="str">
        <f t="shared" si="41"/>
        <v/>
      </c>
      <c r="M73" s="130" t="str">
        <f t="shared" si="41"/>
        <v/>
      </c>
      <c r="N73" s="130" t="str">
        <f t="shared" si="41"/>
        <v/>
      </c>
      <c r="O73" s="130" t="str">
        <f t="shared" si="41"/>
        <v>Ok</v>
      </c>
      <c r="P73" s="130" t="str">
        <f t="shared" si="41"/>
        <v>Ok</v>
      </c>
      <c r="Q73" s="130" t="str">
        <f t="shared" si="41"/>
        <v>Ok</v>
      </c>
      <c r="R73" s="130" t="str">
        <f t="shared" si="41"/>
        <v>Ok</v>
      </c>
      <c r="S73" s="130" t="str">
        <f t="shared" si="41"/>
        <v>Ok</v>
      </c>
      <c r="T73" s="130" t="str">
        <f>IF(T64=T$4,IF(COUNTA($C66:$C71)=COUNT(T66:T71),"Ok","Check"),"")</f>
        <v>Ok</v>
      </c>
      <c r="U73" s="130" t="str">
        <f>IF(U64=U$4,IF(COUNTA($C66:$C71)=COUNT(U66:U71),"Ok","Check"),"")</f>
        <v/>
      </c>
      <c r="V73" s="24"/>
      <c r="X73" s="129" t="str">
        <f>IF(COUNTIF(J73:U73,"Check")=0,"Ok","Check")</f>
        <v>Ok</v>
      </c>
    </row>
    <row r="74" spans="3:24" outlineLevel="1">
      <c r="C74" s="110"/>
      <c r="G74" s="31"/>
      <c r="H74" s="31"/>
      <c r="K74" s="23"/>
      <c r="L74" s="23"/>
      <c r="M74" s="23"/>
      <c r="N74" s="23"/>
      <c r="O74" s="23"/>
    </row>
    <row r="75" spans="3:24" outlineLevel="1">
      <c r="C75" s="66" t="s">
        <v>88</v>
      </c>
      <c r="D75" s="31" t="s">
        <v>7</v>
      </c>
      <c r="E75" s="31" t="s">
        <v>8</v>
      </c>
      <c r="F75" s="31" t="s">
        <v>22</v>
      </c>
      <c r="G75" s="31"/>
      <c r="H75" s="31"/>
      <c r="J75" s="158" t="str">
        <f t="shared" ref="J75:U75" si="42">IF(YEAR(J$4)&gt;=FPFirstYear,IF(YEAR(J$4)&lt;=FPLastYear,J$4,""),"")</f>
        <v/>
      </c>
      <c r="K75" s="158" t="str">
        <f t="shared" si="42"/>
        <v/>
      </c>
      <c r="L75" s="158" t="str">
        <f t="shared" si="42"/>
        <v/>
      </c>
      <c r="M75" s="158" t="str">
        <f t="shared" si="42"/>
        <v/>
      </c>
      <c r="N75" s="158" t="str">
        <f t="shared" si="42"/>
        <v/>
      </c>
      <c r="O75" s="158" t="str">
        <f t="shared" si="42"/>
        <v/>
      </c>
      <c r="P75" s="158">
        <f t="shared" si="42"/>
        <v>45078</v>
      </c>
      <c r="Q75" s="158">
        <f t="shared" si="42"/>
        <v>45444</v>
      </c>
      <c r="R75" s="158">
        <f t="shared" si="42"/>
        <v>45809</v>
      </c>
      <c r="S75" s="158">
        <f t="shared" si="42"/>
        <v>46174</v>
      </c>
      <c r="T75" s="158">
        <f t="shared" si="42"/>
        <v>46539</v>
      </c>
      <c r="U75" s="158" t="str">
        <f t="shared" si="42"/>
        <v/>
      </c>
      <c r="V75" s="28" t="str">
        <f>IF(RIGHT(V$4,2)&gt;=RIGHT('Input|General'!$G$13,2),IF(RIGHT(V$4,2)&lt;='Input|General'!$G$14,'Input|Reported opex'!U$4,""),"")</f>
        <v/>
      </c>
    </row>
    <row r="76" spans="3:24" outlineLevel="1">
      <c r="C76" s="110"/>
      <c r="G76" s="31"/>
      <c r="H76" s="31"/>
      <c r="K76" s="23"/>
      <c r="L76" s="23"/>
      <c r="M76" s="23"/>
      <c r="N76" s="23"/>
      <c r="O76" s="23"/>
    </row>
    <row r="77" spans="3:24" outlineLevel="1">
      <c r="C77" s="146">
        <f>C66</f>
        <v>0</v>
      </c>
      <c r="D77" s="29" t="s">
        <v>98</v>
      </c>
      <c r="E77" s="29" t="s">
        <v>18</v>
      </c>
      <c r="F77" s="29" t="s">
        <v>36</v>
      </c>
      <c r="G77" s="31"/>
      <c r="H77" s="31"/>
      <c r="J77" s="116" t="str">
        <f t="shared" ref="J77:M77" si="43">IF(ISBLANK(I66),"",IF(ISBLANK(J66),"",LN(J66)-LN(I66)))</f>
        <v/>
      </c>
      <c r="K77" s="116" t="str">
        <f t="shared" si="43"/>
        <v/>
      </c>
      <c r="L77" s="116" t="str">
        <f t="shared" si="43"/>
        <v/>
      </c>
      <c r="M77" s="116" t="str">
        <f t="shared" si="43"/>
        <v/>
      </c>
      <c r="N77" s="116" t="str">
        <f>IF(ISBLANK(M66),"",IF(ISBLANK(N66),"",LN(N66)-LN(M66)))</f>
        <v/>
      </c>
      <c r="O77" s="116" t="str">
        <f t="shared" ref="O77:U77" si="44">IF(ISBLANK(N66),"",IF(ISBLANK(O66),"",LN(O66)-LN(N66)))</f>
        <v/>
      </c>
      <c r="P77" s="116" t="str">
        <f t="shared" si="44"/>
        <v/>
      </c>
      <c r="Q77" s="116" t="str">
        <f t="shared" si="44"/>
        <v/>
      </c>
      <c r="R77" s="116" t="str">
        <f t="shared" si="44"/>
        <v/>
      </c>
      <c r="S77" s="116" t="str">
        <f t="shared" si="44"/>
        <v/>
      </c>
      <c r="T77" s="116" t="str">
        <f t="shared" si="44"/>
        <v/>
      </c>
      <c r="U77" s="116" t="str">
        <f t="shared" si="44"/>
        <v/>
      </c>
    </row>
    <row r="78" spans="3:24" outlineLevel="1">
      <c r="C78" s="146">
        <f t="shared" ref="C78:C82" si="45">C67</f>
        <v>0</v>
      </c>
      <c r="D78" s="29" t="s">
        <v>98</v>
      </c>
      <c r="E78" s="29" t="s">
        <v>18</v>
      </c>
      <c r="F78" s="29" t="s">
        <v>36</v>
      </c>
      <c r="G78" s="31"/>
      <c r="H78" s="31"/>
      <c r="J78" s="116" t="str">
        <f t="shared" ref="J78:U78" si="46">IF(ISBLANK(I67),"",IF(ISBLANK(J67),"",LN(J67)-LN(I67)))</f>
        <v/>
      </c>
      <c r="K78" s="116" t="str">
        <f t="shared" si="46"/>
        <v/>
      </c>
      <c r="L78" s="116" t="str">
        <f t="shared" si="46"/>
        <v/>
      </c>
      <c r="M78" s="116" t="str">
        <f t="shared" si="46"/>
        <v/>
      </c>
      <c r="N78" s="116" t="str">
        <f t="shared" si="46"/>
        <v/>
      </c>
      <c r="O78" s="116" t="str">
        <f t="shared" si="46"/>
        <v/>
      </c>
      <c r="P78" s="116" t="str">
        <f t="shared" si="46"/>
        <v/>
      </c>
      <c r="Q78" s="116" t="str">
        <f t="shared" si="46"/>
        <v/>
      </c>
      <c r="R78" s="116" t="str">
        <f t="shared" si="46"/>
        <v/>
      </c>
      <c r="S78" s="116" t="str">
        <f t="shared" si="46"/>
        <v/>
      </c>
      <c r="T78" s="116" t="str">
        <f t="shared" si="46"/>
        <v/>
      </c>
      <c r="U78" s="116" t="str">
        <f t="shared" si="46"/>
        <v/>
      </c>
    </row>
    <row r="79" spans="3:24" outlineLevel="1">
      <c r="C79" s="146">
        <f t="shared" si="45"/>
        <v>0</v>
      </c>
      <c r="D79" s="29" t="s">
        <v>98</v>
      </c>
      <c r="E79" s="29" t="s">
        <v>18</v>
      </c>
      <c r="F79" s="29" t="s">
        <v>36</v>
      </c>
      <c r="G79" s="31"/>
      <c r="H79" s="31"/>
      <c r="J79" s="116" t="str">
        <f t="shared" ref="J79:U79" si="47">IF(ISBLANK(I68),"",IF(ISBLANK(J68),"",LN(J68)-LN(I68)))</f>
        <v/>
      </c>
      <c r="K79" s="116" t="str">
        <f t="shared" si="47"/>
        <v/>
      </c>
      <c r="L79" s="116" t="str">
        <f t="shared" si="47"/>
        <v/>
      </c>
      <c r="M79" s="116" t="str">
        <f t="shared" si="47"/>
        <v/>
      </c>
      <c r="N79" s="116" t="str">
        <f t="shared" si="47"/>
        <v/>
      </c>
      <c r="O79" s="116" t="str">
        <f t="shared" si="47"/>
        <v/>
      </c>
      <c r="P79" s="116" t="str">
        <f t="shared" si="47"/>
        <v/>
      </c>
      <c r="Q79" s="116" t="str">
        <f t="shared" si="47"/>
        <v/>
      </c>
      <c r="R79" s="116" t="str">
        <f t="shared" si="47"/>
        <v/>
      </c>
      <c r="S79" s="116" t="str">
        <f t="shared" si="47"/>
        <v/>
      </c>
      <c r="T79" s="116" t="str">
        <f t="shared" si="47"/>
        <v/>
      </c>
      <c r="U79" s="116" t="str">
        <f t="shared" si="47"/>
        <v/>
      </c>
    </row>
    <row r="80" spans="3:24" outlineLevel="1">
      <c r="C80" s="146">
        <f t="shared" si="45"/>
        <v>0</v>
      </c>
      <c r="D80" s="29" t="s">
        <v>98</v>
      </c>
      <c r="E80" s="29" t="s">
        <v>18</v>
      </c>
      <c r="F80" s="29" t="s">
        <v>36</v>
      </c>
      <c r="G80" s="31"/>
      <c r="H80" s="31"/>
      <c r="J80" s="116" t="str">
        <f t="shared" ref="J80:U80" si="48">IF(ISBLANK(I69),"",IF(ISBLANK(J69),"",LN(J69)-LN(I69)))</f>
        <v/>
      </c>
      <c r="K80" s="116" t="str">
        <f t="shared" si="48"/>
        <v/>
      </c>
      <c r="L80" s="116" t="str">
        <f t="shared" si="48"/>
        <v/>
      </c>
      <c r="M80" s="116" t="str">
        <f t="shared" si="48"/>
        <v/>
      </c>
      <c r="N80" s="116" t="str">
        <f t="shared" si="48"/>
        <v/>
      </c>
      <c r="O80" s="116" t="str">
        <f t="shared" si="48"/>
        <v/>
      </c>
      <c r="P80" s="116" t="str">
        <f t="shared" si="48"/>
        <v/>
      </c>
      <c r="Q80" s="116" t="str">
        <f t="shared" si="48"/>
        <v/>
      </c>
      <c r="R80" s="116" t="str">
        <f t="shared" si="48"/>
        <v/>
      </c>
      <c r="S80" s="116" t="str">
        <f t="shared" si="48"/>
        <v/>
      </c>
      <c r="T80" s="116" t="str">
        <f t="shared" si="48"/>
        <v/>
      </c>
      <c r="U80" s="116" t="str">
        <f t="shared" si="48"/>
        <v/>
      </c>
    </row>
    <row r="81" spans="3:24" outlineLevel="1">
      <c r="C81" s="146">
        <f t="shared" si="45"/>
        <v>0</v>
      </c>
      <c r="D81" s="29" t="s">
        <v>98</v>
      </c>
      <c r="E81" s="29" t="s">
        <v>18</v>
      </c>
      <c r="F81" s="29" t="s">
        <v>36</v>
      </c>
      <c r="G81" s="31"/>
      <c r="H81" s="31"/>
      <c r="J81" s="116" t="str">
        <f t="shared" ref="J81:T81" si="49">IF(ISBLANK(I70),"",IF(ISBLANK(J70),"",LN(J70)-LN(I70)))</f>
        <v/>
      </c>
      <c r="K81" s="116" t="str">
        <f t="shared" si="49"/>
        <v/>
      </c>
      <c r="L81" s="116" t="str">
        <f t="shared" si="49"/>
        <v/>
      </c>
      <c r="M81" s="116" t="str">
        <f t="shared" si="49"/>
        <v/>
      </c>
      <c r="N81" s="116" t="str">
        <f t="shared" si="49"/>
        <v/>
      </c>
      <c r="O81" s="116" t="str">
        <f t="shared" si="49"/>
        <v/>
      </c>
      <c r="P81" s="116" t="str">
        <f t="shared" si="49"/>
        <v/>
      </c>
      <c r="Q81" s="116" t="str">
        <f t="shared" si="49"/>
        <v/>
      </c>
      <c r="R81" s="116" t="str">
        <f t="shared" si="49"/>
        <v/>
      </c>
      <c r="S81" s="116" t="str">
        <f t="shared" si="49"/>
        <v/>
      </c>
      <c r="T81" s="116" t="str">
        <f t="shared" si="49"/>
        <v/>
      </c>
      <c r="U81" s="116"/>
    </row>
    <row r="82" spans="3:24" outlineLevel="1">
      <c r="C82" s="146">
        <f t="shared" si="45"/>
        <v>0</v>
      </c>
      <c r="D82" s="29" t="s">
        <v>98</v>
      </c>
      <c r="E82" s="29" t="s">
        <v>18</v>
      </c>
      <c r="F82" s="29" t="s">
        <v>36</v>
      </c>
      <c r="G82" s="31"/>
      <c r="H82" s="31"/>
      <c r="J82" s="116" t="str">
        <f t="shared" ref="J82:T82" si="50">IF(ISBLANK(I71),"",IF(ISBLANK(J71),"",LN(J71)-LN(I71)))</f>
        <v/>
      </c>
      <c r="K82" s="116" t="str">
        <f t="shared" si="50"/>
        <v/>
      </c>
      <c r="L82" s="116" t="str">
        <f t="shared" si="50"/>
        <v/>
      </c>
      <c r="M82" s="116" t="str">
        <f t="shared" si="50"/>
        <v/>
      </c>
      <c r="N82" s="116" t="str">
        <f t="shared" si="50"/>
        <v/>
      </c>
      <c r="O82" s="116" t="str">
        <f t="shared" si="50"/>
        <v/>
      </c>
      <c r="P82" s="116" t="str">
        <f t="shared" si="50"/>
        <v/>
      </c>
      <c r="Q82" s="116" t="str">
        <f t="shared" si="50"/>
        <v/>
      </c>
      <c r="R82" s="116" t="str">
        <f t="shared" si="50"/>
        <v/>
      </c>
      <c r="S82" s="116" t="str">
        <f t="shared" si="50"/>
        <v/>
      </c>
      <c r="T82" s="116" t="str">
        <f t="shared" si="50"/>
        <v/>
      </c>
      <c r="U82" s="116"/>
    </row>
    <row r="83" spans="3:24" outlineLevel="1">
      <c r="C83" s="110"/>
      <c r="G83" s="31"/>
      <c r="H83" s="31"/>
      <c r="K83" s="23"/>
      <c r="L83" s="23"/>
      <c r="M83" s="23"/>
      <c r="N83" s="23"/>
      <c r="O83" s="23"/>
    </row>
    <row r="84" spans="3:24" outlineLevel="1">
      <c r="C84" s="66" t="s">
        <v>169</v>
      </c>
      <c r="D84" s="31" t="s">
        <v>7</v>
      </c>
      <c r="E84" s="31" t="s">
        <v>8</v>
      </c>
      <c r="F84" s="31" t="s">
        <v>22</v>
      </c>
      <c r="G84" s="31"/>
      <c r="H84" s="125"/>
      <c r="I84" s="109"/>
      <c r="J84" s="205" t="s">
        <v>207</v>
      </c>
      <c r="K84" s="205"/>
      <c r="L84" s="205"/>
      <c r="M84" s="205"/>
      <c r="N84" s="158"/>
      <c r="O84" s="158"/>
      <c r="P84" s="158"/>
      <c r="Q84" s="158"/>
      <c r="R84" s="158"/>
      <c r="S84" s="158"/>
      <c r="T84" s="158"/>
      <c r="U84" s="158"/>
    </row>
    <row r="85" spans="3:24" outlineLevel="1">
      <c r="C85" s="110"/>
      <c r="G85" s="31"/>
      <c r="H85" s="31"/>
      <c r="K85" s="23"/>
      <c r="L85" s="23"/>
      <c r="M85" s="23"/>
      <c r="N85" s="23"/>
      <c r="O85" s="106"/>
      <c r="P85" s="106"/>
      <c r="Q85" s="106"/>
      <c r="R85" s="106"/>
      <c r="S85" s="106"/>
      <c r="T85" s="106"/>
      <c r="U85" s="106"/>
    </row>
    <row r="86" spans="3:24" outlineLevel="1">
      <c r="C86" s="146">
        <f>C66</f>
        <v>0</v>
      </c>
      <c r="D86" s="29" t="s">
        <v>101</v>
      </c>
      <c r="E86" s="29" t="s">
        <v>18</v>
      </c>
      <c r="F86" s="29" t="s">
        <v>36</v>
      </c>
      <c r="G86" s="31"/>
      <c r="H86" s="31"/>
      <c r="J86" s="59">
        <v>1</v>
      </c>
      <c r="K86" s="59"/>
      <c r="L86" s="59"/>
      <c r="M86" s="59"/>
      <c r="N86" s="184"/>
      <c r="O86" s="184"/>
      <c r="P86" s="184"/>
      <c r="Q86" s="184"/>
      <c r="R86" s="184"/>
      <c r="S86" s="184"/>
      <c r="T86" s="184"/>
      <c r="U86" s="184"/>
    </row>
    <row r="87" spans="3:24" outlineLevel="1">
      <c r="C87" s="146">
        <f t="shared" ref="C87:C91" si="51">C67</f>
        <v>0</v>
      </c>
      <c r="D87" s="29" t="s">
        <v>101</v>
      </c>
      <c r="E87" s="29" t="s">
        <v>18</v>
      </c>
      <c r="F87" s="29" t="s">
        <v>36</v>
      </c>
      <c r="G87" s="31"/>
      <c r="H87" s="31"/>
      <c r="J87" s="59"/>
      <c r="K87" s="59"/>
      <c r="L87" s="59"/>
      <c r="M87" s="59"/>
      <c r="N87" s="184"/>
      <c r="O87" s="184"/>
      <c r="P87" s="184"/>
      <c r="Q87" s="184"/>
      <c r="R87" s="184"/>
      <c r="S87" s="184"/>
      <c r="T87" s="184"/>
      <c r="U87" s="184"/>
    </row>
    <row r="88" spans="3:24" outlineLevel="1">
      <c r="C88" s="146">
        <f t="shared" si="51"/>
        <v>0</v>
      </c>
      <c r="D88" s="29" t="s">
        <v>101</v>
      </c>
      <c r="E88" s="29" t="s">
        <v>18</v>
      </c>
      <c r="F88" s="29" t="s">
        <v>36</v>
      </c>
      <c r="G88" s="31"/>
      <c r="H88" s="31"/>
      <c r="J88" s="59"/>
      <c r="K88" s="59"/>
      <c r="L88" s="59"/>
      <c r="M88" s="59"/>
      <c r="N88" s="184"/>
      <c r="O88" s="184"/>
      <c r="P88" s="184"/>
      <c r="Q88" s="184"/>
      <c r="R88" s="184"/>
      <c r="S88" s="184"/>
      <c r="T88" s="184"/>
      <c r="U88" s="184"/>
    </row>
    <row r="89" spans="3:24" outlineLevel="1">
      <c r="C89" s="146">
        <f t="shared" si="51"/>
        <v>0</v>
      </c>
      <c r="D89" s="29" t="s">
        <v>101</v>
      </c>
      <c r="E89" s="29" t="s">
        <v>18</v>
      </c>
      <c r="F89" s="29" t="s">
        <v>36</v>
      </c>
      <c r="G89" s="31"/>
      <c r="H89" s="31"/>
      <c r="J89" s="59"/>
      <c r="K89" s="60"/>
      <c r="L89" s="60"/>
      <c r="M89" s="59"/>
      <c r="N89" s="184"/>
      <c r="O89" s="184"/>
      <c r="P89" s="184"/>
      <c r="Q89" s="184"/>
      <c r="R89" s="184"/>
      <c r="S89" s="184"/>
      <c r="T89" s="184"/>
      <c r="U89" s="184"/>
    </row>
    <row r="90" spans="3:24" outlineLevel="1">
      <c r="C90" s="146">
        <f t="shared" si="51"/>
        <v>0</v>
      </c>
      <c r="D90" s="29" t="s">
        <v>101</v>
      </c>
      <c r="E90" s="29" t="s">
        <v>18</v>
      </c>
      <c r="F90" s="29" t="s">
        <v>36</v>
      </c>
      <c r="G90" s="31"/>
      <c r="H90" s="31"/>
      <c r="J90" s="60"/>
      <c r="K90" s="60"/>
      <c r="L90" s="60"/>
      <c r="M90" s="60"/>
      <c r="N90" s="184"/>
      <c r="O90" s="184"/>
      <c r="P90" s="184"/>
      <c r="Q90" s="184"/>
      <c r="R90" s="184"/>
      <c r="S90" s="184"/>
      <c r="T90" s="184"/>
      <c r="U90" s="184"/>
    </row>
    <row r="91" spans="3:24" outlineLevel="1">
      <c r="C91" s="146">
        <f t="shared" si="51"/>
        <v>0</v>
      </c>
      <c r="D91" s="29" t="s">
        <v>101</v>
      </c>
      <c r="E91" s="29" t="s">
        <v>18</v>
      </c>
      <c r="F91" s="29" t="s">
        <v>36</v>
      </c>
      <c r="G91" s="31"/>
      <c r="H91" s="31"/>
      <c r="J91" s="60"/>
      <c r="K91" s="60"/>
      <c r="L91" s="60"/>
      <c r="M91" s="60"/>
      <c r="N91" s="184"/>
      <c r="O91" s="184"/>
      <c r="P91" s="184"/>
      <c r="Q91" s="184"/>
      <c r="R91" s="184"/>
      <c r="S91" s="184"/>
      <c r="T91" s="184"/>
      <c r="U91" s="184"/>
    </row>
    <row r="92" spans="3:24" outlineLevel="1">
      <c r="G92" s="31"/>
      <c r="H92" s="31"/>
    </row>
    <row r="93" spans="3:24" outlineLevel="1">
      <c r="C93" s="28" t="s">
        <v>40</v>
      </c>
      <c r="D93" s="29" t="s">
        <v>98</v>
      </c>
      <c r="E93" s="29" t="s">
        <v>28</v>
      </c>
      <c r="F93" s="29" t="s">
        <v>36</v>
      </c>
      <c r="J93" s="130" t="str">
        <f t="array" ref="J93">IF(ISBLANK(J84),IF(ISBLANK(J86:J91),"Ok","Check"),IF(SUM(J86:J91)=1,"Ok","Check"))</f>
        <v>Ok</v>
      </c>
      <c r="K93" s="130" t="str">
        <f t="array" ref="K93">IF(ISBLANK(K84),IF(ISBLANK(K86:K91),"Ok","Check"),IF(SUM(K86:K91)=1,"Ok","Check"))</f>
        <v>Ok</v>
      </c>
      <c r="L93" s="130" t="str">
        <f t="array" ref="L93">IF(ISBLANK(L84),IF(ISBLANK(L86:L91),"Ok","Check"),IF(SUM(L86:L91)=1,"Ok","Check"))</f>
        <v>Ok</v>
      </c>
      <c r="M93" s="130" t="str">
        <f t="array" ref="M93">IF(ISBLANK(M84),IF(ISBLANK(M86:M91),"Ok","Check"),IF(SUM(M86:M91)=1,"Ok","Check"))</f>
        <v>Ok</v>
      </c>
      <c r="N93" s="130" t="str">
        <f t="array" ref="N93">IF(ISBLANK(N86:N91),"",IF(SUM(N86:N91)=1,"Ok","Check"))</f>
        <v/>
      </c>
      <c r="O93" s="130" t="str">
        <f t="array" ref="O93">IF(ISBLANK(O86:O91),"",IF(SUM(O86:O91)=1,"Ok","Check"))</f>
        <v/>
      </c>
      <c r="P93" s="130" t="str">
        <f t="array" ref="P93">IF(ISBLANK(P86:P91),"",IF(SUM(P86:P91)=1,"Ok","Check"))</f>
        <v/>
      </c>
      <c r="Q93" s="130" t="str">
        <f t="array" ref="Q93">IF(ISBLANK(Q86:Q91),"",IF(SUM(Q86:Q91)=1,"Ok","Check"))</f>
        <v/>
      </c>
      <c r="R93" s="130" t="str">
        <f t="array" ref="R93">IF(ISBLANK(R86:R91),"",IF(SUM(R86:R91)=1,"Ok","Check"))</f>
        <v/>
      </c>
      <c r="S93" s="130" t="str">
        <f t="array" ref="S93">IF(ISBLANK(S86:S91),"",IF(SUM(S86:S91)=1,"Ok","Check"))</f>
        <v/>
      </c>
      <c r="T93" s="130" t="str">
        <f t="array" ref="T93">IF(ISBLANK(T86:T91),"",IF(SUM(T86:T91)=1,"Ok","Check"))</f>
        <v/>
      </c>
      <c r="U93" s="130"/>
      <c r="V93" s="24"/>
      <c r="X93" s="129" t="str">
        <f>IF(COUNTIF(K93:T93,"Check")=0,"Ok","Check")</f>
        <v>Ok</v>
      </c>
    </row>
    <row r="94" spans="3:24" outlineLevel="1"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24"/>
      <c r="X94" s="130"/>
    </row>
    <row r="95" spans="3:24" outlineLevel="1">
      <c r="C95" s="66" t="s">
        <v>170</v>
      </c>
      <c r="D95" s="31" t="s">
        <v>7</v>
      </c>
      <c r="E95" s="31" t="s">
        <v>8</v>
      </c>
      <c r="F95" s="31" t="s">
        <v>22</v>
      </c>
      <c r="J95" s="158" t="str">
        <f t="shared" ref="J95:U95" si="52">IF(YEAR(J$4)&gt;=FPFirstYear,IF(YEAR(J$4)&lt;=FPLastYear,J$4,""),"")</f>
        <v/>
      </c>
      <c r="K95" s="158" t="str">
        <f t="shared" si="52"/>
        <v/>
      </c>
      <c r="L95" s="158" t="str">
        <f t="shared" si="52"/>
        <v/>
      </c>
      <c r="M95" s="158" t="str">
        <f t="shared" si="52"/>
        <v/>
      </c>
      <c r="N95" s="158" t="str">
        <f t="shared" si="52"/>
        <v/>
      </c>
      <c r="O95" s="158" t="str">
        <f t="shared" si="52"/>
        <v/>
      </c>
      <c r="P95" s="158">
        <f t="shared" si="52"/>
        <v>45078</v>
      </c>
      <c r="Q95" s="158">
        <f t="shared" si="52"/>
        <v>45444</v>
      </c>
      <c r="R95" s="158">
        <f t="shared" si="52"/>
        <v>45809</v>
      </c>
      <c r="S95" s="158">
        <f t="shared" si="52"/>
        <v>46174</v>
      </c>
      <c r="T95" s="158">
        <f t="shared" si="52"/>
        <v>46539</v>
      </c>
      <c r="U95" s="158" t="str">
        <f t="shared" si="52"/>
        <v/>
      </c>
      <c r="V95" s="24"/>
      <c r="X95" s="130"/>
    </row>
    <row r="96" spans="3:24" outlineLevel="1"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24"/>
      <c r="X96" s="130"/>
    </row>
    <row r="97" spans="1:51" outlineLevel="1">
      <c r="C97" s="146" t="str">
        <f t="array" ref="C97:C100">TRANSPOSE(J84:M84)</f>
        <v>No growth</v>
      </c>
      <c r="D97" s="29" t="s">
        <v>98</v>
      </c>
      <c r="E97" s="29" t="s">
        <v>18</v>
      </c>
      <c r="F97" s="29" t="s">
        <v>36</v>
      </c>
      <c r="J97" s="116" t="str">
        <f t="shared" ref="J97:S97" si="53">IF(J$95=J$4,SUMPRODUCT(J$77:J$82,$J$86:$J$91),"")</f>
        <v/>
      </c>
      <c r="K97" s="116" t="str">
        <f t="shared" si="53"/>
        <v/>
      </c>
      <c r="L97" s="116" t="str">
        <f t="shared" si="53"/>
        <v/>
      </c>
      <c r="M97" s="116" t="str">
        <f t="shared" si="53"/>
        <v/>
      </c>
      <c r="N97" s="116" t="str">
        <f t="shared" si="53"/>
        <v/>
      </c>
      <c r="O97" s="116" t="str">
        <f t="shared" si="53"/>
        <v/>
      </c>
      <c r="P97" s="116">
        <f t="shared" si="53"/>
        <v>0</v>
      </c>
      <c r="Q97" s="116">
        <f t="shared" si="53"/>
        <v>0</v>
      </c>
      <c r="R97" s="116">
        <f t="shared" si="53"/>
        <v>0</v>
      </c>
      <c r="S97" s="116">
        <f t="shared" si="53"/>
        <v>0</v>
      </c>
      <c r="T97" s="116">
        <f>IF(T$95=T$4,SUMPRODUCT(T$77:T$82,$J$86:$J$91),"")</f>
        <v>0</v>
      </c>
      <c r="U97" s="116" t="str">
        <f>IF(U$95=U$4,SUMPRODUCT(U$77:U$82,$J$86:$J$91),"")</f>
        <v/>
      </c>
      <c r="V97" s="24"/>
      <c r="X97" s="130"/>
    </row>
    <row r="98" spans="1:51" outlineLevel="1">
      <c r="C98" s="146">
        <v>0</v>
      </c>
      <c r="D98" s="29" t="s">
        <v>98</v>
      </c>
      <c r="E98" s="29" t="s">
        <v>18</v>
      </c>
      <c r="F98" s="29" t="s">
        <v>36</v>
      </c>
      <c r="J98" s="116" t="str">
        <f t="shared" ref="J98:S98" si="54">IF(J$95=J$4,SUMPRODUCT(J$77:J$82,$K$86:$K$91),"")</f>
        <v/>
      </c>
      <c r="K98" s="116" t="str">
        <f t="shared" si="54"/>
        <v/>
      </c>
      <c r="L98" s="116" t="str">
        <f t="shared" si="54"/>
        <v/>
      </c>
      <c r="M98" s="116" t="str">
        <f t="shared" si="54"/>
        <v/>
      </c>
      <c r="N98" s="116" t="str">
        <f t="shared" si="54"/>
        <v/>
      </c>
      <c r="O98" s="116" t="str">
        <f t="shared" si="54"/>
        <v/>
      </c>
      <c r="P98" s="116">
        <f t="shared" si="54"/>
        <v>0</v>
      </c>
      <c r="Q98" s="116">
        <f t="shared" si="54"/>
        <v>0</v>
      </c>
      <c r="R98" s="116">
        <f t="shared" si="54"/>
        <v>0</v>
      </c>
      <c r="S98" s="116">
        <f t="shared" si="54"/>
        <v>0</v>
      </c>
      <c r="T98" s="116">
        <f>IF(T$95=T$4,SUMPRODUCT(T$77:T$82,$K$86:$K$91),"")</f>
        <v>0</v>
      </c>
      <c r="U98" s="116" t="str">
        <f>IF(U$95=U$4,SUMPRODUCT(U$77:U$82,$K$86:$K$91),"")</f>
        <v/>
      </c>
      <c r="V98" s="24"/>
      <c r="X98" s="130"/>
    </row>
    <row r="99" spans="1:51" outlineLevel="1">
      <c r="C99" s="146">
        <v>0</v>
      </c>
      <c r="D99" s="29" t="s">
        <v>98</v>
      </c>
      <c r="E99" s="29" t="s">
        <v>18</v>
      </c>
      <c r="F99" s="29" t="s">
        <v>36</v>
      </c>
      <c r="J99" s="116" t="str">
        <f t="shared" ref="J99:S99" si="55">IF(J$95=J$4,SUMPRODUCT(J$77:J$82,$L$86:$L$91),"")</f>
        <v/>
      </c>
      <c r="K99" s="116" t="str">
        <f t="shared" si="55"/>
        <v/>
      </c>
      <c r="L99" s="116" t="str">
        <f t="shared" si="55"/>
        <v/>
      </c>
      <c r="M99" s="116" t="str">
        <f t="shared" si="55"/>
        <v/>
      </c>
      <c r="N99" s="116" t="str">
        <f t="shared" si="55"/>
        <v/>
      </c>
      <c r="O99" s="116" t="str">
        <f t="shared" si="55"/>
        <v/>
      </c>
      <c r="P99" s="116">
        <f t="shared" si="55"/>
        <v>0</v>
      </c>
      <c r="Q99" s="116">
        <f t="shared" si="55"/>
        <v>0</v>
      </c>
      <c r="R99" s="116">
        <f t="shared" si="55"/>
        <v>0</v>
      </c>
      <c r="S99" s="116">
        <f t="shared" si="55"/>
        <v>0</v>
      </c>
      <c r="T99" s="116">
        <f>IF(T$95=T$4,SUMPRODUCT(T$77:T$82,$L$86:$L$91),"")</f>
        <v>0</v>
      </c>
      <c r="U99" s="116" t="str">
        <f>IF(U$95=U$4,SUMPRODUCT(U$77:U$82,$L$86:$L$91),"")</f>
        <v/>
      </c>
      <c r="V99" s="24"/>
      <c r="X99" s="130"/>
    </row>
    <row r="100" spans="1:51" outlineLevel="1">
      <c r="C100" s="146">
        <v>0</v>
      </c>
      <c r="D100" s="29" t="s">
        <v>98</v>
      </c>
      <c r="E100" s="29" t="s">
        <v>18</v>
      </c>
      <c r="F100" s="29" t="s">
        <v>36</v>
      </c>
      <c r="J100" s="116" t="str">
        <f t="shared" ref="J100:S100" si="56">IF(J$95=J$4,SUMPRODUCT(J$77:J$82,$M$86:$M$91),"")</f>
        <v/>
      </c>
      <c r="K100" s="116" t="str">
        <f t="shared" si="56"/>
        <v/>
      </c>
      <c r="L100" s="116" t="str">
        <f t="shared" si="56"/>
        <v/>
      </c>
      <c r="M100" s="116" t="str">
        <f t="shared" si="56"/>
        <v/>
      </c>
      <c r="N100" s="116" t="str">
        <f t="shared" si="56"/>
        <v/>
      </c>
      <c r="O100" s="116" t="str">
        <f t="shared" si="56"/>
        <v/>
      </c>
      <c r="P100" s="116">
        <f t="shared" si="56"/>
        <v>0</v>
      </c>
      <c r="Q100" s="116">
        <f t="shared" si="56"/>
        <v>0</v>
      </c>
      <c r="R100" s="116">
        <f t="shared" si="56"/>
        <v>0</v>
      </c>
      <c r="S100" s="116">
        <f t="shared" si="56"/>
        <v>0</v>
      </c>
      <c r="T100" s="116">
        <f>IF(T$95=T$4,SUMPRODUCT(T$77:T$82,$M$86:$M$91),"")</f>
        <v>0</v>
      </c>
      <c r="U100" s="116" t="str">
        <f>IF(U$95=U$4,SUMPRODUCT(U$77:U$82,$M$86:$M$91),"")</f>
        <v/>
      </c>
      <c r="V100" s="24"/>
      <c r="X100" s="130"/>
    </row>
    <row r="101" spans="1:51" outlineLevel="1">
      <c r="C101" s="110"/>
      <c r="G101" s="31"/>
      <c r="H101" s="31"/>
      <c r="K101" s="23"/>
      <c r="L101" s="23"/>
      <c r="M101" s="23"/>
      <c r="N101" s="23"/>
      <c r="O101" s="23"/>
    </row>
    <row r="102" spans="1:51" s="102" customFormat="1" ht="12.75">
      <c r="A102" s="93"/>
      <c r="B102" s="94" t="s">
        <v>78</v>
      </c>
      <c r="C102" s="93"/>
      <c r="D102" s="93"/>
      <c r="E102" s="93"/>
      <c r="F102" s="95"/>
      <c r="G102" s="95"/>
      <c r="H102" s="95"/>
      <c r="I102" s="95"/>
      <c r="J102" s="95"/>
      <c r="K102" s="96"/>
      <c r="L102" s="97"/>
      <c r="M102" s="96"/>
      <c r="N102" s="97"/>
      <c r="O102" s="96"/>
      <c r="P102" s="96"/>
      <c r="Q102" s="96"/>
      <c r="R102" s="96"/>
      <c r="S102" s="96"/>
      <c r="T102" s="96"/>
      <c r="U102" s="96"/>
      <c r="V102" s="96"/>
      <c r="W102" s="96"/>
      <c r="X102" s="97"/>
      <c r="Y102" s="98"/>
      <c r="Z102" s="98"/>
      <c r="AA102" s="98"/>
      <c r="AB102" s="98"/>
      <c r="AC102" s="98"/>
      <c r="AD102" s="98"/>
      <c r="AE102" s="98"/>
      <c r="AF102" s="99"/>
      <c r="AG102" s="100"/>
      <c r="AH102" s="100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</row>
    <row r="103" spans="1:51" outlineLevel="1">
      <c r="G103" s="31"/>
      <c r="H103" s="31"/>
    </row>
    <row r="104" spans="1:51" outlineLevel="1">
      <c r="C104" s="66" t="s">
        <v>48</v>
      </c>
      <c r="D104" s="31" t="s">
        <v>7</v>
      </c>
      <c r="E104" s="31" t="s">
        <v>8</v>
      </c>
      <c r="F104" s="31" t="s">
        <v>22</v>
      </c>
      <c r="G104" s="31"/>
      <c r="H104" s="31"/>
      <c r="J104" s="158" t="str">
        <f t="shared" ref="J104:U104" si="57">IF(YEAR(J$4)&gt;=FPFirstYear,IF(YEAR(J$4)&lt;=FPLastYear,J$4,""),"")</f>
        <v/>
      </c>
      <c r="K104" s="158" t="str">
        <f t="shared" si="57"/>
        <v/>
      </c>
      <c r="L104" s="158" t="str">
        <f t="shared" si="57"/>
        <v/>
      </c>
      <c r="M104" s="158" t="str">
        <f t="shared" si="57"/>
        <v/>
      </c>
      <c r="N104" s="158" t="str">
        <f t="shared" si="57"/>
        <v/>
      </c>
      <c r="O104" s="158" t="str">
        <f t="shared" si="57"/>
        <v/>
      </c>
      <c r="P104" s="158">
        <f t="shared" si="57"/>
        <v>45078</v>
      </c>
      <c r="Q104" s="158">
        <f t="shared" si="57"/>
        <v>45444</v>
      </c>
      <c r="R104" s="158">
        <f t="shared" si="57"/>
        <v>45809</v>
      </c>
      <c r="S104" s="158">
        <f t="shared" si="57"/>
        <v>46174</v>
      </c>
      <c r="T104" s="158">
        <f t="shared" si="57"/>
        <v>46539</v>
      </c>
      <c r="U104" s="158" t="str">
        <f t="shared" si="57"/>
        <v/>
      </c>
    </row>
    <row r="105" spans="1:51" outlineLevel="1">
      <c r="C105" s="110"/>
      <c r="G105" s="31"/>
      <c r="H105" s="31"/>
      <c r="K105" s="23"/>
      <c r="L105" s="23"/>
      <c r="M105" s="23"/>
      <c r="N105" s="23"/>
      <c r="O105" s="23"/>
    </row>
    <row r="106" spans="1:51" outlineLevel="1">
      <c r="C106" s="110" t="s">
        <v>48</v>
      </c>
      <c r="D106" s="29" t="s">
        <v>101</v>
      </c>
      <c r="E106" s="29" t="str">
        <f>percent</f>
        <v>Per cent</v>
      </c>
      <c r="F106" s="29" t="s">
        <v>36</v>
      </c>
      <c r="G106" s="31"/>
      <c r="H106" s="31"/>
      <c r="J106" s="194"/>
      <c r="K106" s="185"/>
      <c r="L106" s="185"/>
      <c r="M106" s="185"/>
      <c r="N106" s="185"/>
      <c r="O106" s="164"/>
      <c r="P106" s="164">
        <v>5.0000000000000001E-3</v>
      </c>
      <c r="Q106" s="164">
        <f>$P$106</f>
        <v>5.0000000000000001E-3</v>
      </c>
      <c r="R106" s="164">
        <f t="shared" ref="R106:T106" si="58">$P$106</f>
        <v>5.0000000000000001E-3</v>
      </c>
      <c r="S106" s="164">
        <f t="shared" si="58"/>
        <v>5.0000000000000001E-3</v>
      </c>
      <c r="T106" s="164">
        <f t="shared" si="58"/>
        <v>5.0000000000000001E-3</v>
      </c>
      <c r="U106" s="164"/>
    </row>
    <row r="107" spans="1:51" outlineLevel="1">
      <c r="C107" s="110"/>
      <c r="G107" s="31"/>
      <c r="H107" s="31"/>
      <c r="J107" s="163"/>
      <c r="K107" s="23"/>
      <c r="L107" s="23"/>
      <c r="M107" s="23"/>
      <c r="N107" s="23"/>
      <c r="O107" s="23"/>
      <c r="P107" s="183"/>
      <c r="Q107" s="183"/>
      <c r="R107" s="183"/>
      <c r="S107" s="183"/>
      <c r="T107" s="183"/>
      <c r="U107" s="183"/>
    </row>
    <row r="108" spans="1:51" outlineLevel="1">
      <c r="C108" s="28" t="s">
        <v>40</v>
      </c>
      <c r="D108" s="29" t="s">
        <v>98</v>
      </c>
      <c r="E108" s="29" t="s">
        <v>28</v>
      </c>
      <c r="F108" s="29" t="s">
        <v>36</v>
      </c>
      <c r="J108" s="130" t="str">
        <f t="shared" ref="J108:S108" si="59">IF(J104=J$4,IF(ISBLANK(J106),"Check","Ok"),"")</f>
        <v/>
      </c>
      <c r="K108" s="130" t="str">
        <f t="shared" si="59"/>
        <v/>
      </c>
      <c r="L108" s="130" t="str">
        <f t="shared" si="59"/>
        <v/>
      </c>
      <c r="M108" s="130" t="str">
        <f t="shared" si="59"/>
        <v/>
      </c>
      <c r="N108" s="130" t="str">
        <f t="shared" si="59"/>
        <v/>
      </c>
      <c r="O108" s="130" t="str">
        <f t="shared" si="59"/>
        <v/>
      </c>
      <c r="P108" s="130" t="str">
        <f t="shared" si="59"/>
        <v>Ok</v>
      </c>
      <c r="Q108" s="130" t="str">
        <f t="shared" si="59"/>
        <v>Ok</v>
      </c>
      <c r="R108" s="130" t="str">
        <f t="shared" si="59"/>
        <v>Ok</v>
      </c>
      <c r="S108" s="130" t="str">
        <f t="shared" si="59"/>
        <v>Ok</v>
      </c>
      <c r="T108" s="130" t="str">
        <f>IF(T104=T$4,IF(ISBLANK(T106),"Check","Ok"),"")</f>
        <v>Ok</v>
      </c>
      <c r="U108" s="130" t="str">
        <f>IF(U104=U$4,IF(ISBLANK(U106),"Check","Ok"),"")</f>
        <v/>
      </c>
      <c r="V108" s="24"/>
      <c r="X108" s="129" t="str">
        <f>IF(COUNTIF(J108:T108,"Check")=0,"Ok","Check")</f>
        <v>Ok</v>
      </c>
    </row>
    <row r="109" spans="1:51" outlineLevel="1">
      <c r="C109" s="110"/>
      <c r="G109" s="31"/>
      <c r="H109" s="31"/>
      <c r="K109" s="23"/>
      <c r="L109" s="23"/>
      <c r="M109" s="23"/>
      <c r="N109" s="23"/>
      <c r="O109" s="23"/>
    </row>
    <row r="110" spans="1:51" s="102" customFormat="1" ht="12.75">
      <c r="A110" s="93"/>
      <c r="B110" s="94" t="s">
        <v>21</v>
      </c>
      <c r="C110" s="93"/>
      <c r="D110" s="93"/>
      <c r="E110" s="93"/>
      <c r="F110" s="95"/>
      <c r="G110" s="95"/>
      <c r="H110" s="95"/>
      <c r="I110" s="95"/>
      <c r="J110" s="95"/>
      <c r="K110" s="96"/>
      <c r="L110" s="97"/>
      <c r="M110" s="96"/>
      <c r="N110" s="97"/>
      <c r="O110" s="96"/>
      <c r="P110" s="96"/>
      <c r="Q110" s="96"/>
      <c r="R110" s="96"/>
      <c r="S110" s="96"/>
      <c r="T110" s="96"/>
      <c r="U110" s="96"/>
      <c r="V110" s="96"/>
      <c r="W110" s="96"/>
      <c r="X110" s="97"/>
      <c r="Y110" s="98"/>
      <c r="Z110" s="98"/>
      <c r="AA110" s="98"/>
      <c r="AB110" s="98"/>
      <c r="AC110" s="98"/>
      <c r="AD110" s="98"/>
      <c r="AE110" s="98"/>
      <c r="AF110" s="99"/>
      <c r="AG110" s="100"/>
      <c r="AH110" s="100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</row>
  </sheetData>
  <mergeCells count="2">
    <mergeCell ref="K3:M3"/>
    <mergeCell ref="O3:T3"/>
  </mergeCells>
  <conditionalFormatting sqref="X1">
    <cfRule type="cellIs" dxfId="150" priority="113" operator="equal">
      <formula>"Check"</formula>
    </cfRule>
    <cfRule type="cellIs" dxfId="149" priority="114" operator="equal">
      <formula>"Ok"</formula>
    </cfRule>
  </conditionalFormatting>
  <conditionalFormatting sqref="T1:U1">
    <cfRule type="cellIs" dxfId="148" priority="77" operator="equal">
      <formula>"Check"</formula>
    </cfRule>
    <cfRule type="cellIs" dxfId="147" priority="78" operator="equal">
      <formula>"Ok"</formula>
    </cfRule>
  </conditionalFormatting>
  <conditionalFormatting sqref="X60">
    <cfRule type="cellIs" dxfId="146" priority="65" operator="equal">
      <formula>"Check"</formula>
    </cfRule>
    <cfRule type="cellIs" dxfId="145" priority="66" operator="equal">
      <formula>"Ok"</formula>
    </cfRule>
  </conditionalFormatting>
  <conditionalFormatting sqref="J60:U60">
    <cfRule type="cellIs" dxfId="144" priority="57" operator="equal">
      <formula>"Check"</formula>
    </cfRule>
    <cfRule type="cellIs" dxfId="143" priority="58" operator="equal">
      <formula>"Ok"</formula>
    </cfRule>
  </conditionalFormatting>
  <conditionalFormatting sqref="J36:U36">
    <cfRule type="expression" dxfId="142" priority="48">
      <formula>J$36=J$4</formula>
    </cfRule>
  </conditionalFormatting>
  <conditionalFormatting sqref="J38:T38 J39:O42 U41:U42 J43:U45">
    <cfRule type="expression" dxfId="141" priority="46">
      <formula>J$36=J$4</formula>
    </cfRule>
  </conditionalFormatting>
  <conditionalFormatting sqref="J51:T58">
    <cfRule type="expression" dxfId="140" priority="45">
      <formula>J$49=J$4</formula>
    </cfRule>
  </conditionalFormatting>
  <conditionalFormatting sqref="X108">
    <cfRule type="cellIs" dxfId="139" priority="39" operator="equal">
      <formula>"Check"</formula>
    </cfRule>
    <cfRule type="cellIs" dxfId="138" priority="40" operator="equal">
      <formula>"Ok"</formula>
    </cfRule>
  </conditionalFormatting>
  <conditionalFormatting sqref="J108:U108">
    <cfRule type="cellIs" dxfId="137" priority="37" operator="equal">
      <formula>"Check"</formula>
    </cfRule>
    <cfRule type="cellIs" dxfId="136" priority="38" operator="equal">
      <formula>"Ok"</formula>
    </cfRule>
  </conditionalFormatting>
  <conditionalFormatting sqref="X47">
    <cfRule type="cellIs" dxfId="135" priority="35" operator="equal">
      <formula>"Check"</formula>
    </cfRule>
    <cfRule type="cellIs" dxfId="134" priority="36" operator="equal">
      <formula>"Ok"</formula>
    </cfRule>
  </conditionalFormatting>
  <conditionalFormatting sqref="J47:U47">
    <cfRule type="cellIs" dxfId="133" priority="33" operator="equal">
      <formula>"Check"</formula>
    </cfRule>
    <cfRule type="cellIs" dxfId="132" priority="34" operator="equal">
      <formula>"Ok"</formula>
    </cfRule>
  </conditionalFormatting>
  <conditionalFormatting sqref="X73">
    <cfRule type="cellIs" dxfId="131" priority="31" operator="equal">
      <formula>"Check"</formula>
    </cfRule>
    <cfRule type="cellIs" dxfId="130" priority="32" operator="equal">
      <formula>"Ok"</formula>
    </cfRule>
  </conditionalFormatting>
  <conditionalFormatting sqref="J73:U73">
    <cfRule type="cellIs" dxfId="129" priority="29" operator="equal">
      <formula>"Check"</formula>
    </cfRule>
    <cfRule type="cellIs" dxfId="128" priority="30" operator="equal">
      <formula>"Ok"</formula>
    </cfRule>
  </conditionalFormatting>
  <conditionalFormatting sqref="J64:U64">
    <cfRule type="expression" dxfId="127" priority="23">
      <formula>J$64=J$4</formula>
    </cfRule>
  </conditionalFormatting>
  <conditionalFormatting sqref="J66:U71">
    <cfRule type="expression" dxfId="126" priority="21">
      <formula>J$64=J$4</formula>
    </cfRule>
  </conditionalFormatting>
  <conditionalFormatting sqref="J49:U49">
    <cfRule type="expression" dxfId="125" priority="18">
      <formula>J$36=J$4</formula>
    </cfRule>
  </conditionalFormatting>
  <conditionalFormatting sqref="J75:U75">
    <cfRule type="expression" dxfId="124" priority="17">
      <formula>J$36=J$4</formula>
    </cfRule>
  </conditionalFormatting>
  <conditionalFormatting sqref="J104:U104">
    <cfRule type="expression" dxfId="123" priority="16">
      <formula>J$36=J$4</formula>
    </cfRule>
  </conditionalFormatting>
  <conditionalFormatting sqref="J26:U32">
    <cfRule type="cellIs" dxfId="122" priority="14" operator="equal">
      <formula>0</formula>
    </cfRule>
  </conditionalFormatting>
  <conditionalFormatting sqref="J16:U22">
    <cfRule type="cellIs" dxfId="121" priority="13" operator="equal">
      <formula>0</formula>
    </cfRule>
  </conditionalFormatting>
  <conditionalFormatting sqref="X93:X100">
    <cfRule type="cellIs" dxfId="120" priority="9" operator="equal">
      <formula>"Check"</formula>
    </cfRule>
    <cfRule type="cellIs" dxfId="119" priority="10" operator="equal">
      <formula>"Ok"</formula>
    </cfRule>
  </conditionalFormatting>
  <conditionalFormatting sqref="K90:M91">
    <cfRule type="expression" dxfId="118" priority="8">
      <formula>K$84=K$4</formula>
    </cfRule>
  </conditionalFormatting>
  <conditionalFormatting sqref="J96:U96 J93:U94">
    <cfRule type="cellIs" dxfId="117" priority="6" operator="equal">
      <formula>"Check"</formula>
    </cfRule>
    <cfRule type="cellIs" dxfId="116" priority="7" operator="equal">
      <formula>"Ok"</formula>
    </cfRule>
  </conditionalFormatting>
  <conditionalFormatting sqref="J95:U95">
    <cfRule type="expression" dxfId="115" priority="5">
      <formula>J$95=J$4</formula>
    </cfRule>
  </conditionalFormatting>
  <conditionalFormatting sqref="J106:U106">
    <cfRule type="expression" dxfId="114" priority="118">
      <formula>J$104=J$4</formula>
    </cfRule>
  </conditionalFormatting>
  <conditionalFormatting sqref="K88:M89 L86:M87">
    <cfRule type="expression" dxfId="113" priority="4">
      <formula>K$84=K$4</formula>
    </cfRule>
  </conditionalFormatting>
  <conditionalFormatting sqref="U51:U58">
    <cfRule type="expression" dxfId="112" priority="2">
      <formula>U$49=U$4</formula>
    </cfRule>
  </conditionalFormatting>
  <conditionalFormatting sqref="P39:T42">
    <cfRule type="expression" dxfId="111" priority="1">
      <formula>P$36=P$4</formula>
    </cfRule>
  </conditionalFormatting>
  <dataValidations count="2">
    <dataValidation type="list" allowBlank="1" showInputMessage="1" showErrorMessage="1" sqref="F109 F74 F101" xr:uid="{00000000-0002-0000-0500-000000000000}">
      <formula1>#REF!</formula1>
    </dataValidation>
    <dataValidation type="list" allowBlank="1" showInputMessage="1" showErrorMessage="1" sqref="F85 F83" xr:uid="{00000000-0002-0000-0500-000001000000}">
      <formula1>#REF!</formula1>
    </dataValidation>
  </dataValidations>
  <hyperlinks>
    <hyperlink ref="K1" location="Index!A1" display="Back to Index" xr:uid="{00000000-0004-0000-0500-000000000000}"/>
    <hyperlink ref="W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="115" zoomScaleNormal="115" workbookViewId="0">
      <selection activeCell="L38" sqref="L38"/>
    </sheetView>
  </sheetViews>
  <sheetFormatPr defaultColWidth="0" defaultRowHeight="11.25" zeroHeight="1" outlineLevelRow="1"/>
  <cols>
    <col min="1" max="2" width="1.5" style="28" customWidth="1"/>
    <col min="3" max="3" width="48" style="28" bestFit="1" customWidth="1"/>
    <col min="4" max="4" width="27.6640625" style="29" customWidth="1"/>
    <col min="5" max="5" width="15.83203125" style="29" customWidth="1"/>
    <col min="6" max="6" width="10.6640625" style="29" customWidth="1"/>
    <col min="7" max="9" width="3.33203125" style="29" customWidth="1"/>
    <col min="10" max="23" width="10.83203125" style="28" customWidth="1"/>
    <col min="24" max="47" width="10.5" style="28" hidden="1" customWidth="1"/>
    <col min="48" max="16384" width="0" style="28" hidden="1"/>
  </cols>
  <sheetData>
    <row r="1" spans="1:47" s="68" customFormat="1" ht="15.75">
      <c r="B1" s="69" t="str">
        <f>Index!$B$1</f>
        <v>AER opex model v2.0</v>
      </c>
      <c r="C1" s="69"/>
      <c r="D1" s="69"/>
      <c r="E1" s="69"/>
      <c r="F1" s="70"/>
      <c r="G1" s="70"/>
      <c r="H1" s="70"/>
      <c r="I1" s="70"/>
      <c r="J1" s="36" t="s">
        <v>2</v>
      </c>
      <c r="L1" s="71" t="s">
        <v>3</v>
      </c>
      <c r="M1" s="72" t="s">
        <v>4</v>
      </c>
      <c r="N1" s="73" t="s">
        <v>5</v>
      </c>
      <c r="O1" s="74" t="s">
        <v>6</v>
      </c>
      <c r="R1" s="71" t="s">
        <v>82</v>
      </c>
      <c r="S1" s="75" t="str">
        <f>IF(COUNTA($W$8:$W$237)=COUNTIF($W$8:$W$237,"OK"),"OK","Check")</f>
        <v>OK</v>
      </c>
      <c r="U1" s="180" t="s">
        <v>24</v>
      </c>
      <c r="V1" s="75" t="str">
        <f>'Check|List'!$S$1</f>
        <v>Ok</v>
      </c>
    </row>
    <row r="2" spans="1:47" s="76" customFormat="1" ht="13.5" thickBot="1">
      <c r="B2" s="77" t="str">
        <f>Index!$C$11</f>
        <v>Input | Step changes</v>
      </c>
      <c r="C2" s="77"/>
      <c r="D2" s="77"/>
      <c r="E2" s="77"/>
      <c r="F2" s="78"/>
      <c r="G2" s="78"/>
      <c r="H2" s="78"/>
      <c r="I2" s="78"/>
    </row>
    <row r="3" spans="1:47" s="79" customFormat="1">
      <c r="C3" s="80"/>
      <c r="D3" s="176"/>
      <c r="E3" s="176"/>
      <c r="F3" s="176"/>
      <c r="G3" s="176"/>
      <c r="H3" s="176"/>
      <c r="I3" s="176"/>
      <c r="J3" s="154" t="s">
        <v>119</v>
      </c>
      <c r="K3" s="166"/>
      <c r="L3" s="166"/>
      <c r="M3" s="176"/>
      <c r="N3" s="221"/>
      <c r="O3" s="221"/>
      <c r="P3" s="221"/>
      <c r="Q3" s="221"/>
      <c r="R3" s="221"/>
      <c r="S3" s="221"/>
      <c r="T3" s="81"/>
      <c r="U3" s="81"/>
      <c r="V3" s="81"/>
      <c r="W3" s="81"/>
      <c r="X3" s="81"/>
      <c r="Y3" s="81"/>
      <c r="Z3" s="81"/>
    </row>
    <row r="4" spans="1:47" s="102" customFormat="1">
      <c r="A4" s="82"/>
      <c r="B4" s="82"/>
      <c r="C4" s="82"/>
      <c r="D4" s="83" t="s">
        <v>7</v>
      </c>
      <c r="E4" s="83" t="s">
        <v>8</v>
      </c>
      <c r="F4" s="84" t="s">
        <v>22</v>
      </c>
      <c r="G4" s="85"/>
      <c r="H4" s="85"/>
      <c r="I4" s="85"/>
      <c r="J4" s="152">
        <f>DATE(PPFirstYear,MONTH('Input|General'!$G$9),1)</f>
        <v>43252</v>
      </c>
      <c r="K4" s="152">
        <f>DATE(PPFirstYear+1,MONTH('Input|General'!$G$9),1)</f>
        <v>43617</v>
      </c>
      <c r="L4" s="152">
        <f>DATE(PPFirstYear+2,MONTH('Input|General'!$G$9),1)</f>
        <v>43983</v>
      </c>
      <c r="M4" s="152">
        <f>DATE(PPFirstYear+3,MONTH('Input|General'!$G$9),1)</f>
        <v>44348</v>
      </c>
      <c r="N4" s="152">
        <f>DATE(PPFirstYear+4,MONTH('Input|General'!$G$9),1)</f>
        <v>44713</v>
      </c>
      <c r="O4" s="152">
        <f>DATE(PPFirstYear+5,MONTH('Input|General'!$G$9),1)</f>
        <v>45078</v>
      </c>
      <c r="P4" s="152">
        <f>DATE(PPFirstYear+6,MONTH('Input|General'!$G$9),1)</f>
        <v>45444</v>
      </c>
      <c r="Q4" s="152">
        <f>DATE(PPFirstYear+7,MONTH('Input|General'!$G$9),1)</f>
        <v>45809</v>
      </c>
      <c r="R4" s="152">
        <f>DATE(PPFirstYear+8,MONTH('Input|General'!$G$9),1)</f>
        <v>46174</v>
      </c>
      <c r="S4" s="152">
        <f>DATE(PPFirstYear+9,MONTH('Input|General'!$G$9),1)</f>
        <v>46539</v>
      </c>
      <c r="T4" s="152">
        <f>DATE(PPFirstYear+10,MONTH('Input|General'!$G$9),1)</f>
        <v>46905</v>
      </c>
      <c r="U4" s="86"/>
      <c r="V4" s="87"/>
      <c r="W4" s="87"/>
    </row>
    <row r="5" spans="1:47" s="26" customFormat="1" ht="3" customHeight="1">
      <c r="D5" s="27"/>
      <c r="E5" s="27"/>
      <c r="F5" s="27"/>
      <c r="G5" s="27"/>
      <c r="H5" s="27"/>
      <c r="I5" s="27"/>
    </row>
    <row r="6" spans="1:47" s="26" customFormat="1" ht="9" customHeight="1">
      <c r="D6" s="27"/>
      <c r="E6" s="27"/>
      <c r="F6" s="27"/>
      <c r="G6" s="27"/>
      <c r="H6" s="27"/>
      <c r="I6" s="27"/>
    </row>
    <row r="7" spans="1:47" s="26" customFormat="1" ht="3" customHeight="1">
      <c r="D7" s="27"/>
      <c r="E7" s="27"/>
      <c r="F7" s="27"/>
      <c r="G7" s="27"/>
      <c r="H7" s="27"/>
      <c r="I7" s="27"/>
    </row>
    <row r="8" spans="1:47" s="102" customFormat="1" ht="12.75">
      <c r="A8" s="93"/>
      <c r="B8" s="94" t="s">
        <v>50</v>
      </c>
      <c r="C8" s="93"/>
      <c r="D8" s="93"/>
      <c r="E8" s="93"/>
      <c r="F8" s="95"/>
      <c r="G8" s="95"/>
      <c r="H8" s="95"/>
      <c r="I8" s="95"/>
      <c r="J8" s="96"/>
      <c r="K8" s="97"/>
      <c r="L8" s="96"/>
      <c r="M8" s="97"/>
      <c r="N8" s="96"/>
      <c r="O8" s="96"/>
      <c r="P8" s="96"/>
      <c r="Q8" s="96"/>
      <c r="R8" s="96"/>
      <c r="S8" s="96"/>
      <c r="T8" s="96"/>
      <c r="U8" s="96"/>
      <c r="V8" s="97"/>
      <c r="W8" s="97"/>
      <c r="X8" s="98"/>
      <c r="Y8" s="98"/>
      <c r="Z8" s="98"/>
      <c r="AA8" s="98"/>
      <c r="AB8" s="99"/>
      <c r="AC8" s="100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</row>
    <row r="9" spans="1:47" outlineLevel="1">
      <c r="G9" s="31"/>
      <c r="H9" s="31"/>
    </row>
    <row r="10" spans="1:47" outlineLevel="1">
      <c r="C10" s="66" t="s">
        <v>79</v>
      </c>
      <c r="D10" s="31" t="s">
        <v>7</v>
      </c>
      <c r="E10" s="31" t="s">
        <v>8</v>
      </c>
      <c r="F10" s="31" t="s">
        <v>22</v>
      </c>
      <c r="G10" s="31"/>
      <c r="H10" s="31"/>
      <c r="I10" s="158"/>
      <c r="J10" s="158" t="str">
        <f t="shared" ref="J10:T10" si="0">IF(YEAR(J$4)&gt;=FPFirstYear,IF(YEAR(J$4)&lt;=FPLastYear,J$4,""),"")</f>
        <v/>
      </c>
      <c r="K10" s="158" t="str">
        <f t="shared" si="0"/>
        <v/>
      </c>
      <c r="L10" s="158" t="str">
        <f t="shared" si="0"/>
        <v/>
      </c>
      <c r="M10" s="158" t="str">
        <f t="shared" si="0"/>
        <v/>
      </c>
      <c r="N10" s="158" t="str">
        <f t="shared" si="0"/>
        <v/>
      </c>
      <c r="O10" s="158">
        <f t="shared" si="0"/>
        <v>45078</v>
      </c>
      <c r="P10" s="158">
        <f t="shared" si="0"/>
        <v>45444</v>
      </c>
      <c r="Q10" s="158">
        <f t="shared" si="0"/>
        <v>45809</v>
      </c>
      <c r="R10" s="158">
        <f t="shared" si="0"/>
        <v>46174</v>
      </c>
      <c r="S10" s="158">
        <f t="shared" si="0"/>
        <v>46539</v>
      </c>
      <c r="T10" s="158" t="str">
        <f t="shared" si="0"/>
        <v/>
      </c>
    </row>
    <row r="11" spans="1:47" outlineLevel="1">
      <c r="G11" s="31"/>
      <c r="H11" s="31"/>
    </row>
    <row r="12" spans="1:47" outlineLevel="1">
      <c r="C12" s="60" t="s">
        <v>208</v>
      </c>
      <c r="D12" s="29" t="s">
        <v>69</v>
      </c>
      <c r="E12" s="29" t="str">
        <f t="shared" ref="E12:E20" si="1">units</f>
        <v>$millions</v>
      </c>
      <c r="F12" s="209">
        <f t="shared" ref="F12:F20" si="2">DATE(PPLastYear,MONTH(month),1)</f>
        <v>44713</v>
      </c>
      <c r="G12" s="31"/>
      <c r="H12" s="31"/>
      <c r="J12" s="149"/>
      <c r="K12" s="149"/>
      <c r="L12" s="149"/>
      <c r="M12" s="149"/>
      <c r="N12" s="149"/>
      <c r="O12" s="218">
        <v>1.42299</v>
      </c>
      <c r="P12" s="218">
        <v>1.777515</v>
      </c>
      <c r="Q12" s="218">
        <v>1.03668</v>
      </c>
      <c r="R12" s="218">
        <v>0.67482000000000009</v>
      </c>
      <c r="S12" s="218">
        <v>0.66993000000000003</v>
      </c>
      <c r="T12" s="165"/>
    </row>
    <row r="13" spans="1:47" outlineLevel="1">
      <c r="C13" s="60" t="s">
        <v>209</v>
      </c>
      <c r="D13" s="29" t="s">
        <v>69</v>
      </c>
      <c r="E13" s="29" t="str">
        <f t="shared" si="1"/>
        <v>$millions</v>
      </c>
      <c r="F13" s="209">
        <f t="shared" si="2"/>
        <v>44713</v>
      </c>
      <c r="G13" s="31"/>
      <c r="H13" s="31"/>
      <c r="J13" s="149"/>
      <c r="K13" s="149"/>
      <c r="L13" s="149"/>
      <c r="M13" s="149"/>
      <c r="N13" s="149"/>
      <c r="O13" s="218">
        <v>0.49389</v>
      </c>
      <c r="P13" s="218">
        <v>0.49389</v>
      </c>
      <c r="Q13" s="218">
        <v>0.49389</v>
      </c>
      <c r="R13" s="218">
        <v>0.49389</v>
      </c>
      <c r="S13" s="218">
        <v>0.49389</v>
      </c>
      <c r="T13" s="165"/>
    </row>
    <row r="14" spans="1:47" outlineLevel="1">
      <c r="C14" s="60"/>
      <c r="D14" s="29" t="s">
        <v>69</v>
      </c>
      <c r="E14" s="29" t="str">
        <f t="shared" si="1"/>
        <v>$millions</v>
      </c>
      <c r="F14" s="209">
        <f t="shared" si="2"/>
        <v>44713</v>
      </c>
      <c r="G14" s="31"/>
      <c r="H14" s="31"/>
      <c r="J14" s="149"/>
      <c r="K14" s="149"/>
      <c r="L14" s="149"/>
      <c r="M14" s="149"/>
      <c r="N14" s="149"/>
      <c r="O14" s="165"/>
      <c r="P14" s="165"/>
      <c r="Q14" s="165"/>
      <c r="R14" s="165"/>
      <c r="S14" s="165"/>
      <c r="T14" s="165"/>
    </row>
    <row r="15" spans="1:47" outlineLevel="1">
      <c r="C15" s="60"/>
      <c r="D15" s="29" t="s">
        <v>69</v>
      </c>
      <c r="E15" s="29" t="str">
        <f t="shared" si="1"/>
        <v>$millions</v>
      </c>
      <c r="F15" s="209">
        <f t="shared" si="2"/>
        <v>44713</v>
      </c>
      <c r="G15" s="31"/>
      <c r="H15" s="31"/>
      <c r="J15" s="149"/>
      <c r="K15" s="149"/>
      <c r="L15" s="149"/>
      <c r="M15" s="149"/>
      <c r="N15" s="149"/>
      <c r="O15" s="165"/>
      <c r="P15" s="165"/>
      <c r="Q15" s="165"/>
      <c r="R15" s="165"/>
      <c r="S15" s="165"/>
      <c r="T15" s="165"/>
    </row>
    <row r="16" spans="1:47" outlineLevel="1">
      <c r="C16" s="60"/>
      <c r="D16" s="29" t="s">
        <v>69</v>
      </c>
      <c r="E16" s="29" t="str">
        <f t="shared" si="1"/>
        <v>$millions</v>
      </c>
      <c r="F16" s="209">
        <f t="shared" si="2"/>
        <v>44713</v>
      </c>
      <c r="G16" s="31"/>
      <c r="H16" s="31"/>
      <c r="J16" s="149"/>
      <c r="K16" s="149"/>
      <c r="L16" s="149"/>
      <c r="M16" s="149"/>
      <c r="N16" s="149"/>
      <c r="O16" s="165"/>
      <c r="P16" s="165"/>
      <c r="Q16" s="165"/>
      <c r="R16" s="165"/>
      <c r="S16" s="165"/>
      <c r="T16" s="165"/>
    </row>
    <row r="17" spans="1:47" outlineLevel="1">
      <c r="C17" s="60"/>
      <c r="D17" s="29" t="s">
        <v>69</v>
      </c>
      <c r="E17" s="29" t="str">
        <f t="shared" si="1"/>
        <v>$millions</v>
      </c>
      <c r="F17" s="209">
        <f t="shared" si="2"/>
        <v>44713</v>
      </c>
      <c r="G17" s="31"/>
      <c r="H17" s="31"/>
      <c r="J17" s="149"/>
      <c r="K17" s="149"/>
      <c r="L17" s="149"/>
      <c r="M17" s="149"/>
      <c r="N17" s="149"/>
      <c r="O17" s="165"/>
      <c r="P17" s="165"/>
      <c r="Q17" s="165"/>
      <c r="R17" s="165"/>
      <c r="S17" s="165"/>
      <c r="T17" s="165"/>
    </row>
    <row r="18" spans="1:47" outlineLevel="1">
      <c r="C18" s="60"/>
      <c r="D18" s="29" t="s">
        <v>69</v>
      </c>
      <c r="E18" s="29" t="str">
        <f t="shared" si="1"/>
        <v>$millions</v>
      </c>
      <c r="F18" s="209">
        <f t="shared" si="2"/>
        <v>44713</v>
      </c>
      <c r="G18" s="31"/>
      <c r="H18" s="31"/>
      <c r="J18" s="149"/>
      <c r="K18" s="149"/>
      <c r="L18" s="149"/>
      <c r="M18" s="149"/>
      <c r="N18" s="149"/>
      <c r="O18" s="165"/>
      <c r="P18" s="165"/>
      <c r="Q18" s="165"/>
      <c r="R18" s="165"/>
      <c r="S18" s="165"/>
      <c r="T18" s="165"/>
    </row>
    <row r="19" spans="1:47" outlineLevel="1">
      <c r="C19" s="60"/>
      <c r="D19" s="29" t="s">
        <v>69</v>
      </c>
      <c r="E19" s="29" t="str">
        <f t="shared" si="1"/>
        <v>$millions</v>
      </c>
      <c r="F19" s="209">
        <f t="shared" si="2"/>
        <v>44713</v>
      </c>
      <c r="G19" s="31"/>
      <c r="H19" s="31"/>
      <c r="J19" s="149"/>
      <c r="K19" s="149"/>
      <c r="L19" s="149"/>
      <c r="M19" s="149"/>
      <c r="N19" s="149"/>
      <c r="O19" s="165"/>
      <c r="P19" s="165"/>
      <c r="Q19" s="165"/>
      <c r="R19" s="165"/>
      <c r="S19" s="165"/>
      <c r="T19" s="165"/>
    </row>
    <row r="20" spans="1:47" outlineLevel="1">
      <c r="C20" s="60"/>
      <c r="D20" s="29" t="s">
        <v>69</v>
      </c>
      <c r="E20" s="29" t="str">
        <f t="shared" si="1"/>
        <v>$millions</v>
      </c>
      <c r="F20" s="209">
        <f t="shared" si="2"/>
        <v>44713</v>
      </c>
      <c r="G20" s="31"/>
      <c r="H20" s="31"/>
      <c r="J20" s="149"/>
      <c r="K20" s="149"/>
      <c r="L20" s="149"/>
      <c r="M20" s="149"/>
      <c r="N20" s="149"/>
      <c r="O20" s="165"/>
      <c r="P20" s="165"/>
      <c r="Q20" s="165"/>
      <c r="R20" s="165"/>
      <c r="S20" s="165"/>
      <c r="T20" s="165"/>
    </row>
    <row r="21" spans="1:47" outlineLevel="1">
      <c r="G21" s="31"/>
      <c r="H21" s="31"/>
    </row>
    <row r="22" spans="1:47" outlineLevel="1">
      <c r="C22" s="28" t="s">
        <v>40</v>
      </c>
      <c r="D22" s="29" t="s">
        <v>98</v>
      </c>
      <c r="E22" s="29" t="s">
        <v>28</v>
      </c>
      <c r="F22" s="29" t="s">
        <v>36</v>
      </c>
      <c r="J22" s="130" t="str">
        <f t="shared" ref="J22:S22" si="3">IF(J10=J4,IF(COUNTA($C12:$C20)=COUNT(J12:J20),"Ok","Check"),"")</f>
        <v/>
      </c>
      <c r="K22" s="130" t="str">
        <f t="shared" si="3"/>
        <v/>
      </c>
      <c r="L22" s="130" t="str">
        <f t="shared" si="3"/>
        <v/>
      </c>
      <c r="M22" s="130" t="str">
        <f t="shared" si="3"/>
        <v/>
      </c>
      <c r="N22" s="130" t="str">
        <f t="shared" si="3"/>
        <v/>
      </c>
      <c r="O22" s="130" t="str">
        <f t="shared" si="3"/>
        <v>Ok</v>
      </c>
      <c r="P22" s="130" t="str">
        <f t="shared" si="3"/>
        <v>Ok</v>
      </c>
      <c r="Q22" s="130" t="str">
        <f t="shared" si="3"/>
        <v>Ok</v>
      </c>
      <c r="R22" s="130" t="str">
        <f t="shared" si="3"/>
        <v>Ok</v>
      </c>
      <c r="S22" s="130" t="str">
        <f t="shared" si="3"/>
        <v>Ok</v>
      </c>
      <c r="T22" s="130" t="str">
        <f t="shared" ref="T22" si="4">IF(T10=T4,IF(COUNTA($C12:$C20)=COUNT(T12:T20),"Ok","Check"),"")</f>
        <v/>
      </c>
      <c r="U22" s="24"/>
      <c r="W22" s="129" t="str">
        <f>IF(COUNTIF(J22:T22,"Check")=0,"Ok","Check")</f>
        <v>Ok</v>
      </c>
    </row>
    <row r="23" spans="1:47">
      <c r="G23" s="31"/>
      <c r="H23" s="31"/>
    </row>
    <row r="24" spans="1:47" s="102" customFormat="1" ht="12.75">
      <c r="A24" s="93"/>
      <c r="B24" s="94" t="s">
        <v>116</v>
      </c>
      <c r="C24" s="93"/>
      <c r="D24" s="93"/>
      <c r="E24" s="93"/>
      <c r="F24" s="95"/>
      <c r="G24" s="95"/>
      <c r="H24" s="95"/>
      <c r="I24" s="95"/>
      <c r="J24" s="96"/>
      <c r="K24" s="97"/>
      <c r="L24" s="96"/>
      <c r="M24" s="97"/>
      <c r="N24" s="96"/>
      <c r="O24" s="96"/>
      <c r="P24" s="96"/>
      <c r="Q24" s="96"/>
      <c r="R24" s="96"/>
      <c r="S24" s="96"/>
      <c r="T24" s="96"/>
      <c r="U24" s="96"/>
      <c r="V24" s="97"/>
      <c r="W24" s="97"/>
      <c r="X24" s="98"/>
      <c r="Y24" s="98"/>
      <c r="Z24" s="98"/>
      <c r="AA24" s="98"/>
      <c r="AB24" s="99"/>
      <c r="AC24" s="100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</row>
    <row r="25" spans="1:47" outlineLevel="1">
      <c r="G25" s="31"/>
      <c r="H25" s="31"/>
    </row>
    <row r="26" spans="1:47" outlineLevel="1">
      <c r="C26" s="66" t="s">
        <v>107</v>
      </c>
      <c r="D26" s="31" t="s">
        <v>7</v>
      </c>
      <c r="E26" s="31" t="s">
        <v>8</v>
      </c>
      <c r="F26" s="31" t="s">
        <v>22</v>
      </c>
      <c r="G26" s="31"/>
      <c r="H26" s="31"/>
      <c r="J26" s="158" t="str">
        <f t="shared" ref="J26:T26" si="5">IF(YEAR(J$4)&gt;=FPFirstYear,IF(YEAR(J$4)&lt;=FPLastYear,J$4,""),"")</f>
        <v/>
      </c>
      <c r="K26" s="158" t="str">
        <f t="shared" si="5"/>
        <v/>
      </c>
      <c r="L26" s="158" t="str">
        <f t="shared" si="5"/>
        <v/>
      </c>
      <c r="M26" s="158" t="str">
        <f t="shared" si="5"/>
        <v/>
      </c>
      <c r="N26" s="158" t="str">
        <f t="shared" si="5"/>
        <v/>
      </c>
      <c r="O26" s="158">
        <f t="shared" si="5"/>
        <v>45078</v>
      </c>
      <c r="P26" s="158">
        <f t="shared" si="5"/>
        <v>45444</v>
      </c>
      <c r="Q26" s="158">
        <f t="shared" si="5"/>
        <v>45809</v>
      </c>
      <c r="R26" s="158">
        <f t="shared" si="5"/>
        <v>46174</v>
      </c>
      <c r="S26" s="158">
        <f t="shared" si="5"/>
        <v>46539</v>
      </c>
      <c r="T26" s="158" t="str">
        <f t="shared" si="5"/>
        <v/>
      </c>
    </row>
    <row r="27" spans="1:47" outlineLevel="1">
      <c r="G27" s="31"/>
      <c r="H27" s="31"/>
    </row>
    <row r="28" spans="1:47" outlineLevel="1">
      <c r="C28" s="202"/>
      <c r="D28" s="29" t="s">
        <v>69</v>
      </c>
      <c r="E28" s="29" t="str">
        <f>units</f>
        <v>$millions</v>
      </c>
      <c r="F28" s="209">
        <f>DATE(PPLastYear,MONTH(month),1)</f>
        <v>44713</v>
      </c>
      <c r="G28" s="31"/>
      <c r="H28" s="31"/>
      <c r="J28" s="149"/>
      <c r="K28" s="149"/>
      <c r="L28" s="149"/>
      <c r="M28" s="149"/>
      <c r="N28" s="165"/>
      <c r="O28" s="165"/>
      <c r="P28" s="165"/>
      <c r="Q28" s="165"/>
      <c r="R28" s="165"/>
      <c r="S28" s="165"/>
      <c r="T28" s="165"/>
    </row>
    <row r="29" spans="1:47" outlineLevel="1">
      <c r="C29" s="202"/>
      <c r="D29" s="29" t="s">
        <v>69</v>
      </c>
      <c r="E29" s="29" t="str">
        <f>units</f>
        <v>$millions</v>
      </c>
      <c r="F29" s="209">
        <f>DATE(PPLastYear,MONTH(month),1)</f>
        <v>44713</v>
      </c>
      <c r="G29" s="31"/>
      <c r="H29" s="31"/>
      <c r="J29" s="149"/>
      <c r="K29" s="149"/>
      <c r="L29" s="149"/>
      <c r="M29" s="149"/>
      <c r="N29" s="165"/>
      <c r="O29" s="165"/>
      <c r="P29" s="165"/>
      <c r="Q29" s="165"/>
      <c r="R29" s="165"/>
      <c r="S29" s="165"/>
      <c r="T29" s="165"/>
    </row>
    <row r="30" spans="1:47" outlineLevel="1">
      <c r="C30" s="202"/>
      <c r="D30" s="29" t="s">
        <v>69</v>
      </c>
      <c r="E30" s="29" t="str">
        <f>units</f>
        <v>$millions</v>
      </c>
      <c r="F30" s="209">
        <f>DATE(PPLastYear,MONTH(month),1)</f>
        <v>44713</v>
      </c>
      <c r="G30" s="31"/>
      <c r="H30" s="31"/>
      <c r="J30" s="149"/>
      <c r="K30" s="149"/>
      <c r="L30" s="149"/>
      <c r="M30" s="149"/>
      <c r="N30" s="165"/>
      <c r="O30" s="165"/>
      <c r="P30" s="165"/>
      <c r="Q30" s="165"/>
      <c r="R30" s="165"/>
      <c r="S30" s="165"/>
      <c r="T30" s="165"/>
    </row>
    <row r="31" spans="1:47" outlineLevel="1">
      <c r="C31" s="203"/>
      <c r="D31" s="29" t="s">
        <v>69</v>
      </c>
      <c r="E31" s="29" t="str">
        <f>units</f>
        <v>$millions</v>
      </c>
      <c r="F31" s="209">
        <f>DATE(PPLastYear,MONTH(month),1)</f>
        <v>44713</v>
      </c>
      <c r="G31" s="31"/>
      <c r="H31" s="31"/>
      <c r="J31" s="149"/>
      <c r="K31" s="149"/>
      <c r="L31" s="149"/>
      <c r="M31" s="149"/>
      <c r="N31" s="165"/>
      <c r="O31" s="165"/>
      <c r="P31" s="165"/>
      <c r="Q31" s="165"/>
      <c r="R31" s="165"/>
      <c r="S31" s="165"/>
      <c r="T31" s="165"/>
    </row>
    <row r="32" spans="1:47" outlineLevel="1">
      <c r="C32" s="60"/>
      <c r="D32" s="29" t="s">
        <v>69</v>
      </c>
      <c r="E32" s="29" t="str">
        <f>units</f>
        <v>$millions</v>
      </c>
      <c r="F32" s="209">
        <f>DATE(PPLastYear,MONTH(month),1)</f>
        <v>44713</v>
      </c>
      <c r="G32" s="31"/>
      <c r="H32" s="31"/>
      <c r="J32" s="149"/>
      <c r="K32" s="149"/>
      <c r="L32" s="149"/>
      <c r="M32" s="149"/>
      <c r="N32" s="165"/>
      <c r="O32" s="165"/>
      <c r="P32" s="165"/>
      <c r="Q32" s="165"/>
      <c r="R32" s="165"/>
      <c r="S32" s="165"/>
      <c r="T32" s="165"/>
    </row>
    <row r="33" spans="1:47" outlineLevel="1">
      <c r="G33" s="31"/>
      <c r="H33" s="31"/>
    </row>
    <row r="34" spans="1:47" outlineLevel="1">
      <c r="C34" s="28" t="s">
        <v>40</v>
      </c>
      <c r="D34" s="29" t="s">
        <v>98</v>
      </c>
      <c r="E34" s="29" t="s">
        <v>28</v>
      </c>
      <c r="F34" s="29" t="s">
        <v>36</v>
      </c>
      <c r="J34" s="130" t="str">
        <f t="shared" ref="J34:R34" si="6">IF(J26=J4,IF(COUNTA($C28:$C32)=COUNT(J28:J32),"Ok","Check"),"")</f>
        <v/>
      </c>
      <c r="K34" s="130" t="str">
        <f t="shared" si="6"/>
        <v/>
      </c>
      <c r="L34" s="130" t="str">
        <f t="shared" si="6"/>
        <v/>
      </c>
      <c r="M34" s="130" t="str">
        <f t="shared" si="6"/>
        <v/>
      </c>
      <c r="N34" s="130" t="str">
        <f t="shared" si="6"/>
        <v/>
      </c>
      <c r="O34" s="130" t="str">
        <f t="shared" si="6"/>
        <v>Ok</v>
      </c>
      <c r="P34" s="130" t="str">
        <f t="shared" si="6"/>
        <v>Ok</v>
      </c>
      <c r="Q34" s="130" t="str">
        <f t="shared" si="6"/>
        <v>Ok</v>
      </c>
      <c r="R34" s="130" t="str">
        <f t="shared" si="6"/>
        <v>Ok</v>
      </c>
      <c r="S34" s="130" t="str">
        <f>IF(S26=S4,IF(COUNTA($C28:$C32)=COUNT(S28:S32),"Ok","Check"),"")</f>
        <v>Ok</v>
      </c>
      <c r="T34" s="130" t="str">
        <f>IF(T26=T4,IF(COUNTA($C28:$C32)=COUNT(T28:T32),"Ok","Check"),"")</f>
        <v/>
      </c>
      <c r="U34" s="24"/>
      <c r="W34" s="129" t="str">
        <f>IF(COUNTIF(J34:T34,"Check")=0,"Ok","Check")</f>
        <v>Ok</v>
      </c>
    </row>
    <row r="35" spans="1:47">
      <c r="G35" s="31"/>
      <c r="H35" s="31"/>
    </row>
    <row r="36" spans="1:47" s="102" customFormat="1" ht="12.75">
      <c r="A36" s="93"/>
      <c r="B36" s="94" t="s">
        <v>44</v>
      </c>
      <c r="C36" s="93"/>
      <c r="D36" s="93"/>
      <c r="E36" s="93"/>
      <c r="F36" s="95"/>
      <c r="G36" s="95"/>
      <c r="H36" s="95"/>
      <c r="I36" s="95"/>
      <c r="J36" s="96"/>
      <c r="K36" s="97"/>
      <c r="L36" s="96"/>
      <c r="M36" s="97"/>
      <c r="N36" s="96"/>
      <c r="O36" s="96"/>
      <c r="P36" s="96"/>
      <c r="Q36" s="96"/>
      <c r="R36" s="96"/>
      <c r="S36" s="96"/>
      <c r="T36" s="96"/>
      <c r="U36" s="96"/>
      <c r="V36" s="97"/>
      <c r="W36" s="97"/>
      <c r="X36" s="98"/>
      <c r="Y36" s="98"/>
      <c r="Z36" s="98"/>
      <c r="AA36" s="98"/>
      <c r="AB36" s="99"/>
      <c r="AC36" s="100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</row>
    <row r="37" spans="1:47" outlineLevel="1">
      <c r="G37" s="31"/>
      <c r="H37" s="31"/>
    </row>
    <row r="38" spans="1:47" outlineLevel="1">
      <c r="C38" s="66" t="s">
        <v>32</v>
      </c>
      <c r="D38" s="31" t="s">
        <v>7</v>
      </c>
      <c r="E38" s="31" t="s">
        <v>8</v>
      </c>
      <c r="F38" s="31" t="s">
        <v>22</v>
      </c>
      <c r="G38" s="31"/>
      <c r="H38" s="31"/>
      <c r="J38" s="158" t="str">
        <f t="shared" ref="J38:T38" si="7">IF(YEAR(J$4)&gt;=FPFirstYear,IF(YEAR(J$4)&lt;=FPLastYear,J$4,""),"")</f>
        <v/>
      </c>
      <c r="K38" s="158" t="str">
        <f t="shared" si="7"/>
        <v/>
      </c>
      <c r="L38" s="158" t="str">
        <f t="shared" si="7"/>
        <v/>
      </c>
      <c r="M38" s="158" t="str">
        <f t="shared" si="7"/>
        <v/>
      </c>
      <c r="N38" s="158" t="str">
        <f t="shared" si="7"/>
        <v/>
      </c>
      <c r="O38" s="158">
        <f t="shared" si="7"/>
        <v>45078</v>
      </c>
      <c r="P38" s="158">
        <f t="shared" si="7"/>
        <v>45444</v>
      </c>
      <c r="Q38" s="158">
        <f t="shared" si="7"/>
        <v>45809</v>
      </c>
      <c r="R38" s="158">
        <f t="shared" si="7"/>
        <v>46174</v>
      </c>
      <c r="S38" s="158">
        <f t="shared" si="7"/>
        <v>46539</v>
      </c>
      <c r="T38" s="158" t="str">
        <f t="shared" si="7"/>
        <v/>
      </c>
    </row>
    <row r="39" spans="1:47" outlineLevel="1">
      <c r="G39" s="31"/>
      <c r="H39" s="31"/>
    </row>
    <row r="40" spans="1:47" outlineLevel="1">
      <c r="C40" s="110" t="s">
        <v>39</v>
      </c>
      <c r="D40" s="29" t="s">
        <v>72</v>
      </c>
      <c r="E40" s="29" t="s">
        <v>15</v>
      </c>
      <c r="F40" s="209">
        <f>DATE(PPLastYear,MONTH(month),1)</f>
        <v>44713</v>
      </c>
      <c r="G40" s="31"/>
      <c r="H40" s="31"/>
      <c r="I40" s="31"/>
      <c r="J40" s="165"/>
      <c r="K40" s="165"/>
      <c r="L40" s="165"/>
      <c r="M40" s="165"/>
      <c r="N40" s="217"/>
      <c r="O40" s="219">
        <v>0.29096159563340057</v>
      </c>
      <c r="P40" s="219">
        <v>0.29409489196919048</v>
      </c>
      <c r="Q40" s="219">
        <v>0.2889141376757246</v>
      </c>
      <c r="R40" s="219">
        <v>0.28249606036769259</v>
      </c>
      <c r="S40" s="219">
        <v>0.27481611501126552</v>
      </c>
      <c r="T40" s="165"/>
    </row>
    <row r="41" spans="1:47" outlineLevel="1">
      <c r="G41" s="31"/>
      <c r="H41" s="31"/>
    </row>
    <row r="42" spans="1:47" outlineLevel="1">
      <c r="C42" s="28" t="s">
        <v>40</v>
      </c>
      <c r="D42" s="29" t="s">
        <v>98</v>
      </c>
      <c r="E42" s="29" t="s">
        <v>28</v>
      </c>
      <c r="F42" s="29" t="s">
        <v>36</v>
      </c>
      <c r="J42" s="130" t="str">
        <f t="shared" ref="J42:R42" si="8">IF(J38=J4,IF(ISBLANK(J40),"Check","Ok"),"")</f>
        <v/>
      </c>
      <c r="K42" s="130" t="str">
        <f t="shared" si="8"/>
        <v/>
      </c>
      <c r="L42" s="130" t="str">
        <f t="shared" si="8"/>
        <v/>
      </c>
      <c r="M42" s="130" t="str">
        <f t="shared" si="8"/>
        <v/>
      </c>
      <c r="N42" s="130" t="str">
        <f t="shared" si="8"/>
        <v/>
      </c>
      <c r="O42" s="130" t="str">
        <f t="shared" si="8"/>
        <v>Ok</v>
      </c>
      <c r="P42" s="130" t="str">
        <f t="shared" si="8"/>
        <v>Ok</v>
      </c>
      <c r="Q42" s="130" t="str">
        <f t="shared" si="8"/>
        <v>Ok</v>
      </c>
      <c r="R42" s="130" t="str">
        <f t="shared" si="8"/>
        <v>Ok</v>
      </c>
      <c r="S42" s="130" t="str">
        <f>IF(S38=S4,IF(ISBLANK(S40),"Check","Ok"),"")</f>
        <v>Ok</v>
      </c>
      <c r="T42" s="130" t="str">
        <f>IF(T38=T4,IF(ISBLANK(T40),"Check","Ok"),"")</f>
        <v/>
      </c>
      <c r="U42" s="24"/>
      <c r="W42" s="129" t="str">
        <f>IF(COUNTIF(J42:T42,"Check")=0,"Ok","Check")</f>
        <v>Ok</v>
      </c>
    </row>
    <row r="43" spans="1:47">
      <c r="G43" s="31"/>
      <c r="H43" s="31"/>
    </row>
    <row r="44" spans="1:47" s="102" customFormat="1" ht="12.75">
      <c r="A44" s="93"/>
      <c r="B44" s="94" t="s">
        <v>21</v>
      </c>
      <c r="C44" s="93"/>
      <c r="D44" s="93"/>
      <c r="E44" s="93"/>
      <c r="F44" s="95"/>
      <c r="G44" s="95"/>
      <c r="H44" s="95"/>
      <c r="I44" s="95"/>
      <c r="J44" s="96"/>
      <c r="K44" s="97"/>
      <c r="L44" s="96"/>
      <c r="M44" s="97"/>
      <c r="N44" s="96"/>
      <c r="O44" s="96"/>
      <c r="P44" s="96"/>
      <c r="Q44" s="96"/>
      <c r="R44" s="96"/>
      <c r="S44" s="96"/>
      <c r="T44" s="96"/>
      <c r="U44" s="96"/>
      <c r="V44" s="97"/>
      <c r="W44" s="97"/>
      <c r="X44" s="98"/>
      <c r="Y44" s="98"/>
      <c r="Z44" s="98"/>
      <c r="AA44" s="98"/>
      <c r="AB44" s="99"/>
      <c r="AC44" s="100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</row>
    <row r="45" spans="1:47" hidden="1">
      <c r="G45" s="31"/>
      <c r="H45" s="31"/>
    </row>
    <row r="46" spans="1:47" hidden="1">
      <c r="G46" s="31"/>
      <c r="H46" s="31"/>
    </row>
    <row r="47" spans="1:47" hidden="1">
      <c r="G47" s="31"/>
      <c r="H47" s="31"/>
    </row>
    <row r="48" spans="1:47" hidden="1">
      <c r="G48" s="31"/>
      <c r="H48" s="31"/>
    </row>
    <row r="49" spans="7:8" hidden="1">
      <c r="G49" s="31"/>
      <c r="H49" s="31"/>
    </row>
    <row r="50" spans="7:8" hidden="1">
      <c r="G50" s="31"/>
      <c r="H50" s="31"/>
    </row>
    <row r="51" spans="7:8" hidden="1">
      <c r="G51" s="31"/>
      <c r="H51" s="31"/>
    </row>
    <row r="52" spans="7:8" hidden="1">
      <c r="G52" s="31"/>
      <c r="H52" s="31"/>
    </row>
    <row r="53" spans="7:8" hidden="1">
      <c r="G53" s="31"/>
      <c r="H53" s="31"/>
    </row>
    <row r="54" spans="7:8" hidden="1">
      <c r="G54" s="31"/>
      <c r="H54" s="31"/>
    </row>
  </sheetData>
  <mergeCells count="1">
    <mergeCell ref="N3:S3"/>
  </mergeCells>
  <conditionalFormatting sqref="S1">
    <cfRule type="cellIs" dxfId="110" priority="26" operator="equal">
      <formula>"Check"</formula>
    </cfRule>
    <cfRule type="cellIs" dxfId="109" priority="27" operator="equal">
      <formula>"Ok"</formula>
    </cfRule>
  </conditionalFormatting>
  <conditionalFormatting sqref="V1">
    <cfRule type="cellIs" dxfId="108" priority="28" operator="equal">
      <formula>"Check"</formula>
    </cfRule>
    <cfRule type="cellIs" dxfId="107" priority="29" operator="equal">
      <formula>"Ok"</formula>
    </cfRule>
  </conditionalFormatting>
  <conditionalFormatting sqref="J10:T10">
    <cfRule type="expression" dxfId="106" priority="24">
      <formula>J$10=J$4</formula>
    </cfRule>
  </conditionalFormatting>
  <conditionalFormatting sqref="J12:T20">
    <cfRule type="expression" dxfId="105" priority="23">
      <formula>J$10=J$4</formula>
    </cfRule>
  </conditionalFormatting>
  <conditionalFormatting sqref="W22">
    <cfRule type="cellIs" dxfId="104" priority="19" operator="equal">
      <formula>"Check"</formula>
    </cfRule>
    <cfRule type="cellIs" dxfId="103" priority="20" operator="equal">
      <formula>"Ok"</formula>
    </cfRule>
  </conditionalFormatting>
  <conditionalFormatting sqref="J22:T22">
    <cfRule type="cellIs" dxfId="102" priority="17" operator="equal">
      <formula>"Check"</formula>
    </cfRule>
    <cfRule type="cellIs" dxfId="101" priority="18" operator="equal">
      <formula>"Ok"</formula>
    </cfRule>
  </conditionalFormatting>
  <conditionalFormatting sqref="W34">
    <cfRule type="cellIs" dxfId="100" priority="15" operator="equal">
      <formula>"Check"</formula>
    </cfRule>
    <cfRule type="cellIs" dxfId="99" priority="16" operator="equal">
      <formula>"Ok"</formula>
    </cfRule>
  </conditionalFormatting>
  <conditionalFormatting sqref="J34:T34">
    <cfRule type="cellIs" dxfId="98" priority="13" operator="equal">
      <formula>"Check"</formula>
    </cfRule>
    <cfRule type="cellIs" dxfId="97" priority="14" operator="equal">
      <formula>"Ok"</formula>
    </cfRule>
  </conditionalFormatting>
  <conditionalFormatting sqref="J28:M32 O31:O32">
    <cfRule type="expression" dxfId="96" priority="12">
      <formula>J$26=J$4</formula>
    </cfRule>
  </conditionalFormatting>
  <conditionalFormatting sqref="W42">
    <cfRule type="cellIs" dxfId="95" priority="10" operator="equal">
      <formula>"Check"</formula>
    </cfRule>
    <cfRule type="cellIs" dxfId="94" priority="11" operator="equal">
      <formula>"Ok"</formula>
    </cfRule>
  </conditionalFormatting>
  <conditionalFormatting sqref="J42:T42">
    <cfRule type="cellIs" dxfId="93" priority="8" operator="equal">
      <formula>"Check"</formula>
    </cfRule>
    <cfRule type="cellIs" dxfId="92" priority="9" operator="equal">
      <formula>"Ok"</formula>
    </cfRule>
  </conditionalFormatting>
  <conditionalFormatting sqref="P31:T32 O28:T30">
    <cfRule type="expression" dxfId="91" priority="7">
      <formula>O$10=O$4</formula>
    </cfRule>
  </conditionalFormatting>
  <conditionalFormatting sqref="N28:N32">
    <cfRule type="expression" dxfId="90" priority="6">
      <formula>N$10=N$4</formula>
    </cfRule>
  </conditionalFormatting>
  <conditionalFormatting sqref="J40:T40">
    <cfRule type="expression" dxfId="89" priority="3">
      <formula>J$38=J$4</formula>
    </cfRule>
  </conditionalFormatting>
  <conditionalFormatting sqref="J26:T26">
    <cfRule type="expression" dxfId="88" priority="2">
      <formula>J$10=J$4</formula>
    </cfRule>
  </conditionalFormatting>
  <conditionalFormatting sqref="J38:T38">
    <cfRule type="expression" dxfId="87" priority="1">
      <formula>J$10=J$4</formula>
    </cfRule>
  </conditionalFormatting>
  <dataValidations count="2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V194"/>
  <sheetViews>
    <sheetView showGridLines="0" topLeftCell="A69" zoomScaleNormal="100" workbookViewId="0">
      <selection activeCell="O107" sqref="O107:S107"/>
    </sheetView>
  </sheetViews>
  <sheetFormatPr defaultColWidth="0" defaultRowHeight="11.25" zeroHeight="1" outlineLevelRow="1"/>
  <cols>
    <col min="1" max="2" width="1.5" style="28" customWidth="1"/>
    <col min="3" max="3" width="76.5" style="28" bestFit="1" customWidth="1"/>
    <col min="4" max="4" width="27.6640625" style="29" customWidth="1"/>
    <col min="5" max="5" width="15.83203125" style="29" customWidth="1"/>
    <col min="6" max="6" width="10.6640625" style="29" customWidth="1"/>
    <col min="7" max="9" width="3.5" style="29" customWidth="1"/>
    <col min="10" max="24" width="10.83203125" style="28" customWidth="1"/>
    <col min="25" max="39" width="10.5" style="28" hidden="1" customWidth="1"/>
    <col min="40" max="16384" width="10.5" style="28" hidden="1"/>
  </cols>
  <sheetData>
    <row r="1" spans="1:48" s="68" customFormat="1" ht="15.75">
      <c r="B1" s="69" t="str">
        <f>Index!$B$1</f>
        <v>AER opex model v2.0</v>
      </c>
      <c r="C1" s="69"/>
      <c r="D1" s="69"/>
      <c r="E1" s="69"/>
      <c r="F1" s="70"/>
      <c r="G1" s="70"/>
      <c r="H1" s="70"/>
      <c r="I1" s="70"/>
      <c r="J1" s="36" t="s">
        <v>2</v>
      </c>
      <c r="L1" s="71" t="s">
        <v>3</v>
      </c>
      <c r="M1" s="72" t="s">
        <v>4</v>
      </c>
      <c r="N1" s="73" t="s">
        <v>5</v>
      </c>
      <c r="O1" s="74" t="s">
        <v>6</v>
      </c>
      <c r="R1" s="71" t="s">
        <v>82</v>
      </c>
      <c r="S1" s="75" t="s">
        <v>36</v>
      </c>
      <c r="T1" s="75"/>
      <c r="V1" s="180" t="s">
        <v>24</v>
      </c>
      <c r="W1" s="75" t="str">
        <f>'Check|List'!$S$1</f>
        <v>Ok</v>
      </c>
    </row>
    <row r="2" spans="1:48" s="76" customFormat="1" ht="13.5" thickBot="1">
      <c r="B2" s="77" t="str">
        <f>Index!$C$12</f>
        <v>Calc | Opex Forecast</v>
      </c>
      <c r="C2" s="77"/>
      <c r="D2" s="77"/>
      <c r="E2" s="77"/>
      <c r="F2" s="78"/>
      <c r="G2" s="78"/>
      <c r="H2" s="78"/>
      <c r="I2" s="78"/>
    </row>
    <row r="3" spans="1:48" s="79" customFormat="1">
      <c r="C3" s="80"/>
      <c r="D3" s="176"/>
      <c r="E3" s="176"/>
      <c r="F3" s="176"/>
      <c r="G3" s="176"/>
      <c r="H3" s="176"/>
      <c r="I3" s="176"/>
      <c r="J3" s="166" t="s">
        <v>119</v>
      </c>
      <c r="K3" s="166"/>
      <c r="L3" s="166"/>
      <c r="M3" s="176"/>
      <c r="N3" s="221"/>
      <c r="O3" s="221"/>
      <c r="P3" s="221"/>
      <c r="Q3" s="221"/>
      <c r="R3" s="221"/>
      <c r="S3" s="221"/>
      <c r="T3" s="201"/>
      <c r="U3" s="81"/>
      <c r="V3" s="81"/>
      <c r="W3" s="81"/>
      <c r="X3" s="81"/>
      <c r="Y3" s="81"/>
      <c r="Z3" s="81"/>
      <c r="AA3" s="81"/>
    </row>
    <row r="4" spans="1:48" s="102" customFormat="1">
      <c r="A4" s="82"/>
      <c r="B4" s="82"/>
      <c r="C4" s="82"/>
      <c r="D4" s="83" t="s">
        <v>7</v>
      </c>
      <c r="E4" s="83" t="s">
        <v>8</v>
      </c>
      <c r="F4" s="84" t="s">
        <v>22</v>
      </c>
      <c r="G4" s="85"/>
      <c r="H4" s="85"/>
      <c r="I4" s="85"/>
      <c r="J4" s="152">
        <f>DATE(PPFirstYear,MONTH('Input|General'!$G$9),1)</f>
        <v>43252</v>
      </c>
      <c r="K4" s="152">
        <f>DATE(PPFirstYear+1,MONTH('Input|General'!$G$9),1)</f>
        <v>43617</v>
      </c>
      <c r="L4" s="152">
        <f>DATE(PPFirstYear+2,MONTH('Input|General'!$G$9),1)</f>
        <v>43983</v>
      </c>
      <c r="M4" s="152">
        <f>DATE(PPFirstYear+3,MONTH('Input|General'!$G$9),1)</f>
        <v>44348</v>
      </c>
      <c r="N4" s="152">
        <f>DATE(PPFirstYear+4,MONTH('Input|General'!$G$9),1)</f>
        <v>44713</v>
      </c>
      <c r="O4" s="152">
        <f>DATE(PPFirstYear+5,MONTH('Input|General'!$G$9),1)</f>
        <v>45078</v>
      </c>
      <c r="P4" s="152">
        <f>DATE(PPFirstYear+6,MONTH('Input|General'!$G$9),1)</f>
        <v>45444</v>
      </c>
      <c r="Q4" s="152">
        <f>DATE(PPFirstYear+7,MONTH('Input|General'!$G$9),1)</f>
        <v>45809</v>
      </c>
      <c r="R4" s="152">
        <f>DATE(PPFirstYear+8,MONTH('Input|General'!$G$9),1)</f>
        <v>46174</v>
      </c>
      <c r="S4" s="152">
        <f>DATE(PPFirstYear+9,MONTH('Input|General'!$G$9),1)</f>
        <v>46539</v>
      </c>
      <c r="T4" s="152">
        <f>DATE(PPFirstYear+10,MONTH('Input|General'!$G$9),1)</f>
        <v>46905</v>
      </c>
      <c r="U4" s="86"/>
      <c r="V4" s="86"/>
      <c r="W4" s="87"/>
      <c r="X4" s="87"/>
    </row>
    <row r="5" spans="1:48" s="26" customFormat="1" ht="3" customHeight="1">
      <c r="D5" s="27"/>
      <c r="E5" s="27"/>
      <c r="F5" s="27"/>
      <c r="G5" s="27"/>
      <c r="H5" s="27"/>
      <c r="I5" s="27"/>
    </row>
    <row r="6" spans="1:48" s="26" customFormat="1" ht="9" customHeight="1">
      <c r="D6" s="27"/>
      <c r="E6" s="27"/>
      <c r="F6" s="27"/>
      <c r="G6" s="27"/>
      <c r="H6" s="27"/>
      <c r="I6" s="27"/>
    </row>
    <row r="7" spans="1:48" s="26" customFormat="1" ht="3" customHeight="1">
      <c r="D7" s="27"/>
      <c r="E7" s="27"/>
      <c r="F7" s="27"/>
      <c r="G7" s="27"/>
      <c r="H7" s="27"/>
      <c r="I7" s="27"/>
    </row>
    <row r="8" spans="1:48" s="102" customFormat="1" ht="12.75">
      <c r="A8" s="93"/>
      <c r="B8" s="94" t="s">
        <v>86</v>
      </c>
      <c r="C8" s="93"/>
      <c r="D8" s="93"/>
      <c r="E8" s="67" t="s">
        <v>15</v>
      </c>
      <c r="F8" s="195">
        <f>DATE(PPLastYear,MONTH('Input|General'!$G$9),1)</f>
        <v>44713</v>
      </c>
      <c r="G8" s="95"/>
      <c r="H8" s="95"/>
      <c r="I8" s="95"/>
      <c r="J8" s="96"/>
      <c r="K8" s="97"/>
      <c r="L8" s="96"/>
      <c r="M8" s="97"/>
      <c r="N8" s="96"/>
      <c r="O8" s="96"/>
      <c r="P8" s="96"/>
      <c r="Q8" s="96"/>
      <c r="R8" s="96"/>
      <c r="S8" s="96"/>
      <c r="T8" s="96"/>
      <c r="U8" s="96"/>
      <c r="V8" s="96"/>
      <c r="W8" s="97"/>
      <c r="X8" s="97"/>
      <c r="Y8" s="98"/>
      <c r="Z8" s="98"/>
      <c r="AA8" s="98"/>
      <c r="AB8" s="98"/>
      <c r="AC8" s="99"/>
      <c r="AD8" s="100"/>
      <c r="AE8" s="100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</row>
    <row r="9" spans="1:48" outlineLevel="1"/>
    <row r="10" spans="1:48" outlineLevel="1">
      <c r="C10" s="103"/>
      <c r="D10" s="31" t="s">
        <v>7</v>
      </c>
      <c r="E10" s="31" t="s">
        <v>8</v>
      </c>
      <c r="F10" s="31" t="s">
        <v>22</v>
      </c>
      <c r="G10" s="104"/>
      <c r="H10" s="104"/>
      <c r="I10" s="104"/>
      <c r="J10" s="158">
        <f t="shared" ref="J10:S10" si="0">IF(YEAR(J$4)&lt;=PPLastYear,J$4,"")</f>
        <v>43252</v>
      </c>
      <c r="K10" s="158">
        <f t="shared" si="0"/>
        <v>43617</v>
      </c>
      <c r="L10" s="158">
        <f t="shared" si="0"/>
        <v>43983</v>
      </c>
      <c r="M10" s="158">
        <f t="shared" si="0"/>
        <v>44348</v>
      </c>
      <c r="N10" s="158">
        <f t="shared" si="0"/>
        <v>44713</v>
      </c>
      <c r="O10" s="158" t="str">
        <f t="shared" si="0"/>
        <v/>
      </c>
      <c r="P10" s="158" t="str">
        <f t="shared" si="0"/>
        <v/>
      </c>
      <c r="Q10" s="158" t="str">
        <f t="shared" si="0"/>
        <v/>
      </c>
      <c r="R10" s="158" t="str">
        <f t="shared" si="0"/>
        <v/>
      </c>
      <c r="S10" s="158" t="str">
        <f t="shared" si="0"/>
        <v/>
      </c>
      <c r="T10" s="158"/>
    </row>
    <row r="11" spans="1:48" outlineLevel="1">
      <c r="C11" s="105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48" outlineLevel="1">
      <c r="C12" s="105" t="s">
        <v>160</v>
      </c>
      <c r="D12" s="107" t="s">
        <v>92</v>
      </c>
      <c r="E12" s="29" t="str">
        <f>'Input|Reported opex'!E57</f>
        <v>$millions</v>
      </c>
      <c r="F12" s="157" t="str">
        <f>'Input|Reported opex'!F57</f>
        <v>nominal</v>
      </c>
      <c r="J12" s="108">
        <f>IF(YEAR(J$4)=BaseYear,'Input|Reported opex'!J47,0)</f>
        <v>0</v>
      </c>
      <c r="K12" s="108">
        <f>IF(YEAR(K$4)=BaseYear,'Input|Reported opex'!K47,0)</f>
        <v>0</v>
      </c>
      <c r="L12" s="108">
        <f>IF(YEAR(L$4)=BaseYear,'Input|Reported opex'!L47,0)</f>
        <v>17.9634545140302</v>
      </c>
      <c r="M12" s="108">
        <f>IF(YEAR(M$4)=BaseYear,'Input|Reported opex'!M47,0)</f>
        <v>0</v>
      </c>
      <c r="N12" s="108">
        <f>IF(YEAR(N$4)=BaseYear,'Input|Reported opex'!N47,0)</f>
        <v>0</v>
      </c>
      <c r="O12" s="108">
        <f>IF(YEAR(O$4)=BaseYear,'Input|Reported opex'!O47,0)</f>
        <v>0</v>
      </c>
      <c r="P12" s="108">
        <f>IF(YEAR(P$4)=BaseYear,'Input|Reported opex'!P47,0)</f>
        <v>0</v>
      </c>
      <c r="Q12" s="108">
        <f>IF(YEAR(Q$4)=BaseYear,'Input|Reported opex'!Q47,0)</f>
        <v>0</v>
      </c>
      <c r="R12" s="108">
        <f>IF(YEAR(R$4)=BaseYear,'Input|Reported opex'!R47,0)</f>
        <v>0</v>
      </c>
      <c r="S12" s="108">
        <f>IF(YEAR(S$4)=BaseYear,'Input|Reported opex'!S47,0)</f>
        <v>0</v>
      </c>
      <c r="T12" s="108">
        <f>IF(YEAR(T$4)=BaseYear,'Input|Reported opex'!T47,0)</f>
        <v>0</v>
      </c>
    </row>
    <row r="13" spans="1:48" outlineLevel="1">
      <c r="C13" s="105" t="s">
        <v>160</v>
      </c>
      <c r="D13" s="109" t="s">
        <v>30</v>
      </c>
      <c r="E13" s="29" t="str">
        <f>$E$8</f>
        <v>$millions</v>
      </c>
      <c r="F13" s="157">
        <f>$F$8</f>
        <v>44713</v>
      </c>
      <c r="J13" s="108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8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8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19.320147974545662</v>
      </c>
      <c r="M13" s="108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8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8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8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8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8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8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108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8" outlineLevel="1">
      <c r="C14" s="110" t="s">
        <v>161</v>
      </c>
      <c r="D14" s="107" t="s">
        <v>92</v>
      </c>
      <c r="E14" s="29" t="str">
        <f>'Input|Reported opex'!E15</f>
        <v>$millions</v>
      </c>
      <c r="F14" s="157">
        <f>'Input|Reported opex'!F15</f>
        <v>42887</v>
      </c>
      <c r="J14" s="108">
        <f>IF(YEAR(J$4)=BaseYear,'Input|Reported opex'!J15,0)</f>
        <v>0</v>
      </c>
      <c r="K14" s="108">
        <f>IF(YEAR(K$4)=BaseYear,'Input|Reported opex'!K15,0)</f>
        <v>0</v>
      </c>
      <c r="L14" s="108">
        <f>IF(YEAR(L$4)=BaseYear,'Input|Reported opex'!L15,0)</f>
        <v>14.412354062578697</v>
      </c>
      <c r="M14" s="108">
        <f>IF(YEAR(M$4)=BaseYear,'Input|Reported opex'!M15,0)</f>
        <v>0</v>
      </c>
      <c r="N14" s="108">
        <f>IF(YEAR(N$4)=BaseYear,'Input|Reported opex'!N15,0)</f>
        <v>0</v>
      </c>
      <c r="O14" s="108">
        <f>IF(YEAR(O$4)=BaseYear,'Input|Reported opex'!O15,0)</f>
        <v>0</v>
      </c>
      <c r="P14" s="108">
        <f>IF(YEAR(P$4)=BaseYear,'Input|Reported opex'!P15,0)</f>
        <v>0</v>
      </c>
      <c r="Q14" s="108">
        <f>IF(YEAR(Q$4)=BaseYear,'Input|Reported opex'!Q15,0)</f>
        <v>0</v>
      </c>
      <c r="R14" s="108">
        <f>IF(YEAR(R$4)=BaseYear,'Input|Reported opex'!R15,0)</f>
        <v>0</v>
      </c>
      <c r="S14" s="108">
        <f>IF(YEAR(S$4)=BaseYear,'Input|Reported opex'!S15,0)</f>
        <v>0</v>
      </c>
      <c r="T14" s="108"/>
    </row>
    <row r="15" spans="1:48" outlineLevel="1">
      <c r="C15" s="110" t="s">
        <v>161</v>
      </c>
      <c r="D15" s="109" t="s">
        <v>30</v>
      </c>
      <c r="E15" s="29" t="str">
        <f>$E$8</f>
        <v>$millions</v>
      </c>
      <c r="F15" s="157">
        <f>$F$8</f>
        <v>44713</v>
      </c>
      <c r="J15" s="108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8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8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16.0469259257736</v>
      </c>
      <c r="M15" s="108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108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8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8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8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8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8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8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48" outlineLevel="1">
      <c r="C16" s="110" t="s">
        <v>162</v>
      </c>
      <c r="D16" s="107" t="s">
        <v>92</v>
      </c>
      <c r="E16" s="29" t="str">
        <f>'Input|Reported opex'!E15</f>
        <v>$millions</v>
      </c>
      <c r="F16" s="157">
        <f>'Input|Reported opex'!F15</f>
        <v>42887</v>
      </c>
      <c r="J16" s="108">
        <f>IF(YEAR(J$4)=PPLastYear,'Input|Reported opex'!J15,0)</f>
        <v>0</v>
      </c>
      <c r="K16" s="108">
        <f>IF(YEAR(K$4)=PPLastYear,'Input|Reported opex'!K15,0)</f>
        <v>0</v>
      </c>
      <c r="L16" s="108">
        <f>IF(YEAR(L$4)=PPLastYear,'Input|Reported opex'!L15,0)</f>
        <v>0</v>
      </c>
      <c r="M16" s="108">
        <f>IF(YEAR(M$4)=PPLastYear,'Input|Reported opex'!M15,0)</f>
        <v>0</v>
      </c>
      <c r="N16" s="108">
        <f>IF(YEAR(N$4)=PPLastYear,'Input|Reported opex'!N15,0)</f>
        <v>14.354774884375532</v>
      </c>
      <c r="O16" s="108">
        <f>IF(YEAR(O$4)=PPLastYear,'Input|Reported opex'!O15,0)</f>
        <v>0</v>
      </c>
      <c r="P16" s="108">
        <f>IF(YEAR(P$4)=PPLastYear,'Input|Reported opex'!P15,0)</f>
        <v>0</v>
      </c>
      <c r="Q16" s="108">
        <f>IF(YEAR(Q$4)=PPLastYear,'Input|Reported opex'!Q15,0)</f>
        <v>0</v>
      </c>
      <c r="R16" s="108">
        <f>IF(YEAR(R$4)=PPLastYear,'Input|Reported opex'!R15,0)</f>
        <v>0</v>
      </c>
      <c r="S16" s="108">
        <f>IF(YEAR(S$4)=PPLastYear,'Input|Reported opex'!S15,0)</f>
        <v>0</v>
      </c>
      <c r="T16" s="108"/>
    </row>
    <row r="17" spans="3:20" outlineLevel="1">
      <c r="C17" s="110" t="s">
        <v>162</v>
      </c>
      <c r="D17" s="109" t="s">
        <v>30</v>
      </c>
      <c r="E17" s="29" t="str">
        <f>$E$8</f>
        <v>$millions</v>
      </c>
      <c r="F17" s="157">
        <f>$F$8</f>
        <v>44713</v>
      </c>
      <c r="J17" s="108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8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8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8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8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15.982816426140076</v>
      </c>
      <c r="O17" s="108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108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8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8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8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8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0"/>
      <c r="D18" s="109"/>
      <c r="F18" s="157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</row>
    <row r="19" spans="3:20" outlineLevel="1">
      <c r="C19" s="105" t="s">
        <v>163</v>
      </c>
      <c r="D19" s="107" t="s">
        <v>92</v>
      </c>
      <c r="E19" s="29" t="str">
        <f>'Input|Reported opex'!E64</f>
        <v>$millions</v>
      </c>
      <c r="F19" s="157" t="str">
        <f>'Input|Reported opex'!F57</f>
        <v>nominal</v>
      </c>
      <c r="J19" s="108">
        <f>IF(YEAR(J$4)=BaseYear,'Input|Reported opex'!J57,0)</f>
        <v>0</v>
      </c>
      <c r="K19" s="108">
        <f>IF(YEAR(K$4)=BaseYear,'Input|Reported opex'!K57,0)</f>
        <v>0</v>
      </c>
      <c r="L19" s="108">
        <f>IF(YEAR(L$4)=BaseYear,'Input|Reported opex'!L57,0)</f>
        <v>0.25656129349019513</v>
      </c>
      <c r="M19" s="108">
        <f>IF(YEAR(M$4)=BaseYear,'Input|Reported opex'!M57,0)</f>
        <v>0</v>
      </c>
      <c r="N19" s="108">
        <f>IF(YEAR(N$4)=BaseYear,'Input|Reported opex'!N57,0)</f>
        <v>0</v>
      </c>
      <c r="O19" s="108">
        <f>IF(YEAR(O$4)=BaseYear,'Input|Reported opex'!O57,0)</f>
        <v>0</v>
      </c>
      <c r="P19" s="108">
        <f>IF(YEAR(P$4)=BaseYear,'Input|Reported opex'!P57,0)</f>
        <v>0</v>
      </c>
      <c r="Q19" s="108">
        <f>IF(YEAR(Q$4)=BaseYear,'Input|Reported opex'!Q57,0)</f>
        <v>0</v>
      </c>
      <c r="R19" s="108">
        <f>IF(YEAR(R$4)=BaseYear,'Input|Reported opex'!R57,0)</f>
        <v>0</v>
      </c>
      <c r="S19" s="108">
        <f>IF(YEAR(S$4)=BaseYear,'Input|Reported opex'!S57,0)</f>
        <v>0</v>
      </c>
      <c r="T19" s="108"/>
    </row>
    <row r="20" spans="3:20" outlineLevel="1">
      <c r="C20" s="105" t="s">
        <v>163</v>
      </c>
      <c r="D20" s="109" t="s">
        <v>30</v>
      </c>
      <c r="E20" s="29" t="str">
        <f>$E$8</f>
        <v>$millions</v>
      </c>
      <c r="F20" s="157">
        <f>$F$8</f>
        <v>44713</v>
      </c>
      <c r="J20" s="108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108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108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0.27593813600273498</v>
      </c>
      <c r="M20" s="108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108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108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108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108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108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108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108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10" t="s">
        <v>164</v>
      </c>
      <c r="D21" s="107" t="s">
        <v>92</v>
      </c>
      <c r="E21" s="29" t="str">
        <f>'Input|Reported opex'!E22</f>
        <v>$millions</v>
      </c>
      <c r="F21" s="157">
        <f>'Input|Reported opex'!F29</f>
        <v>42887</v>
      </c>
      <c r="J21" s="108">
        <f>IF(YEAR(J$4)=BaseYear,'Input|Reported opex'!J29,0)</f>
        <v>0</v>
      </c>
      <c r="K21" s="108">
        <f>IF(YEAR(K$4)=BaseYear,'Input|Reported opex'!K29,0)</f>
        <v>0</v>
      </c>
      <c r="L21" s="108">
        <f>IF(YEAR(L$4)=BaseYear,'Input|Reported opex'!L29,0)</f>
        <v>0.25800194905659918</v>
      </c>
      <c r="M21" s="108">
        <f>IF(YEAR(M$4)=BaseYear,'Input|Reported opex'!M29,0)</f>
        <v>0</v>
      </c>
      <c r="N21" s="108">
        <f>IF(YEAR(N$4)=BaseYear,'Input|Reported opex'!N29,0)</f>
        <v>0</v>
      </c>
      <c r="O21" s="108">
        <f>IF(YEAR(O$4)=BaseYear,'Input|Reported opex'!O29,0)</f>
        <v>0</v>
      </c>
      <c r="P21" s="108">
        <f>IF(YEAR(P$4)=BaseYear,'Input|Reported opex'!P29,0)</f>
        <v>0</v>
      </c>
      <c r="Q21" s="108">
        <f>IF(YEAR(Q$4)=BaseYear,'Input|Reported opex'!Q29,0)</f>
        <v>0</v>
      </c>
      <c r="R21" s="108">
        <f>IF(YEAR(R$4)=BaseYear,'Input|Reported opex'!R29,0)</f>
        <v>0</v>
      </c>
      <c r="S21" s="108">
        <f>IF(YEAR(S$4)=BaseYear,'Input|Reported opex'!S29,0)</f>
        <v>0</v>
      </c>
      <c r="T21" s="108"/>
    </row>
    <row r="22" spans="3:20" outlineLevel="1">
      <c r="C22" s="110" t="s">
        <v>164</v>
      </c>
      <c r="D22" s="109" t="s">
        <v>30</v>
      </c>
      <c r="E22" s="29" t="str">
        <f>$E$8</f>
        <v>$millions</v>
      </c>
      <c r="F22" s="157">
        <f>$F$8</f>
        <v>44713</v>
      </c>
      <c r="J22" s="108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108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108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0.28726314571789641</v>
      </c>
      <c r="M22" s="108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108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108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108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108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108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108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108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10" t="s">
        <v>165</v>
      </c>
      <c r="D23" s="107" t="s">
        <v>92</v>
      </c>
      <c r="E23" s="29" t="str">
        <f>'Input|Reported opex'!E22</f>
        <v>$millions</v>
      </c>
      <c r="F23" s="157">
        <f>'Input|Reported opex'!F29</f>
        <v>42887</v>
      </c>
      <c r="J23" s="108">
        <f>IF(YEAR(J$4)=PPLastYear,'Input|Reported opex'!J29,0)</f>
        <v>0</v>
      </c>
      <c r="K23" s="108">
        <f>IF(YEAR(K$4)=PPLastYear,'Input|Reported opex'!K29,0)</f>
        <v>0</v>
      </c>
      <c r="L23" s="108">
        <f>IF(YEAR(L$4)=PPLastYear,'Input|Reported opex'!L29,0)</f>
        <v>0</v>
      </c>
      <c r="M23" s="108">
        <f>IF(YEAR(M$4)=PPLastYear,'Input|Reported opex'!M29,0)</f>
        <v>0</v>
      </c>
      <c r="N23" s="108">
        <f>IF(YEAR(N$4)=PPLastYear,'Input|Reported opex'!N29,0)</f>
        <v>0.25157277085343521</v>
      </c>
      <c r="O23" s="108">
        <f>IF(YEAR(O$4)=PPLastYear,'Input|Reported opex'!O29,0)</f>
        <v>0</v>
      </c>
      <c r="P23" s="108">
        <f>IF(YEAR(P$4)=PPLastYear,'Input|Reported opex'!P29,0)</f>
        <v>0</v>
      </c>
      <c r="Q23" s="108">
        <f>IF(YEAR(Q$4)=PPLastYear,'Input|Reported opex'!Q29,0)</f>
        <v>0</v>
      </c>
      <c r="R23" s="108">
        <f>IF(YEAR(R$4)=PPLastYear,'Input|Reported opex'!R29,0)</f>
        <v>0</v>
      </c>
      <c r="S23" s="108">
        <f>IF(YEAR(S$4)=PPLastYear,'Input|Reported opex'!S29,0)</f>
        <v>0</v>
      </c>
      <c r="T23" s="108"/>
    </row>
    <row r="24" spans="3:20" outlineLevel="1">
      <c r="C24" s="110" t="s">
        <v>165</v>
      </c>
      <c r="D24" s="109" t="s">
        <v>30</v>
      </c>
      <c r="E24" s="29" t="str">
        <f>$E$8</f>
        <v>$millions</v>
      </c>
      <c r="F24" s="157">
        <f>$F$8</f>
        <v>44713</v>
      </c>
      <c r="J24" s="108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108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108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108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108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0.28010480462095899</v>
      </c>
      <c r="O24" s="108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108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108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108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108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108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10"/>
      <c r="F25" s="111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</row>
    <row r="26" spans="3:20" outlineLevel="1">
      <c r="C26" s="112" t="s">
        <v>136</v>
      </c>
      <c r="D26" s="113" t="s">
        <v>30</v>
      </c>
      <c r="E26" s="113" t="str">
        <f>$E$8</f>
        <v>$millions</v>
      </c>
      <c r="F26" s="157">
        <f>$F$8</f>
        <v>44713</v>
      </c>
      <c r="J26" s="114">
        <f ca="1">J13</f>
        <v>0</v>
      </c>
      <c r="K26" s="114">
        <f t="shared" ref="K26:S26" ca="1" si="1">K13</f>
        <v>0</v>
      </c>
      <c r="L26" s="114">
        <f t="shared" ca="1" si="1"/>
        <v>19.320147974545662</v>
      </c>
      <c r="M26" s="114">
        <f t="shared" ca="1" si="1"/>
        <v>0</v>
      </c>
      <c r="N26" s="114">
        <f t="shared" ca="1" si="1"/>
        <v>0</v>
      </c>
      <c r="O26" s="114">
        <f t="shared" ca="1" si="1"/>
        <v>0</v>
      </c>
      <c r="P26" s="114">
        <f t="shared" ca="1" si="1"/>
        <v>0</v>
      </c>
      <c r="Q26" s="114">
        <f t="shared" ca="1" si="1"/>
        <v>0</v>
      </c>
      <c r="R26" s="114">
        <f t="shared" ca="1" si="1"/>
        <v>0</v>
      </c>
      <c r="S26" s="114">
        <f t="shared" ca="1" si="1"/>
        <v>0</v>
      </c>
      <c r="T26" s="114"/>
    </row>
    <row r="27" spans="3:20" outlineLevel="1">
      <c r="C27" s="122"/>
      <c r="D27" s="109"/>
      <c r="E27" s="109"/>
      <c r="F27" s="157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</row>
    <row r="28" spans="3:20" outlineLevel="1">
      <c r="C28" s="122" t="s">
        <v>158</v>
      </c>
      <c r="D28" s="107" t="s">
        <v>92</v>
      </c>
      <c r="E28" s="109" t="str">
        <f>'Input|Reported opex'!E69</f>
        <v>$millions</v>
      </c>
      <c r="F28" s="157">
        <f>'Input|Reported opex'!F69</f>
        <v>44713</v>
      </c>
      <c r="J28" s="114">
        <f>IF('Input|Reported opex'!J$61='Input|Reported opex'!J$10,'Input|Reported opex'!J69,0)</f>
        <v>0</v>
      </c>
      <c r="K28" s="114">
        <f>IF('Input|Reported opex'!K$61='Input|Reported opex'!K$10,'Input|Reported opex'!K69,0)</f>
        <v>0</v>
      </c>
      <c r="L28" s="114">
        <f>IF('Input|Reported opex'!L$61='Input|Reported opex'!L$10,'Input|Reported opex'!L69,0)</f>
        <v>0</v>
      </c>
      <c r="M28" s="114">
        <f>IF('Input|Reported opex'!M$61='Input|Reported opex'!M$10,'Input|Reported opex'!M69,0)</f>
        <v>0</v>
      </c>
      <c r="N28" s="114">
        <f>IF('Input|Reported opex'!N$61='Input|Reported opex'!N$10,'Input|Reported opex'!N69,0)</f>
        <v>0</v>
      </c>
      <c r="O28" s="114">
        <f>IF('Input|Reported opex'!O$61='Input|Reported opex'!O$10,'Input|Reported opex'!O69,0)</f>
        <v>0</v>
      </c>
      <c r="P28" s="114">
        <f>IF('Input|Reported opex'!P$61='Input|Reported opex'!P$10,'Input|Reported opex'!P69,0)</f>
        <v>0</v>
      </c>
      <c r="Q28" s="114">
        <f>IF('Input|Reported opex'!Q$61='Input|Reported opex'!Q$10,'Input|Reported opex'!Q69,0)</f>
        <v>0</v>
      </c>
      <c r="R28" s="114">
        <f>IF('Input|Reported opex'!R$61='Input|Reported opex'!R$10,'Input|Reported opex'!R69,0)</f>
        <v>0</v>
      </c>
      <c r="S28" s="114">
        <f>IF('Input|Reported opex'!S$61='Input|Reported opex'!S$10,'Input|Reported opex'!S69,0)</f>
        <v>0</v>
      </c>
      <c r="T28" s="114"/>
    </row>
    <row r="29" spans="3:20" outlineLevel="1">
      <c r="C29" s="122" t="str">
        <f>C28</f>
        <v>Add back non-recurrent efficiency gains in the base year</v>
      </c>
      <c r="D29" s="109" t="s">
        <v>30</v>
      </c>
      <c r="E29" s="109" t="str">
        <f>$E$8</f>
        <v>$millions</v>
      </c>
      <c r="F29" s="157">
        <f>$F$8</f>
        <v>44713</v>
      </c>
      <c r="J29" s="114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114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114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114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114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114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114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114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114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114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114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122"/>
      <c r="D30" s="109"/>
      <c r="E30" s="109"/>
      <c r="F30" s="157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</row>
    <row r="31" spans="3:20" outlineLevel="1">
      <c r="C31" s="122" t="s">
        <v>156</v>
      </c>
      <c r="D31" s="109" t="s">
        <v>30</v>
      </c>
      <c r="E31" s="109" t="str">
        <f>$E$8</f>
        <v>$millions</v>
      </c>
      <c r="F31" s="157">
        <f>$F$8</f>
        <v>44713</v>
      </c>
      <c r="G31" s="109"/>
      <c r="H31" s="109"/>
      <c r="I31" s="109"/>
      <c r="J31" s="171">
        <f t="shared" ref="J31:S31" si="2">IF(YEAR(J$4)=PPLastYear,-SUM($J15:$S15)+SUM($J17:$S17),0)</f>
        <v>0</v>
      </c>
      <c r="K31" s="171">
        <f t="shared" si="2"/>
        <v>0</v>
      </c>
      <c r="L31" s="171">
        <f t="shared" si="2"/>
        <v>0</v>
      </c>
      <c r="M31" s="171">
        <f t="shared" si="2"/>
        <v>0</v>
      </c>
      <c r="N31" s="171">
        <f t="shared" si="2"/>
        <v>-6.4109499633524081E-2</v>
      </c>
      <c r="O31" s="171">
        <f t="shared" si="2"/>
        <v>0</v>
      </c>
      <c r="P31" s="171">
        <f t="shared" si="2"/>
        <v>0</v>
      </c>
      <c r="Q31" s="171">
        <f t="shared" si="2"/>
        <v>0</v>
      </c>
      <c r="R31" s="171">
        <f t="shared" si="2"/>
        <v>0</v>
      </c>
      <c r="S31" s="171">
        <f t="shared" si="2"/>
        <v>0</v>
      </c>
      <c r="T31" s="171"/>
    </row>
    <row r="32" spans="3:20" outlineLevel="1">
      <c r="C32" s="122"/>
      <c r="D32" s="109"/>
      <c r="E32" s="109"/>
      <c r="F32" s="157"/>
      <c r="G32" s="109"/>
      <c r="H32" s="109"/>
      <c r="I32" s="109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</row>
    <row r="33" spans="3:20" outlineLevel="1">
      <c r="C33" s="122" t="s">
        <v>104</v>
      </c>
      <c r="D33" s="109" t="s">
        <v>30</v>
      </c>
      <c r="E33" s="109" t="str">
        <f>$E$8</f>
        <v>$millions</v>
      </c>
      <c r="F33" s="157">
        <f>$F$8</f>
        <v>44713</v>
      </c>
      <c r="J33" s="171">
        <f t="shared" ref="J33:S33" si="3">IF(YEAR(J$4)=PPLastYear,SUM($J26:$S26,$J29:$S29,$J31:$S31),0)</f>
        <v>0</v>
      </c>
      <c r="K33" s="171">
        <f t="shared" si="3"/>
        <v>0</v>
      </c>
      <c r="L33" s="171">
        <f t="shared" si="3"/>
        <v>0</v>
      </c>
      <c r="M33" s="171">
        <f t="shared" si="3"/>
        <v>0</v>
      </c>
      <c r="N33" s="171">
        <f t="shared" ca="1" si="3"/>
        <v>19.256038474912138</v>
      </c>
      <c r="O33" s="171">
        <f t="shared" si="3"/>
        <v>0</v>
      </c>
      <c r="P33" s="171">
        <f t="shared" si="3"/>
        <v>0</v>
      </c>
      <c r="Q33" s="171">
        <f t="shared" si="3"/>
        <v>0</v>
      </c>
      <c r="R33" s="171">
        <f t="shared" si="3"/>
        <v>0</v>
      </c>
      <c r="S33" s="171">
        <f t="shared" si="3"/>
        <v>0</v>
      </c>
      <c r="T33" s="171"/>
    </row>
    <row r="34" spans="3:20" outlineLevel="1">
      <c r="C34" s="122"/>
      <c r="D34" s="109"/>
      <c r="E34" s="109"/>
      <c r="F34" s="157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</row>
    <row r="35" spans="3:20" outlineLevel="1">
      <c r="C35" s="122" t="s">
        <v>166</v>
      </c>
      <c r="D35" s="109" t="s">
        <v>30</v>
      </c>
      <c r="E35" s="109" t="str">
        <f>$E$8</f>
        <v>$millions</v>
      </c>
      <c r="F35" s="157">
        <f>$F$8</f>
        <v>44713</v>
      </c>
      <c r="J35" s="114">
        <f t="shared" ref="J35:S35" si="4">IF(YEAR(J$4)=PPLastYear,-(SUM($J20:$S20)-SUM($J22:$S22)+SUM($J24:$S24)),0)</f>
        <v>0</v>
      </c>
      <c r="K35" s="114">
        <f t="shared" si="4"/>
        <v>0</v>
      </c>
      <c r="L35" s="114">
        <f t="shared" si="4"/>
        <v>0</v>
      </c>
      <c r="M35" s="114">
        <f t="shared" si="4"/>
        <v>0</v>
      </c>
      <c r="N35" s="114">
        <f t="shared" si="4"/>
        <v>-0.26877979490579756</v>
      </c>
      <c r="O35" s="114">
        <f t="shared" si="4"/>
        <v>0</v>
      </c>
      <c r="P35" s="114">
        <f t="shared" si="4"/>
        <v>0</v>
      </c>
      <c r="Q35" s="114">
        <f t="shared" si="4"/>
        <v>0</v>
      </c>
      <c r="R35" s="114">
        <f t="shared" si="4"/>
        <v>0</v>
      </c>
      <c r="S35" s="114">
        <f t="shared" si="4"/>
        <v>0</v>
      </c>
      <c r="T35" s="114"/>
    </row>
    <row r="36" spans="3:20" outlineLevel="1">
      <c r="C36" s="122"/>
      <c r="D36" s="109"/>
      <c r="E36" s="109"/>
      <c r="F36" s="157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</row>
    <row r="37" spans="3:20" outlineLevel="1">
      <c r="C37" s="122" t="str">
        <f>'Input|Reported opex'!$C$63</f>
        <v>Adjustment 1</v>
      </c>
      <c r="D37" s="107" t="s">
        <v>92</v>
      </c>
      <c r="E37" s="109" t="str">
        <f>'Input|Reported opex'!E63</f>
        <v>$millions</v>
      </c>
      <c r="F37" s="157">
        <f>'Input|Reported opex'!F63</f>
        <v>44713</v>
      </c>
      <c r="J37" s="108">
        <f>IF(YEAR(J$4)=PPLastYear,'Input|Reported opex'!J63,0)</f>
        <v>0</v>
      </c>
      <c r="K37" s="108">
        <f>IF(YEAR(K$4)=PPLastYear,'Input|Reported opex'!K63,0)</f>
        <v>0</v>
      </c>
      <c r="L37" s="108">
        <f>IF(YEAR(L$4)=PPLastYear,'Input|Reported opex'!L63,0)</f>
        <v>0</v>
      </c>
      <c r="M37" s="108">
        <f>IF(YEAR(M$4)=PPLastYear,'Input|Reported opex'!M63,0)</f>
        <v>0</v>
      </c>
      <c r="N37" s="108">
        <f>IF(YEAR(N$4)=PPLastYear,'Input|Reported opex'!N63,0)</f>
        <v>0</v>
      </c>
      <c r="O37" s="108">
        <f>IF(YEAR(O$4)=PPLastYear,'Input|Reported opex'!O63,0)</f>
        <v>0</v>
      </c>
      <c r="P37" s="108">
        <f>IF(YEAR(P$4)=PPLastYear,'Input|Reported opex'!P63,0)</f>
        <v>0</v>
      </c>
      <c r="Q37" s="108">
        <f>IF(YEAR(Q$4)=PPLastYear,'Input|Reported opex'!Q63,0)</f>
        <v>0</v>
      </c>
      <c r="R37" s="108">
        <f>IF(YEAR(R$4)=PPLastYear,'Input|Reported opex'!R63,0)</f>
        <v>0</v>
      </c>
      <c r="S37" s="108">
        <f>IF(YEAR(S$4)=PPLastYear,'Input|Reported opex'!S63,0)</f>
        <v>0</v>
      </c>
      <c r="T37" s="108"/>
    </row>
    <row r="38" spans="3:20" outlineLevel="1">
      <c r="C38" s="122" t="str">
        <f>C37</f>
        <v>Adjustment 1</v>
      </c>
      <c r="D38" s="109" t="s">
        <v>30</v>
      </c>
      <c r="E38" s="29" t="str">
        <f>$E$8</f>
        <v>$millions</v>
      </c>
      <c r="F38" s="157">
        <f>$F$8</f>
        <v>44713</v>
      </c>
      <c r="J38" s="114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114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114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114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114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114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114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114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114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114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114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122"/>
      <c r="D39" s="109"/>
      <c r="F39" s="157"/>
      <c r="J39" s="114"/>
      <c r="K39" s="114"/>
      <c r="L39" s="114"/>
      <c r="M39" s="114"/>
      <c r="N39" s="114"/>
      <c r="O39" s="114"/>
      <c r="P39" s="114"/>
      <c r="Q39" s="114"/>
      <c r="R39" s="108"/>
      <c r="S39" s="108"/>
      <c r="T39" s="108"/>
    </row>
    <row r="40" spans="3:20" outlineLevel="1">
      <c r="C40" s="122" t="str">
        <f>'Input|Reported opex'!$C$64</f>
        <v>Adjustment 2</v>
      </c>
      <c r="D40" s="107" t="s">
        <v>92</v>
      </c>
      <c r="E40" s="29" t="str">
        <f>'Input|Reported opex'!$E$64</f>
        <v>$millions</v>
      </c>
      <c r="F40" s="157">
        <f>'Input|Reported opex'!$F$64</f>
        <v>44713</v>
      </c>
      <c r="J40" s="108">
        <f>IF(YEAR(J$4)=PPLastYear,'Input|Reported opex'!J64,0)</f>
        <v>0</v>
      </c>
      <c r="K40" s="108">
        <f>IF(YEAR(K$4)=PPLastYear,'Input|Reported opex'!K64,0)</f>
        <v>0</v>
      </c>
      <c r="L40" s="108">
        <f>IF(YEAR(L$4)=PPLastYear,'Input|Reported opex'!L64,0)</f>
        <v>0</v>
      </c>
      <c r="M40" s="108">
        <f>IF(YEAR(M$4)=PPLastYear,'Input|Reported opex'!M64,0)</f>
        <v>0</v>
      </c>
      <c r="N40" s="108">
        <f>IF(YEAR(N$4)=PPLastYear,'Input|Reported opex'!N64,0)</f>
        <v>0</v>
      </c>
      <c r="O40" s="108">
        <f>IF(YEAR(O$4)=PPLastYear,'Input|Reported opex'!O64,0)</f>
        <v>0</v>
      </c>
      <c r="P40" s="108">
        <f>IF(YEAR(P$4)=PPLastYear,'Input|Reported opex'!P64,0)</f>
        <v>0</v>
      </c>
      <c r="Q40" s="108">
        <f>IF(YEAR(Q$4)=PPLastYear,'Input|Reported opex'!Q64,0)</f>
        <v>0</v>
      </c>
      <c r="R40" s="108">
        <f>IF(YEAR(R$4)=PPLastYear,'Input|Reported opex'!R64,0)</f>
        <v>0</v>
      </c>
      <c r="S40" s="108">
        <f>IF(YEAR(S$4)=PPLastYear,'Input|Reported opex'!S64,0)</f>
        <v>0</v>
      </c>
      <c r="T40" s="108"/>
    </row>
    <row r="41" spans="3:20" outlineLevel="1">
      <c r="C41" s="122" t="str">
        <f>C40</f>
        <v>Adjustment 2</v>
      </c>
      <c r="D41" s="109" t="s">
        <v>30</v>
      </c>
      <c r="E41" s="29" t="str">
        <f>$E$8</f>
        <v>$millions</v>
      </c>
      <c r="F41" s="157">
        <f>$F$8</f>
        <v>44713</v>
      </c>
      <c r="J41" s="114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114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114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114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114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114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114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114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114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114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114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122"/>
      <c r="D42" s="109"/>
      <c r="F42" s="157"/>
      <c r="J42" s="114"/>
      <c r="K42" s="114"/>
      <c r="L42" s="114"/>
      <c r="M42" s="114"/>
      <c r="N42" s="114"/>
      <c r="O42" s="114"/>
      <c r="P42" s="114"/>
      <c r="Q42" s="114"/>
      <c r="R42" s="108"/>
      <c r="S42" s="108"/>
      <c r="T42" s="108"/>
    </row>
    <row r="43" spans="3:20" outlineLevel="1">
      <c r="C43" s="122" t="str">
        <f>'Input|Reported opex'!$C$65</f>
        <v>Adjustment 3</v>
      </c>
      <c r="D43" s="107" t="s">
        <v>92</v>
      </c>
      <c r="E43" s="29" t="str">
        <f>'Input|Reported opex'!$E$65</f>
        <v>$millions</v>
      </c>
      <c r="F43" s="157">
        <f>'Input|Reported opex'!$F$65</f>
        <v>44713</v>
      </c>
      <c r="J43" s="108">
        <f>IF(YEAR(J$4)=PPLastYear,'Input|Reported opex'!J65,0)</f>
        <v>0</v>
      </c>
      <c r="K43" s="108">
        <f>IF(YEAR(K$4)=PPLastYear,'Input|Reported opex'!K65,0)</f>
        <v>0</v>
      </c>
      <c r="L43" s="108">
        <f>IF(YEAR(L$4)=PPLastYear,'Input|Reported opex'!L65,0)</f>
        <v>0</v>
      </c>
      <c r="M43" s="108">
        <f>IF(YEAR(M$4)=PPLastYear,'Input|Reported opex'!M65,0)</f>
        <v>0</v>
      </c>
      <c r="N43" s="108">
        <f>IF(YEAR(N$4)=PPLastYear,'Input|Reported opex'!N65,0)</f>
        <v>0</v>
      </c>
      <c r="O43" s="108">
        <f>IF(YEAR(O$4)=PPLastYear,'Input|Reported opex'!O65,0)</f>
        <v>0</v>
      </c>
      <c r="P43" s="108">
        <f>IF(YEAR(P$4)=PPLastYear,'Input|Reported opex'!P65,0)</f>
        <v>0</v>
      </c>
      <c r="Q43" s="108">
        <f>IF(YEAR(Q$4)=PPLastYear,'Input|Reported opex'!Q65,0)</f>
        <v>0</v>
      </c>
      <c r="R43" s="108">
        <f>IF(YEAR(R$4)=PPLastYear,'Input|Reported opex'!R65,0)</f>
        <v>0</v>
      </c>
      <c r="S43" s="108">
        <f>IF(YEAR(S$4)=PPLastYear,'Input|Reported opex'!S65,0)</f>
        <v>0</v>
      </c>
      <c r="T43" s="108"/>
    </row>
    <row r="44" spans="3:20" outlineLevel="1">
      <c r="C44" s="122" t="str">
        <f>C43</f>
        <v>Adjustment 3</v>
      </c>
      <c r="D44" s="109" t="s">
        <v>30</v>
      </c>
      <c r="E44" s="29" t="str">
        <f>$E$8</f>
        <v>$millions</v>
      </c>
      <c r="F44" s="157">
        <f>$F$8</f>
        <v>44713</v>
      </c>
      <c r="J44" s="114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114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114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114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114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114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114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114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114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114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114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122"/>
      <c r="D45" s="109"/>
      <c r="F45" s="157"/>
      <c r="J45" s="114"/>
      <c r="K45" s="114"/>
      <c r="L45" s="114"/>
      <c r="M45" s="114"/>
      <c r="N45" s="114"/>
      <c r="O45" s="114"/>
      <c r="P45" s="114"/>
      <c r="Q45" s="114"/>
      <c r="R45" s="108"/>
      <c r="S45" s="108"/>
      <c r="T45" s="108"/>
    </row>
    <row r="46" spans="3:20" outlineLevel="1">
      <c r="C46" s="122" t="str">
        <f>'Input|Reported opex'!$C$66</f>
        <v>Adjustment 4</v>
      </c>
      <c r="D46" s="107" t="s">
        <v>92</v>
      </c>
      <c r="E46" s="29" t="str">
        <f>'Input|Reported opex'!$E$66</f>
        <v>$millions</v>
      </c>
      <c r="F46" s="157">
        <f>'Input|Reported opex'!$F$66</f>
        <v>44713</v>
      </c>
      <c r="J46" s="108">
        <f>IF(YEAR(J$4)=PPLastYear,'Input|Reported opex'!J66,0)</f>
        <v>0</v>
      </c>
      <c r="K46" s="108">
        <f>IF(YEAR(K$4)=PPLastYear,'Input|Reported opex'!K66,0)</f>
        <v>0</v>
      </c>
      <c r="L46" s="108">
        <f>IF(YEAR(L$4)=PPLastYear,'Input|Reported opex'!L66,0)</f>
        <v>0</v>
      </c>
      <c r="M46" s="108">
        <f>IF(YEAR(M$4)=PPLastYear,'Input|Reported opex'!M66,0)</f>
        <v>0</v>
      </c>
      <c r="N46" s="108">
        <f>IF(YEAR(N$4)=PPLastYear,'Input|Reported opex'!N66,0)</f>
        <v>0</v>
      </c>
      <c r="O46" s="108">
        <f>IF(YEAR(O$4)=PPLastYear,'Input|Reported opex'!O66,0)</f>
        <v>0</v>
      </c>
      <c r="P46" s="108">
        <f>IF(YEAR(P$4)=PPLastYear,'Input|Reported opex'!P66,0)</f>
        <v>0</v>
      </c>
      <c r="Q46" s="108">
        <f>IF(YEAR(Q$4)=PPLastYear,'Input|Reported opex'!Q66,0)</f>
        <v>0</v>
      </c>
      <c r="R46" s="108">
        <f>IF(YEAR(R$4)=PPLastYear,'Input|Reported opex'!R66,0)</f>
        <v>0</v>
      </c>
      <c r="S46" s="108">
        <f>IF(YEAR(S$4)=PPLastYear,'Input|Reported opex'!S66,0)</f>
        <v>0</v>
      </c>
      <c r="T46" s="108"/>
    </row>
    <row r="47" spans="3:20" outlineLevel="1">
      <c r="C47" s="122" t="str">
        <f>C46</f>
        <v>Adjustment 4</v>
      </c>
      <c r="D47" s="109" t="s">
        <v>30</v>
      </c>
      <c r="E47" s="29" t="str">
        <f>$E$8</f>
        <v>$millions</v>
      </c>
      <c r="F47" s="157">
        <f>$F$8</f>
        <v>44713</v>
      </c>
      <c r="J47" s="114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114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114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114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114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114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114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114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114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114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114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122"/>
      <c r="D48" s="109"/>
      <c r="F48" s="157"/>
      <c r="J48" s="114"/>
      <c r="K48" s="114"/>
      <c r="L48" s="114"/>
      <c r="M48" s="114"/>
      <c r="N48" s="114"/>
      <c r="O48" s="114"/>
      <c r="P48" s="114"/>
      <c r="Q48" s="114"/>
      <c r="R48" s="108"/>
      <c r="S48" s="108"/>
      <c r="T48" s="108"/>
    </row>
    <row r="49" spans="1:48" outlineLevel="1">
      <c r="C49" s="122" t="str">
        <f>'Input|Reported opex'!$C$67</f>
        <v>Adjustment 5</v>
      </c>
      <c r="D49" s="107" t="s">
        <v>92</v>
      </c>
      <c r="E49" s="29" t="str">
        <f>'Input|Reported opex'!$E$67</f>
        <v>$millions</v>
      </c>
      <c r="F49" s="157">
        <f>'Input|Reported opex'!$F$67</f>
        <v>44713</v>
      </c>
      <c r="J49" s="108">
        <f>IF(YEAR(J$4)=PPLastYear,'Input|Reported opex'!J67,0)</f>
        <v>0</v>
      </c>
      <c r="K49" s="108">
        <f>IF(YEAR(K$4)=PPLastYear,'Input|Reported opex'!K67,0)</f>
        <v>0</v>
      </c>
      <c r="L49" s="108">
        <f>IF(YEAR(L$4)=PPLastYear,'Input|Reported opex'!L67,0)</f>
        <v>0</v>
      </c>
      <c r="M49" s="108">
        <f>IF(YEAR(M$4)=PPLastYear,'Input|Reported opex'!M67,0)</f>
        <v>0</v>
      </c>
      <c r="N49" s="108">
        <f>IF(YEAR(N$4)=PPLastYear,'Input|Reported opex'!N67,0)</f>
        <v>0</v>
      </c>
      <c r="O49" s="108">
        <f>IF(YEAR(O$4)=PPLastYear,'Input|Reported opex'!O67,0)</f>
        <v>0</v>
      </c>
      <c r="P49" s="108">
        <f>IF(YEAR(P$4)=PPLastYear,'Input|Reported opex'!P67,0)</f>
        <v>0</v>
      </c>
      <c r="Q49" s="108">
        <f>IF(YEAR(Q$4)=PPLastYear,'Input|Reported opex'!Q67,0)</f>
        <v>0</v>
      </c>
      <c r="R49" s="108">
        <f>IF(YEAR(R$4)=PPLastYear,'Input|Reported opex'!R67,0)</f>
        <v>0</v>
      </c>
      <c r="S49" s="108">
        <f>IF(YEAR(S$4)=PPLastYear,'Input|Reported opex'!S67,0)</f>
        <v>0</v>
      </c>
      <c r="T49" s="108"/>
    </row>
    <row r="50" spans="1:48" outlineLevel="1">
      <c r="C50" s="122" t="str">
        <f>C49</f>
        <v>Adjustment 5</v>
      </c>
      <c r="D50" s="109" t="s">
        <v>30</v>
      </c>
      <c r="E50" s="29" t="str">
        <f>$E$8</f>
        <v>$millions</v>
      </c>
      <c r="F50" s="157">
        <f>$F$8</f>
        <v>44713</v>
      </c>
      <c r="J50" s="114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114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114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114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114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114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114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114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114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114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114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48" outlineLevel="1">
      <c r="C51" s="122"/>
      <c r="D51" s="109"/>
      <c r="E51" s="109"/>
      <c r="F51" s="157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</row>
    <row r="52" spans="1:48" outlineLevel="1">
      <c r="C52" s="122" t="s">
        <v>89</v>
      </c>
      <c r="D52" s="109" t="s">
        <v>98</v>
      </c>
      <c r="E52" s="109" t="str">
        <f>$E$8</f>
        <v>$millions</v>
      </c>
      <c r="F52" s="157">
        <f>$F$8</f>
        <v>44713</v>
      </c>
      <c r="J52" s="114">
        <f>SUM(J33,J38,J41,J44,J47,J50)*'Input|Reported opex'!J71</f>
        <v>0</v>
      </c>
      <c r="K52" s="114">
        <f>SUM(K33,K38,K41,K44,K47,K50)*'Input|Reported opex'!K71</f>
        <v>0</v>
      </c>
      <c r="L52" s="114">
        <f>SUM(L33,L38,L41,L44,L47,L50)*'Input|Reported opex'!L71</f>
        <v>0</v>
      </c>
      <c r="M52" s="114">
        <f>SUM(M33,M38,M41,M44,M47,M50)*'Input|Reported opex'!M71</f>
        <v>0</v>
      </c>
      <c r="N52" s="114">
        <f ca="1">SUM(N33,N38,N41,N44,N47,N50)*'Input|Reported opex'!N71</f>
        <v>0</v>
      </c>
      <c r="O52" s="114">
        <f>SUM(O33,O38,O41,O44,O47,O50)*'Input|Reported opex'!O71</f>
        <v>0</v>
      </c>
      <c r="P52" s="114">
        <f>SUM(P33,P38,P41,P44,P47,P50)*'Input|Reported opex'!P71</f>
        <v>0</v>
      </c>
      <c r="Q52" s="114">
        <f>SUM(Q33,Q38,Q41,Q44,Q47,Q50)*'Input|Reported opex'!Q71</f>
        <v>0</v>
      </c>
      <c r="R52" s="114">
        <f>SUM(R33,R38,R41,R44,R47,R50)*'Input|Reported opex'!R71</f>
        <v>0</v>
      </c>
      <c r="S52" s="114">
        <f>SUM(S33,S38,S41,S44,S47,S50)*'Input|Reported opex'!S71</f>
        <v>0</v>
      </c>
      <c r="T52" s="114"/>
    </row>
    <row r="53" spans="1:48" outlineLevel="1">
      <c r="C53" s="122"/>
      <c r="D53" s="109"/>
      <c r="E53" s="109"/>
      <c r="F53" s="157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</row>
    <row r="54" spans="1:48" outlineLevel="1">
      <c r="C54" s="172" t="s">
        <v>167</v>
      </c>
      <c r="D54" s="111" t="s">
        <v>98</v>
      </c>
      <c r="E54" s="111" t="str">
        <f>$E$8</f>
        <v>$millions</v>
      </c>
      <c r="F54" s="173">
        <f>$F$8</f>
        <v>44713</v>
      </c>
      <c r="J54" s="171">
        <f>SUM(J33,J35,J38,J41,J44,J47,J50,J52)</f>
        <v>0</v>
      </c>
      <c r="K54" s="171">
        <f t="shared" ref="K54:S54" si="5">SUM(K33,K35,K38,K41,K44,K47,K50,K52)</f>
        <v>0</v>
      </c>
      <c r="L54" s="171">
        <f t="shared" si="5"/>
        <v>0</v>
      </c>
      <c r="M54" s="171">
        <f t="shared" si="5"/>
        <v>0</v>
      </c>
      <c r="N54" s="171">
        <f t="shared" ca="1" si="5"/>
        <v>18.987258680006342</v>
      </c>
      <c r="O54" s="171">
        <f t="shared" si="5"/>
        <v>0</v>
      </c>
      <c r="P54" s="171">
        <f t="shared" si="5"/>
        <v>0</v>
      </c>
      <c r="Q54" s="171">
        <f t="shared" si="5"/>
        <v>0</v>
      </c>
      <c r="R54" s="171">
        <f t="shared" si="5"/>
        <v>0</v>
      </c>
      <c r="S54" s="171">
        <f t="shared" si="5"/>
        <v>0</v>
      </c>
      <c r="T54" s="171"/>
    </row>
    <row r="55" spans="1:48">
      <c r="J55" s="106"/>
      <c r="K55" s="106"/>
      <c r="L55" s="106"/>
    </row>
    <row r="56" spans="1:48" s="102" customFormat="1" ht="12.75">
      <c r="A56" s="93"/>
      <c r="B56" s="94" t="s">
        <v>87</v>
      </c>
      <c r="C56" s="93"/>
      <c r="D56" s="93"/>
      <c r="E56" s="93"/>
      <c r="F56" s="95"/>
      <c r="G56" s="95"/>
      <c r="H56" s="95"/>
      <c r="I56" s="95"/>
      <c r="J56" s="96"/>
      <c r="K56" s="97"/>
      <c r="L56" s="96"/>
      <c r="M56" s="97"/>
      <c r="N56" s="96"/>
      <c r="O56" s="96"/>
      <c r="P56" s="96"/>
      <c r="Q56" s="96"/>
      <c r="R56" s="96"/>
      <c r="S56" s="96"/>
      <c r="T56" s="96"/>
      <c r="U56" s="96"/>
      <c r="V56" s="96"/>
      <c r="W56" s="97"/>
      <c r="X56" s="97"/>
      <c r="Y56" s="98"/>
      <c r="Z56" s="98"/>
      <c r="AA56" s="98"/>
      <c r="AB56" s="98"/>
      <c r="AC56" s="99"/>
      <c r="AD56" s="100"/>
      <c r="AE56" s="100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</row>
    <row r="57" spans="1:48" outlineLevel="1"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</row>
    <row r="58" spans="1:48" outlineLevel="1">
      <c r="C58" s="66" t="s">
        <v>42</v>
      </c>
      <c r="D58" s="31" t="s">
        <v>7</v>
      </c>
      <c r="E58" s="31" t="s">
        <v>8</v>
      </c>
      <c r="F58" s="31" t="s">
        <v>22</v>
      </c>
      <c r="J58" s="158" t="str">
        <f>IF(YEAR(J$4)&gt;='Input|General'!$G$13,IF(YEAR(J$4)&lt;='Input|General'!$G$14,J$4,""),"")</f>
        <v/>
      </c>
      <c r="K58" s="158" t="str">
        <f>IF(YEAR(K$4)&gt;='Input|General'!$G$13,IF(YEAR(K$4)&lt;='Input|General'!$G$14,K$4,""),"")</f>
        <v/>
      </c>
      <c r="L58" s="158" t="str">
        <f>IF(YEAR(L$4)&gt;='Input|General'!$G$13,IF(YEAR(L$4)&lt;='Input|General'!$G$14,L$4,""),"")</f>
        <v/>
      </c>
      <c r="M58" s="158" t="str">
        <f>IF(YEAR(M$4)&gt;='Input|General'!$G$13,IF(YEAR(M$4)&lt;='Input|General'!$G$14,M$4,""),"")</f>
        <v/>
      </c>
      <c r="N58" s="158" t="str">
        <f>IF(YEAR(N$4)&gt;='Input|General'!$G$13,IF(YEAR(N$4)&lt;='Input|General'!$G$14,N$4,""),"")</f>
        <v/>
      </c>
      <c r="O58" s="158">
        <f>IF(YEAR(O$4)&gt;='Input|General'!$G$13,IF(YEAR(O$4)&lt;='Input|General'!$G$14,O$4,""),"")</f>
        <v>45078</v>
      </c>
      <c r="P58" s="158">
        <f>IF(YEAR(P$4)&gt;='Input|General'!$G$13,IF(YEAR(P$4)&lt;='Input|General'!$G$14,P$4,""),"")</f>
        <v>45444</v>
      </c>
      <c r="Q58" s="158">
        <f>IF(YEAR(Q$4)&gt;='Input|General'!$G$13,IF(YEAR(Q$4)&lt;='Input|General'!$G$14,Q$4,""),"")</f>
        <v>45809</v>
      </c>
      <c r="R58" s="158">
        <f>IF(YEAR(R$4)&gt;='Input|General'!$G$13,IF(YEAR(R$4)&lt;='Input|General'!$G$14,R$4,""),"")</f>
        <v>46174</v>
      </c>
      <c r="S58" s="158">
        <f>IF(YEAR(S$4)&gt;='Input|General'!$G$13,IF(YEAR(S$4)&lt;='Input|General'!$G$14,S$4,""),"")</f>
        <v>46539</v>
      </c>
      <c r="T58" s="158" t="str">
        <f>IF(YEAR(T$4)&gt;='Input|General'!$G$13,IF(YEAR(T$4)&lt;='Input|General'!$G$14,T$4,""),"")</f>
        <v/>
      </c>
    </row>
    <row r="59" spans="1:48" outlineLevel="1">
      <c r="C59" s="6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</row>
    <row r="60" spans="1:48" outlineLevel="1">
      <c r="B60" s="66"/>
      <c r="C60" s="115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</row>
    <row r="61" spans="1:48" outlineLevel="1">
      <c r="C61" s="110" t="s">
        <v>184</v>
      </c>
      <c r="D61" s="109" t="s">
        <v>30</v>
      </c>
      <c r="E61" s="29" t="s">
        <v>31</v>
      </c>
      <c r="F61" s="29" t="s">
        <v>36</v>
      </c>
      <c r="J61" s="116">
        <f ca="1">IF(J58=J4,AVERAGE(OFFSET('Input|Rate of change'!K97,0,0,COUNTA('Input|Rate of change'!$J$84:$M$84),1)),0)</f>
        <v>0</v>
      </c>
      <c r="K61" s="116">
        <f ca="1">IF(K58=K4,AVERAGE(OFFSET('Input|Rate of change'!L97,0,0,COUNTA('Input|Rate of change'!$J$84:$M$84),1)),0)</f>
        <v>0</v>
      </c>
      <c r="L61" s="116">
        <f ca="1">IF(L58=L4,AVERAGE(OFFSET('Input|Rate of change'!M97,0,0,COUNTA('Input|Rate of change'!$J$84:$M$84),1)),0)</f>
        <v>0</v>
      </c>
      <c r="M61" s="116">
        <f ca="1">IF(M58=M4,AVERAGE(OFFSET('Input|Rate of change'!N97,0,0,COUNTA('Input|Rate of change'!$J$84:$M$84),1)),0)</f>
        <v>0</v>
      </c>
      <c r="N61" s="116">
        <f ca="1">IF(N58=N4,AVERAGE(OFFSET('Input|Rate of change'!O97,0,0,COUNTA('Input|Rate of change'!$J$84:$M$84),1)),0)</f>
        <v>0</v>
      </c>
      <c r="O61" s="116">
        <f ca="1">IF(O58=O4,AVERAGE(OFFSET('Input|Rate of change'!P97,0,0,COUNTA('Input|Rate of change'!$J$84:$M$84),1)),0)</f>
        <v>0</v>
      </c>
      <c r="P61" s="116">
        <f ca="1">IF(P58=P4,AVERAGE(OFFSET('Input|Rate of change'!Q97,0,0,COUNTA('Input|Rate of change'!$J$84:$M$84),1)),0)</f>
        <v>0</v>
      </c>
      <c r="Q61" s="116">
        <f ca="1">IF(Q58=Q4,AVERAGE(OFFSET('Input|Rate of change'!R97,0,0,COUNTA('Input|Rate of change'!$J$84:$M$84),1)),0)</f>
        <v>0</v>
      </c>
      <c r="R61" s="116">
        <f ca="1">IF(R58=R4,AVERAGE(OFFSET('Input|Rate of change'!S97,0,0,COUNTA('Input|Rate of change'!$J$84:$M$84),1)),0)</f>
        <v>0</v>
      </c>
      <c r="S61" s="116">
        <f ca="1">IF(S58=S4,AVERAGE(OFFSET('Input|Rate of change'!T97,0,0,COUNTA('Input|Rate of change'!$J$84:$M$84),1)),0)</f>
        <v>0</v>
      </c>
      <c r="T61" s="116">
        <f ca="1">IF(T58=T4,AVERAGE(OFFSET('Input|Rate of change'!U97,0,0,COUNTA('Input|Rate of change'!$J$84:$M$84),1)),0)</f>
        <v>0</v>
      </c>
    </row>
    <row r="62" spans="1:48" outlineLevel="1">
      <c r="C62" s="110" t="s">
        <v>187</v>
      </c>
      <c r="D62" s="109" t="s">
        <v>30</v>
      </c>
      <c r="E62" s="29" t="s">
        <v>31</v>
      </c>
      <c r="F62" s="29" t="s">
        <v>36</v>
      </c>
      <c r="J62" s="116">
        <f t="array" ref="J62">IF(J$58=J$4,PRODUCT(1+$J61:J61)-1,0)</f>
        <v>0</v>
      </c>
      <c r="K62" s="116">
        <f t="array" ref="K62">IF(K$58=K$4,PRODUCT(1+$J61:K61)-1,0)</f>
        <v>0</v>
      </c>
      <c r="L62" s="116">
        <f t="array" ref="L62">IF(L$58=L$4,PRODUCT(1+$J61:L61)-1,0)</f>
        <v>0</v>
      </c>
      <c r="M62" s="116">
        <f t="array" ref="M62">IF(M$58=M$4,PRODUCT(1+$J61:M61)-1,0)</f>
        <v>0</v>
      </c>
      <c r="N62" s="116">
        <f t="array" ref="N62">IF(N$58=N$4,PRODUCT(1+$J61:N61)-1,0)</f>
        <v>0</v>
      </c>
      <c r="O62" s="116">
        <f t="array" aca="1" ref="O62" ca="1">IF(O$58=O$4,PRODUCT(1+$J61:O61)-1,0)</f>
        <v>0</v>
      </c>
      <c r="P62" s="116">
        <f t="array" aca="1" ref="P62" ca="1">IF(P$58=P$4,PRODUCT(1+$J61:P61)-1,0)</f>
        <v>0</v>
      </c>
      <c r="Q62" s="116">
        <f t="array" aca="1" ref="Q62" ca="1">IF(Q$58=Q$4,PRODUCT(1+$J61:Q61)-1,0)</f>
        <v>0</v>
      </c>
      <c r="R62" s="116">
        <f t="array" aca="1" ref="R62" ca="1">IF(R$58=R$4,PRODUCT(1+$J61:R61)-1,0)</f>
        <v>0</v>
      </c>
      <c r="S62" s="116">
        <f t="array" aca="1" ref="S62" ca="1">IF(S$58=S$4,PRODUCT(1+$J61:S61)-1,0)</f>
        <v>0</v>
      </c>
      <c r="T62" s="116">
        <f t="array" ref="T62">IF(T$58=T$4,PRODUCT(1+$J61:T61)-1,0)</f>
        <v>0</v>
      </c>
    </row>
    <row r="63" spans="1:48" outlineLevel="1"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</row>
    <row r="64" spans="1:48" outlineLevel="1">
      <c r="C64" s="110" t="s">
        <v>185</v>
      </c>
      <c r="D64" s="109" t="s">
        <v>30</v>
      </c>
      <c r="E64" s="29" t="s">
        <v>31</v>
      </c>
      <c r="F64" s="29" t="s">
        <v>36</v>
      </c>
      <c r="J64" s="116">
        <f>SUMPRODUCT('Input|Rate of change'!K38:K45,'Input|Rate of change'!K51:K58)</f>
        <v>0</v>
      </c>
      <c r="K64" s="116">
        <f>SUMPRODUCT('Input|Rate of change'!L38:L45,'Input|Rate of change'!L51:L58)</f>
        <v>0</v>
      </c>
      <c r="L64" s="116">
        <f>SUMPRODUCT('Input|Rate of change'!M38:M45,'Input|Rate of change'!M51:M58)</f>
        <v>0</v>
      </c>
      <c r="M64" s="116">
        <f>SUMPRODUCT('Input|Rate of change'!N38:N45,'Input|Rate of change'!N51:N58)</f>
        <v>0</v>
      </c>
      <c r="N64" s="116">
        <f>SUMPRODUCT('Input|Rate of change'!O38:O45,'Input|Rate of change'!O51:O58)</f>
        <v>0</v>
      </c>
      <c r="O64" s="116">
        <f>SUMPRODUCT('Input|Rate of change'!P38:P45,'Input|Rate of change'!P51:P58)</f>
        <v>3.5416990179530268E-3</v>
      </c>
      <c r="P64" s="116">
        <f>SUMPRODUCT('Input|Rate of change'!Q38:Q45,'Input|Rate of change'!Q51:Q58)</f>
        <v>5.5125012121909614E-3</v>
      </c>
      <c r="Q64" s="116">
        <f>SUMPRODUCT('Input|Rate of change'!R38:R45,'Input|Rate of change'!R51:R58)</f>
        <v>7.0080832381487794E-3</v>
      </c>
      <c r="R64" s="116">
        <f>SUMPRODUCT('Input|Rate of change'!S38:S45,'Input|Rate of change'!S51:S58)</f>
        <v>7.032723845693296E-3</v>
      </c>
      <c r="S64" s="116">
        <f>SUMPRODUCT('Input|Rate of change'!T38:T45,'Input|Rate of change'!T51:T58)</f>
        <v>4.6134163657326251E-3</v>
      </c>
      <c r="T64" s="116">
        <f>SUMPRODUCT('Input|Rate of change'!U38:U45,'Input|Rate of change'!U51:U58)</f>
        <v>0</v>
      </c>
    </row>
    <row r="65" spans="1:48" outlineLevel="1">
      <c r="C65" s="110" t="s">
        <v>188</v>
      </c>
      <c r="D65" s="109" t="s">
        <v>30</v>
      </c>
      <c r="E65" s="29" t="s">
        <v>31</v>
      </c>
      <c r="F65" s="29" t="s">
        <v>36</v>
      </c>
      <c r="J65" s="116">
        <f t="array" ref="J65">IF(J$58=J$4,PRODUCT(1+$J64:J64)-1,0)</f>
        <v>0</v>
      </c>
      <c r="K65" s="116">
        <f t="array" ref="K65">IF(K$58=K$4,PRODUCT(1+$J64:K64)-1,0)</f>
        <v>0</v>
      </c>
      <c r="L65" s="116">
        <f t="array" ref="L65">IF(L$58=L$4,PRODUCT(1+$J64:L64)-1,0)</f>
        <v>0</v>
      </c>
      <c r="M65" s="116">
        <f t="array" ref="M65">IF(M$58=M$4,PRODUCT(1+$J64:M64)-1,0)</f>
        <v>0</v>
      </c>
      <c r="N65" s="116">
        <f t="array" ref="N65">IF(N$58=N$4,PRODUCT(1+$J64:N64)-1,0)</f>
        <v>0</v>
      </c>
      <c r="O65" s="116">
        <f t="array" ref="O65">IF(O$58=O$4,PRODUCT(1+$J64:O64)-1,0)</f>
        <v>3.5416990179530927E-3</v>
      </c>
      <c r="P65" s="116">
        <f t="array" ref="P65">IF(P$58=P$4,PRODUCT(1+$J64:P64)-1,0)</f>
        <v>9.0737238502738293E-3</v>
      </c>
      <c r="Q65" s="116">
        <f t="array" ref="Q65">IF(Q$58=Q$4,PRODUCT(1+$J64:Q64)-1,0)</f>
        <v>1.6145396500445219E-2</v>
      </c>
      <c r="R65" s="116">
        <f t="array" ref="R65">IF(R$58=R$4,PRODUCT(1+$J64:R64)-1,0)</f>
        <v>2.3291666461105365E-2</v>
      </c>
      <c r="S65" s="116">
        <f t="array" ref="S65">IF(S$58=S$4,PRODUCT(1+$J64:S64)-1,0)</f>
        <v>2.8012536982074732E-2</v>
      </c>
      <c r="T65" s="116">
        <f t="array" ref="T65">IF(T$58=T$4,PRODUCT(1+$J64:T64)-1,0)</f>
        <v>0</v>
      </c>
    </row>
    <row r="66" spans="1:48" outlineLevel="1">
      <c r="C66" s="110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</row>
    <row r="67" spans="1:48" outlineLevel="1">
      <c r="C67" s="110" t="s">
        <v>186</v>
      </c>
      <c r="D67" s="109" t="s">
        <v>30</v>
      </c>
      <c r="E67" s="29" t="s">
        <v>31</v>
      </c>
      <c r="F67" s="29" t="s">
        <v>36</v>
      </c>
      <c r="J67" s="116">
        <f>'Input|Rate of change'!K106</f>
        <v>0</v>
      </c>
      <c r="K67" s="116">
        <f>'Input|Rate of change'!L106</f>
        <v>0</v>
      </c>
      <c r="L67" s="116">
        <f>'Input|Rate of change'!M106</f>
        <v>0</v>
      </c>
      <c r="M67" s="116">
        <f>'Input|Rate of change'!N106</f>
        <v>0</v>
      </c>
      <c r="N67" s="116">
        <f>'Input|Rate of change'!O106</f>
        <v>0</v>
      </c>
      <c r="O67" s="116">
        <f>'Input|Rate of change'!P106</f>
        <v>5.0000000000000001E-3</v>
      </c>
      <c r="P67" s="116">
        <f>'Input|Rate of change'!Q106</f>
        <v>5.0000000000000001E-3</v>
      </c>
      <c r="Q67" s="116">
        <f>'Input|Rate of change'!R106</f>
        <v>5.0000000000000001E-3</v>
      </c>
      <c r="R67" s="116">
        <f>'Input|Rate of change'!S106</f>
        <v>5.0000000000000001E-3</v>
      </c>
      <c r="S67" s="116">
        <f>'Input|Rate of change'!T106</f>
        <v>5.0000000000000001E-3</v>
      </c>
      <c r="T67" s="116">
        <f>'Input|Rate of change'!U106</f>
        <v>0</v>
      </c>
    </row>
    <row r="68" spans="1:48" outlineLevel="1">
      <c r="C68" s="110" t="s">
        <v>189</v>
      </c>
      <c r="D68" s="109" t="s">
        <v>30</v>
      </c>
      <c r="E68" s="29" t="s">
        <v>31</v>
      </c>
      <c r="F68" s="29" t="s">
        <v>36</v>
      </c>
      <c r="J68" s="116">
        <f t="array" ref="J68">IF(J$58=J$4,PRODUCT(1+$J67:J67)-1,0)</f>
        <v>0</v>
      </c>
      <c r="K68" s="116">
        <f t="array" ref="K68">IF(K$58=K$4,PRODUCT(1+$J67:K67)-1,0)</f>
        <v>0</v>
      </c>
      <c r="L68" s="116">
        <f t="array" ref="L68">IF(L$58=L$4,PRODUCT(1+$J67:L67)-1,0)</f>
        <v>0</v>
      </c>
      <c r="M68" s="116">
        <f t="array" ref="M68">IF(M$58=M$4,PRODUCT(1+$J67:M67)-1,0)</f>
        <v>0</v>
      </c>
      <c r="N68" s="116">
        <f t="array" ref="N68">IF(N$58=N$4,PRODUCT(1+$J67:N67)-1,0)</f>
        <v>0</v>
      </c>
      <c r="O68" s="116">
        <f t="array" ref="O68">IF(O$58=O$4,PRODUCT(1+$J67:O67)-1,0)</f>
        <v>4.9999999999998934E-3</v>
      </c>
      <c r="P68" s="116">
        <f t="array" ref="P68">IF(P$58=P$4,PRODUCT(1+$J67:P67)-1,0)</f>
        <v>1.0024999999999729E-2</v>
      </c>
      <c r="Q68" s="116">
        <f t="array" ref="Q68">IF(Q$58=Q$4,PRODUCT(1+$J67:Q67)-1,0)</f>
        <v>1.5075124999999634E-2</v>
      </c>
      <c r="R68" s="116">
        <f t="array" ref="R68">IF(R$58=R$4,PRODUCT(1+$J67:R67)-1,0)</f>
        <v>2.0150500624999568E-2</v>
      </c>
      <c r="S68" s="116">
        <f t="array" ref="S68">IF(S$58=S$4,PRODUCT(1+$J67:S67)-1,0)</f>
        <v>2.5251253128124374E-2</v>
      </c>
      <c r="T68" s="116">
        <f t="array" ref="T68">IF(T$58=T$4,PRODUCT(1+$J67:T67)-1,0)</f>
        <v>0</v>
      </c>
    </row>
    <row r="69" spans="1:48" outlineLevel="1">
      <c r="C69" s="110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1:48" outlineLevel="1">
      <c r="C70" s="117" t="s">
        <v>137</v>
      </c>
      <c r="D70" s="113" t="s">
        <v>30</v>
      </c>
      <c r="E70" s="113" t="s">
        <v>31</v>
      </c>
      <c r="F70" s="113" t="s">
        <v>36</v>
      </c>
      <c r="J70" s="141">
        <f ca="1">(1+J61)*(1+J64)*(1-J67)-1</f>
        <v>0</v>
      </c>
      <c r="K70" s="141">
        <f t="shared" ref="K70:S70" ca="1" si="6">(1+K61)*(1+K64)*(1-K67)-1</f>
        <v>0</v>
      </c>
      <c r="L70" s="141">
        <f t="shared" ca="1" si="6"/>
        <v>0</v>
      </c>
      <c r="M70" s="141">
        <f t="shared" ca="1" si="6"/>
        <v>0</v>
      </c>
      <c r="N70" s="141">
        <f t="shared" ca="1" si="6"/>
        <v>0</v>
      </c>
      <c r="O70" s="141">
        <f t="shared" ca="1" si="6"/>
        <v>-1.4760094771366639E-3</v>
      </c>
      <c r="P70" s="141">
        <f t="shared" ca="1" si="6"/>
        <v>4.8493870613008916E-4</v>
      </c>
      <c r="Q70" s="141">
        <f t="shared" ca="1" si="6"/>
        <v>1.9730428219579821E-3</v>
      </c>
      <c r="R70" s="141">
        <f t="shared" ca="1" si="6"/>
        <v>1.9975602264648007E-3</v>
      </c>
      <c r="S70" s="141">
        <f t="shared" ca="1" si="6"/>
        <v>-4.0965071609611048E-4</v>
      </c>
      <c r="T70" s="141">
        <f t="shared" ref="T70" ca="1" si="7">(1+T61)*(1+T64)*(1-T67)-1</f>
        <v>0</v>
      </c>
    </row>
    <row r="71" spans="1:48" outlineLevel="1">
      <c r="C71" s="123" t="s">
        <v>138</v>
      </c>
      <c r="D71" s="109" t="s">
        <v>30</v>
      </c>
      <c r="E71" s="29" t="s">
        <v>31</v>
      </c>
      <c r="F71" s="29" t="s">
        <v>36</v>
      </c>
      <c r="J71" s="116" t="str">
        <f t="array" ref="J71">IF(J$58=J$4,PRODUCT(1+$J70:J70)-1,"")</f>
        <v/>
      </c>
      <c r="K71" s="116" t="str">
        <f t="array" ref="K71">IF(K$58=K$4,PRODUCT(1+$J70:K70)-1,"")</f>
        <v/>
      </c>
      <c r="L71" s="116" t="str">
        <f t="array" ref="L71">IF(L$58=L$4,PRODUCT(1+$J70:L70)-1,"")</f>
        <v/>
      </c>
      <c r="M71" s="116" t="str">
        <f t="array" ref="M71">IF(M$58=M$4,PRODUCT(1+$J70:M70)-1,"")</f>
        <v/>
      </c>
      <c r="N71" s="116" t="str">
        <f t="array" ref="N71">IF(N$58=N$4,PRODUCT(1+$J70:N70)-1,"")</f>
        <v/>
      </c>
      <c r="O71" s="116">
        <f t="array" aca="1" ref="O71" ca="1">IF(O$58=O$4,PRODUCT(1+$J70:O70)-1,"")</f>
        <v>-1.4760094771366639E-3</v>
      </c>
      <c r="P71" s="116">
        <f t="array" aca="1" ref="P71" ca="1">IF(P$58=P$4,PRODUCT(1+$J70:P70)-1,"")</f>
        <v>-9.9178654513265574E-4</v>
      </c>
      <c r="Q71" s="116">
        <f t="array" aca="1" ref="Q71" ca="1">IF(Q$58=Q$4,PRODUCT(1+$J70:Q70)-1,"")</f>
        <v>9.792994395014798E-4</v>
      </c>
      <c r="R71" s="116">
        <f t="array" aca="1" ref="R71" ca="1">IF(R$58=R$4,PRODUCT(1+$J70:R70)-1,"")</f>
        <v>2.9788158755763572E-3</v>
      </c>
      <c r="S71" s="116">
        <f t="array" aca="1" ref="S71" ca="1">IF(S$58=S$4,PRODUCT(1+$J70:S70)-1,"")</f>
        <v>2.5679448854236675E-3</v>
      </c>
      <c r="T71" s="116" t="str">
        <f t="array" ref="T71">IF(T$58=T$4,PRODUCT(1+$J70:T70)-1,"")</f>
        <v/>
      </c>
    </row>
    <row r="72" spans="1:48">
      <c r="J72" s="106"/>
      <c r="K72" s="106"/>
      <c r="L72" s="106"/>
      <c r="M72" s="106"/>
      <c r="N72" s="106"/>
      <c r="O72" s="118"/>
      <c r="P72" s="118"/>
      <c r="Q72" s="118"/>
      <c r="R72" s="118"/>
      <c r="S72" s="118"/>
      <c r="T72" s="118"/>
    </row>
    <row r="73" spans="1:48" s="102" customFormat="1" ht="12.75">
      <c r="A73" s="93"/>
      <c r="B73" s="94" t="s">
        <v>90</v>
      </c>
      <c r="C73" s="93"/>
      <c r="D73" s="93"/>
      <c r="E73" s="93"/>
      <c r="F73" s="95"/>
      <c r="G73" s="95"/>
      <c r="H73" s="95"/>
      <c r="I73" s="95"/>
      <c r="J73" s="96"/>
      <c r="K73" s="97"/>
      <c r="L73" s="96"/>
      <c r="M73" s="97"/>
      <c r="N73" s="96"/>
      <c r="O73" s="96"/>
      <c r="P73" s="96"/>
      <c r="Q73" s="96"/>
      <c r="R73" s="96"/>
      <c r="S73" s="96"/>
      <c r="T73" s="96"/>
      <c r="U73" s="96"/>
      <c r="V73" s="96"/>
      <c r="W73" s="97"/>
      <c r="X73" s="97"/>
      <c r="Y73" s="98"/>
      <c r="Z73" s="98"/>
      <c r="AA73" s="98"/>
      <c r="AB73" s="98"/>
      <c r="AC73" s="99"/>
      <c r="AD73" s="100"/>
      <c r="AE73" s="100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</row>
    <row r="74" spans="1:48" outlineLevel="1">
      <c r="C74" s="105"/>
      <c r="J74" s="106"/>
      <c r="K74" s="106"/>
      <c r="L74" s="106"/>
    </row>
    <row r="75" spans="1:48" outlineLevel="1">
      <c r="C75" s="66" t="s">
        <v>102</v>
      </c>
      <c r="D75" s="31" t="s">
        <v>7</v>
      </c>
      <c r="E75" s="31" t="s">
        <v>8</v>
      </c>
      <c r="F75" s="31" t="s">
        <v>22</v>
      </c>
      <c r="J75" s="158" t="str">
        <f>IF(YEAR(J$4)&gt;='Input|General'!$G$13,IF(YEAR(J$4)&lt;='Input|General'!$G$14,J$4,""),"")</f>
        <v/>
      </c>
      <c r="K75" s="158" t="str">
        <f>IF(YEAR(K$4)&gt;='Input|General'!$G$13,IF(YEAR(K$4)&lt;='Input|General'!$G$14,K$4,""),"")</f>
        <v/>
      </c>
      <c r="L75" s="158" t="str">
        <f>IF(YEAR(L$4)&gt;='Input|General'!$G$13,IF(YEAR(L$4)&lt;='Input|General'!$G$14,L$4,""),"")</f>
        <v/>
      </c>
      <c r="M75" s="158" t="str">
        <f>IF(YEAR(M$4)&gt;='Input|General'!$G$13,IF(YEAR(M$4)&lt;='Input|General'!$G$14,M$4,""),"")</f>
        <v/>
      </c>
      <c r="N75" s="158" t="str">
        <f>IF(YEAR(N$4)&gt;='Input|General'!$G$13,IF(YEAR(N$4)&lt;='Input|General'!$G$14,N$4,""),"")</f>
        <v/>
      </c>
      <c r="O75" s="158">
        <f>IF(YEAR(O$4)&gt;='Input|General'!$G$13,IF(YEAR(O$4)&lt;='Input|General'!$G$14,O$4,""),"")</f>
        <v>45078</v>
      </c>
      <c r="P75" s="158">
        <f>IF(YEAR(P$4)&gt;='Input|General'!$G$13,IF(YEAR(P$4)&lt;='Input|General'!$G$14,P$4,""),"")</f>
        <v>45444</v>
      </c>
      <c r="Q75" s="158">
        <f>IF(YEAR(Q$4)&gt;='Input|General'!$G$13,IF(YEAR(Q$4)&lt;='Input|General'!$G$14,Q$4,""),"")</f>
        <v>45809</v>
      </c>
      <c r="R75" s="158">
        <f>IF(YEAR(R$4)&gt;='Input|General'!$G$13,IF(YEAR(R$4)&lt;='Input|General'!$G$14,R$4,""),"")</f>
        <v>46174</v>
      </c>
      <c r="S75" s="158">
        <f>IF(YEAR(S$4)&gt;='Input|General'!$G$13,IF(YEAR(S$4)&lt;='Input|General'!$G$14,S$4,""),"")</f>
        <v>46539</v>
      </c>
      <c r="T75" s="158" t="str">
        <f>IF(YEAR(T$4)&gt;='Input|General'!$G$13,IF(YEAR(T$4)&lt;='Input|General'!$G$14,T$4,""),"")</f>
        <v/>
      </c>
    </row>
    <row r="76" spans="1:48" outlineLevel="1">
      <c r="C76" s="66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</row>
    <row r="77" spans="1:48" outlineLevel="1">
      <c r="C77" s="120" t="str">
        <f>'Input|Step changes'!C12</f>
        <v>IT cloud</v>
      </c>
      <c r="D77" s="109" t="s">
        <v>30</v>
      </c>
      <c r="E77" s="29" t="str">
        <f t="shared" ref="E77:E97" si="8">$E$8</f>
        <v>$millions</v>
      </c>
      <c r="F77" s="157">
        <f t="shared" ref="F77:F87" si="9">$F$8</f>
        <v>44713</v>
      </c>
      <c r="J77" s="126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126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126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126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126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126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1.42299</v>
      </c>
      <c r="P77" s="126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1.777515</v>
      </c>
      <c r="Q77" s="126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1.03668</v>
      </c>
      <c r="R77" s="126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0.67482000000000009</v>
      </c>
      <c r="S77" s="126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0.66993000000000003</v>
      </c>
      <c r="T77" s="126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48" outlineLevel="1">
      <c r="C78" s="120" t="str">
        <f>'Input|Step changes'!C13</f>
        <v>Security of critical infrastructure</v>
      </c>
      <c r="D78" s="109" t="s">
        <v>30</v>
      </c>
      <c r="E78" s="29" t="str">
        <f t="shared" si="8"/>
        <v>$millions</v>
      </c>
      <c r="F78" s="157">
        <f t="shared" si="9"/>
        <v>44713</v>
      </c>
      <c r="J78" s="126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126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126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126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126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126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0.49389</v>
      </c>
      <c r="P78" s="126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0.49389</v>
      </c>
      <c r="Q78" s="126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0.49389</v>
      </c>
      <c r="R78" s="126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0.49389</v>
      </c>
      <c r="S78" s="126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0.49389</v>
      </c>
      <c r="T78" s="126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48" outlineLevel="1">
      <c r="C79" s="120">
        <f>'Input|Step changes'!C14</f>
        <v>0</v>
      </c>
      <c r="D79" s="109" t="s">
        <v>30</v>
      </c>
      <c r="E79" s="29" t="str">
        <f t="shared" si="8"/>
        <v>$millions</v>
      </c>
      <c r="F79" s="157">
        <f t="shared" si="9"/>
        <v>44713</v>
      </c>
      <c r="J79" s="126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126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126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126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126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126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126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126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126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126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126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48" outlineLevel="1">
      <c r="C80" s="120">
        <f>'Input|Step changes'!C15</f>
        <v>0</v>
      </c>
      <c r="D80" s="109" t="s">
        <v>30</v>
      </c>
      <c r="E80" s="29" t="str">
        <f t="shared" si="8"/>
        <v>$millions</v>
      </c>
      <c r="F80" s="157">
        <f t="shared" si="9"/>
        <v>44713</v>
      </c>
      <c r="J80" s="126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126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126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126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126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126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126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126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126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126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126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48" outlineLevel="1">
      <c r="C81" s="120">
        <f>'Input|Step changes'!C16</f>
        <v>0</v>
      </c>
      <c r="D81" s="109" t="s">
        <v>30</v>
      </c>
      <c r="E81" s="29" t="str">
        <f t="shared" si="8"/>
        <v>$millions</v>
      </c>
      <c r="F81" s="157">
        <f t="shared" si="9"/>
        <v>44713</v>
      </c>
      <c r="J81" s="126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126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126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126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126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126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126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126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126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126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126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48" outlineLevel="1">
      <c r="C82" s="120">
        <f>'Input|Step changes'!C17</f>
        <v>0</v>
      </c>
      <c r="D82" s="109" t="s">
        <v>30</v>
      </c>
      <c r="E82" s="29" t="str">
        <f t="shared" si="8"/>
        <v>$millions</v>
      </c>
      <c r="F82" s="157">
        <f t="shared" si="9"/>
        <v>44713</v>
      </c>
      <c r="J82" s="126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126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126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126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126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126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126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126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126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126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126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48" outlineLevel="1">
      <c r="C83" s="120">
        <f>'Input|Step changes'!C18</f>
        <v>0</v>
      </c>
      <c r="D83" s="109" t="s">
        <v>30</v>
      </c>
      <c r="E83" s="29" t="str">
        <f t="shared" si="8"/>
        <v>$millions</v>
      </c>
      <c r="F83" s="157">
        <f t="shared" si="9"/>
        <v>44713</v>
      </c>
      <c r="J83" s="126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126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126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126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126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126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126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126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126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126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126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48" outlineLevel="1">
      <c r="C84" s="120">
        <f>'Input|Step changes'!C19</f>
        <v>0</v>
      </c>
      <c r="D84" s="109" t="s">
        <v>30</v>
      </c>
      <c r="E84" s="29" t="str">
        <f t="shared" si="8"/>
        <v>$millions</v>
      </c>
      <c r="F84" s="157">
        <f t="shared" si="9"/>
        <v>44713</v>
      </c>
      <c r="J84" s="126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126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126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126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126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126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126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126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126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126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126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48" outlineLevel="1">
      <c r="C85" s="120">
        <f>'Input|Step changes'!C20</f>
        <v>0</v>
      </c>
      <c r="D85" s="109" t="s">
        <v>30</v>
      </c>
      <c r="E85" s="29" t="str">
        <f t="shared" si="8"/>
        <v>$millions</v>
      </c>
      <c r="F85" s="157">
        <f t="shared" si="9"/>
        <v>44713</v>
      </c>
      <c r="J85" s="126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126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126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126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126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126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126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126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126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126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126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48" outlineLevel="1">
      <c r="C86" s="120"/>
      <c r="D86" s="109"/>
      <c r="F86" s="111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</row>
    <row r="87" spans="1:48" outlineLevel="1">
      <c r="C87" s="112" t="s">
        <v>49</v>
      </c>
      <c r="D87" s="121" t="s">
        <v>30</v>
      </c>
      <c r="E87" s="121" t="str">
        <f>$E$8</f>
        <v>$millions</v>
      </c>
      <c r="F87" s="168">
        <f t="shared" si="9"/>
        <v>44713</v>
      </c>
      <c r="G87" s="31"/>
      <c r="H87" s="31"/>
      <c r="I87" s="31"/>
      <c r="J87" s="170">
        <f>SUM(J76:J86)</f>
        <v>0</v>
      </c>
      <c r="K87" s="170">
        <f t="shared" ref="K87:S87" si="10">SUM(K76:K86)</f>
        <v>0</v>
      </c>
      <c r="L87" s="170">
        <f t="shared" si="10"/>
        <v>0</v>
      </c>
      <c r="M87" s="170">
        <f t="shared" si="10"/>
        <v>0</v>
      </c>
      <c r="N87" s="170">
        <f t="shared" si="10"/>
        <v>0</v>
      </c>
      <c r="O87" s="170">
        <f t="shared" si="10"/>
        <v>1.9168799999999999</v>
      </c>
      <c r="P87" s="170">
        <f t="shared" si="10"/>
        <v>2.2714050000000001</v>
      </c>
      <c r="Q87" s="170">
        <f t="shared" si="10"/>
        <v>1.53057</v>
      </c>
      <c r="R87" s="170">
        <f t="shared" si="10"/>
        <v>1.1687100000000001</v>
      </c>
      <c r="S87" s="170">
        <f t="shared" si="10"/>
        <v>1.1638200000000001</v>
      </c>
      <c r="T87" s="170">
        <f t="shared" ref="T87" si="11">SUM(T76:T86)</f>
        <v>0</v>
      </c>
    </row>
    <row r="88" spans="1:48">
      <c r="C88" s="122"/>
      <c r="D88" s="109"/>
      <c r="E88" s="109"/>
      <c r="F88" s="109"/>
      <c r="J88" s="106"/>
      <c r="K88" s="106"/>
      <c r="L88" s="106"/>
      <c r="M88" s="106"/>
      <c r="N88" s="23"/>
      <c r="O88" s="23"/>
      <c r="P88" s="23"/>
      <c r="Q88" s="23"/>
      <c r="R88" s="23"/>
      <c r="S88" s="23"/>
      <c r="T88" s="23"/>
    </row>
    <row r="89" spans="1:48" s="102" customFormat="1" ht="12.75">
      <c r="A89" s="93"/>
      <c r="B89" s="94" t="s">
        <v>117</v>
      </c>
      <c r="C89" s="93"/>
      <c r="D89" s="93"/>
      <c r="E89" s="93"/>
      <c r="F89" s="95"/>
      <c r="G89" s="95"/>
      <c r="H89" s="95"/>
      <c r="I89" s="95"/>
      <c r="J89" s="96"/>
      <c r="K89" s="97"/>
      <c r="L89" s="96"/>
      <c r="M89" s="97"/>
      <c r="N89" s="96"/>
      <c r="O89" s="96"/>
      <c r="P89" s="96"/>
      <c r="Q89" s="96"/>
      <c r="R89" s="96"/>
      <c r="S89" s="96"/>
      <c r="T89" s="96"/>
      <c r="U89" s="96"/>
      <c r="V89" s="96"/>
      <c r="W89" s="97"/>
      <c r="X89" s="97"/>
      <c r="Y89" s="98"/>
      <c r="Z89" s="98"/>
      <c r="AA89" s="98"/>
      <c r="AB89" s="98"/>
      <c r="AC89" s="99"/>
      <c r="AD89" s="100"/>
      <c r="AE89" s="100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</row>
    <row r="90" spans="1:48" outlineLevel="1">
      <c r="C90" s="105"/>
      <c r="J90" s="106"/>
      <c r="K90" s="106"/>
      <c r="L90" s="106"/>
    </row>
    <row r="91" spans="1:48" outlineLevel="1">
      <c r="C91" s="66" t="s">
        <v>107</v>
      </c>
      <c r="D91" s="31" t="s">
        <v>7</v>
      </c>
      <c r="E91" s="31" t="s">
        <v>8</v>
      </c>
      <c r="F91" s="31" t="s">
        <v>22</v>
      </c>
      <c r="J91" s="158" t="str">
        <f>IF(YEAR(J$4)&gt;='Input|General'!$G$13,IF(YEAR(J$4)&lt;='Input|General'!$G$14,J$4,""),"")</f>
        <v/>
      </c>
      <c r="K91" s="158" t="str">
        <f>IF(YEAR(K$4)&gt;='Input|General'!$G$13,IF(YEAR(K$4)&lt;='Input|General'!$G$14,K$4,""),"")</f>
        <v/>
      </c>
      <c r="L91" s="158" t="str">
        <f>IF(YEAR(L$4)&gt;='Input|General'!$G$13,IF(YEAR(L$4)&lt;='Input|General'!$G$14,L$4,""),"")</f>
        <v/>
      </c>
      <c r="M91" s="158" t="str">
        <f>IF(YEAR(M$4)&gt;='Input|General'!$G$13,IF(YEAR(M$4)&lt;='Input|General'!$G$14,M$4,""),"")</f>
        <v/>
      </c>
      <c r="N91" s="158" t="str">
        <f>IF(YEAR(N$4)&gt;='Input|General'!$G$13,IF(YEAR(N$4)&lt;='Input|General'!$G$14,N$4,""),"")</f>
        <v/>
      </c>
      <c r="O91" s="158">
        <f>IF(YEAR(O$4)&gt;='Input|General'!$G$13,IF(YEAR(O$4)&lt;='Input|General'!$G$14,O$4,""),"")</f>
        <v>45078</v>
      </c>
      <c r="P91" s="158">
        <f>IF(YEAR(P$4)&gt;='Input|General'!$G$13,IF(YEAR(P$4)&lt;='Input|General'!$G$14,P$4,""),"")</f>
        <v>45444</v>
      </c>
      <c r="Q91" s="158">
        <f>IF(YEAR(Q$4)&gt;='Input|General'!$G$13,IF(YEAR(Q$4)&lt;='Input|General'!$G$14,Q$4,""),"")</f>
        <v>45809</v>
      </c>
      <c r="R91" s="158">
        <f>IF(YEAR(R$4)&gt;='Input|General'!$G$13,IF(YEAR(R$4)&lt;='Input|General'!$G$14,R$4,""),"")</f>
        <v>46174</v>
      </c>
      <c r="S91" s="158">
        <f>IF(YEAR(S$4)&gt;='Input|General'!$G$13,IF(YEAR(S$4)&lt;='Input|General'!$G$14,S$4,""),"")</f>
        <v>46539</v>
      </c>
      <c r="T91" s="158" t="str">
        <f>IF(YEAR(T$4)&gt;='Input|General'!$G$13,IF(YEAR(T$4)&lt;='Input|General'!$G$14,T$4,""),"")</f>
        <v/>
      </c>
    </row>
    <row r="92" spans="1:48" outlineLevel="1">
      <c r="C92" s="66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</row>
    <row r="93" spans="1:48" outlineLevel="1">
      <c r="C93" s="120">
        <f>'Input|Step changes'!C28</f>
        <v>0</v>
      </c>
      <c r="D93" s="109" t="s">
        <v>30</v>
      </c>
      <c r="E93" s="29" t="str">
        <f t="shared" si="8"/>
        <v>$millions</v>
      </c>
      <c r="F93" s="157">
        <f t="shared" ref="F93:F97" si="12">$F$8</f>
        <v>44713</v>
      </c>
      <c r="J93" s="126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126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126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126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126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126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P93" s="126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Q93" s="126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126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126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126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48" outlineLevel="1">
      <c r="C94" s="120">
        <f>'Input|Step changes'!C29</f>
        <v>0</v>
      </c>
      <c r="D94" s="109" t="s">
        <v>30</v>
      </c>
      <c r="E94" s="29" t="str">
        <f t="shared" si="8"/>
        <v>$millions</v>
      </c>
      <c r="F94" s="157">
        <f t="shared" si="12"/>
        <v>44713</v>
      </c>
      <c r="J94" s="126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126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126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126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126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126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126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126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126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126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126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48" outlineLevel="1">
      <c r="C95" s="120">
        <f>'Input|Step changes'!C30</f>
        <v>0</v>
      </c>
      <c r="D95" s="109" t="s">
        <v>30</v>
      </c>
      <c r="E95" s="29" t="str">
        <f t="shared" si="8"/>
        <v>$millions</v>
      </c>
      <c r="F95" s="157">
        <f t="shared" si="12"/>
        <v>44713</v>
      </c>
      <c r="J95" s="126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126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126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126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126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126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126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126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126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126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126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48" outlineLevel="1">
      <c r="C96" s="120">
        <f>'Input|Step changes'!C31</f>
        <v>0</v>
      </c>
      <c r="D96" s="109" t="s">
        <v>30</v>
      </c>
      <c r="E96" s="29" t="str">
        <f t="shared" si="8"/>
        <v>$millions</v>
      </c>
      <c r="F96" s="157">
        <f t="shared" si="12"/>
        <v>44713</v>
      </c>
      <c r="J96" s="126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126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126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126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126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126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126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126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126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126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126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48" outlineLevel="1">
      <c r="C97" s="120">
        <f>'Input|Step changes'!C32</f>
        <v>0</v>
      </c>
      <c r="D97" s="109" t="s">
        <v>30</v>
      </c>
      <c r="E97" s="29" t="str">
        <f t="shared" si="8"/>
        <v>$millions</v>
      </c>
      <c r="F97" s="157">
        <f t="shared" si="12"/>
        <v>44713</v>
      </c>
      <c r="J97" s="126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126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126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126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126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126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126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126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126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126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126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</row>
    <row r="98" spans="1:48" outlineLevel="1">
      <c r="C98" s="120"/>
      <c r="D98" s="109"/>
      <c r="F98" s="111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</row>
    <row r="99" spans="1:48" outlineLevel="1">
      <c r="C99" s="112" t="s">
        <v>118</v>
      </c>
      <c r="D99" s="121" t="s">
        <v>30</v>
      </c>
      <c r="E99" s="121" t="str">
        <f>$E$8</f>
        <v>$millions</v>
      </c>
      <c r="F99" s="168">
        <f t="shared" ref="F99" si="13">$F$8</f>
        <v>44713</v>
      </c>
      <c r="G99" s="31"/>
      <c r="H99" s="31"/>
      <c r="I99" s="31"/>
      <c r="J99" s="127">
        <f t="shared" ref="J99:T99" si="14">SUM(J92:J97)</f>
        <v>0</v>
      </c>
      <c r="K99" s="127">
        <f t="shared" si="14"/>
        <v>0</v>
      </c>
      <c r="L99" s="127">
        <f t="shared" si="14"/>
        <v>0</v>
      </c>
      <c r="M99" s="127">
        <f t="shared" si="14"/>
        <v>0</v>
      </c>
      <c r="N99" s="127">
        <f t="shared" si="14"/>
        <v>0</v>
      </c>
      <c r="O99" s="127">
        <f t="shared" si="14"/>
        <v>0</v>
      </c>
      <c r="P99" s="127">
        <f t="shared" si="14"/>
        <v>0</v>
      </c>
      <c r="Q99" s="127">
        <f t="shared" si="14"/>
        <v>0</v>
      </c>
      <c r="R99" s="127">
        <f t="shared" si="14"/>
        <v>0</v>
      </c>
      <c r="S99" s="127">
        <f t="shared" si="14"/>
        <v>0</v>
      </c>
      <c r="T99" s="127">
        <f t="shared" si="14"/>
        <v>0</v>
      </c>
    </row>
    <row r="100" spans="1:48">
      <c r="C100" s="122"/>
      <c r="D100" s="109"/>
      <c r="E100" s="109"/>
      <c r="F100" s="109"/>
      <c r="J100" s="106"/>
      <c r="K100" s="106"/>
      <c r="L100" s="106"/>
      <c r="M100" s="106"/>
      <c r="N100" s="23"/>
      <c r="O100" s="23"/>
      <c r="P100" s="23"/>
      <c r="Q100" s="23"/>
      <c r="R100" s="23"/>
      <c r="S100" s="23"/>
      <c r="T100" s="23"/>
    </row>
    <row r="101" spans="1:48" s="102" customFormat="1" ht="12.75">
      <c r="A101" s="93"/>
      <c r="B101" s="94" t="s">
        <v>91</v>
      </c>
      <c r="C101" s="93"/>
      <c r="D101" s="93"/>
      <c r="E101" s="93"/>
      <c r="F101" s="95"/>
      <c r="G101" s="95"/>
      <c r="H101" s="95"/>
      <c r="I101" s="95"/>
      <c r="J101" s="96"/>
      <c r="K101" s="97"/>
      <c r="L101" s="96"/>
      <c r="M101" s="97"/>
      <c r="N101" s="96"/>
      <c r="O101" s="96"/>
      <c r="P101" s="96"/>
      <c r="Q101" s="96"/>
      <c r="R101" s="96"/>
      <c r="S101" s="96"/>
      <c r="T101" s="96"/>
      <c r="U101" s="96"/>
      <c r="V101" s="96"/>
      <c r="W101" s="97"/>
      <c r="X101" s="97"/>
      <c r="Y101" s="98"/>
      <c r="Z101" s="98"/>
      <c r="AA101" s="98"/>
      <c r="AB101" s="98"/>
      <c r="AC101" s="99"/>
      <c r="AD101" s="100"/>
      <c r="AE101" s="100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</row>
    <row r="102" spans="1:48" outlineLevel="1">
      <c r="C102" s="105"/>
      <c r="J102" s="106"/>
      <c r="K102" s="106"/>
      <c r="L102" s="106"/>
    </row>
    <row r="103" spans="1:48" outlineLevel="1">
      <c r="C103" s="66"/>
      <c r="J103" s="158" t="str">
        <f>IF(YEAR(J$4)&gt;='Input|General'!$G$13,IF(YEAR(J$4)&lt;='Input|General'!$G$14,J$4,""),"")</f>
        <v/>
      </c>
      <c r="K103" s="158" t="str">
        <f>IF(YEAR(K$4)&gt;='Input|General'!$G$13,IF(YEAR(K$4)&lt;='Input|General'!$G$14,K$4,""),"")</f>
        <v/>
      </c>
      <c r="L103" s="158" t="str">
        <f>IF(YEAR(L$4)&gt;='Input|General'!$G$13,IF(YEAR(L$4)&lt;='Input|General'!$G$14,L$4,""),"")</f>
        <v/>
      </c>
      <c r="M103" s="158" t="str">
        <f>IF(YEAR(M$4)&gt;='Input|General'!$G$13,IF(YEAR(M$4)&lt;='Input|General'!$G$14,M$4,""),"")</f>
        <v/>
      </c>
      <c r="N103" s="158" t="str">
        <f>IF(YEAR(N$4)&gt;='Input|General'!$G$13,IF(YEAR(N$4)&lt;='Input|General'!$G$14,N$4,""),"")</f>
        <v/>
      </c>
      <c r="O103" s="158">
        <f>IF(YEAR(O$4)&gt;='Input|General'!$G$13,IF(YEAR(O$4)&lt;='Input|General'!$G$14,O$4,""),"")</f>
        <v>45078</v>
      </c>
      <c r="P103" s="158">
        <f>IF(YEAR(P$4)&gt;='Input|General'!$G$13,IF(YEAR(P$4)&lt;='Input|General'!$G$14,P$4,""),"")</f>
        <v>45444</v>
      </c>
      <c r="Q103" s="158">
        <f>IF(YEAR(Q$4)&gt;='Input|General'!$G$13,IF(YEAR(Q$4)&lt;='Input|General'!$G$14,Q$4,""),"")</f>
        <v>45809</v>
      </c>
      <c r="R103" s="158">
        <f>IF(YEAR(R$4)&gt;='Input|General'!$G$13,IF(YEAR(R$4)&lt;='Input|General'!$G$14,R$4,""),"")</f>
        <v>46174</v>
      </c>
      <c r="S103" s="158">
        <f>IF(YEAR(S$4)&gt;='Input|General'!$G$13,IF(YEAR(S$4)&lt;='Input|General'!$G$14,S$4,""),"")</f>
        <v>46539</v>
      </c>
      <c r="T103" s="158" t="str">
        <f>IF(YEAR(T$4)&gt;='Input|General'!$G$13,IF(YEAR(T$4)&lt;='Input|General'!$G$14,T$4,""),"")</f>
        <v/>
      </c>
    </row>
    <row r="104" spans="1:48" outlineLevel="1">
      <c r="C104" s="123"/>
      <c r="D104" s="109"/>
      <c r="E104" s="109"/>
      <c r="F104" s="109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</row>
    <row r="105" spans="1:48" outlineLevel="1">
      <c r="C105" s="122" t="s">
        <v>134</v>
      </c>
      <c r="D105" s="125" t="s">
        <v>30</v>
      </c>
      <c r="E105" s="125" t="str">
        <f>$E$8</f>
        <v>$millions</v>
      </c>
      <c r="F105" s="168">
        <f t="shared" ref="F105:F107" si="15">$F$8</f>
        <v>44713</v>
      </c>
      <c r="J105" s="148" t="str">
        <f t="shared" ref="J105:T105" si="16">IF(YEAR(J$4)&gt;=FPFirstYear,IF(YEAR(J$4)&lt;=FPLastYear,IF(ISBLANK(J103),"",(1+J71)*SUM($J54:$S54)+J87),""),"")</f>
        <v/>
      </c>
      <c r="K105" s="148" t="str">
        <f t="shared" si="16"/>
        <v/>
      </c>
      <c r="L105" s="148" t="str">
        <f t="shared" si="16"/>
        <v/>
      </c>
      <c r="M105" s="148" t="str">
        <f t="shared" si="16"/>
        <v/>
      </c>
      <c r="N105" s="148" t="str">
        <f t="shared" si="16"/>
        <v/>
      </c>
      <c r="O105" s="148">
        <f t="shared" ca="1" si="16"/>
        <v>20.876113306249806</v>
      </c>
      <c r="P105" s="148">
        <f t="shared" ca="1" si="16"/>
        <v>21.23983237231856</v>
      </c>
      <c r="Q105" s="148">
        <f t="shared" ca="1" si="16"/>
        <v>20.536422891789343</v>
      </c>
      <c r="R105" s="148">
        <f t="shared" ca="1" si="16"/>
        <v>20.212528227596021</v>
      </c>
      <c r="S105" s="148">
        <f t="shared" ca="1" si="16"/>
        <v>20.19983691382188</v>
      </c>
      <c r="T105" s="148" t="str">
        <f t="shared" si="16"/>
        <v/>
      </c>
    </row>
    <row r="106" spans="1:48" outlineLevel="1">
      <c r="C106" s="122" t="s">
        <v>105</v>
      </c>
      <c r="D106" s="125" t="s">
        <v>30</v>
      </c>
      <c r="E106" s="125" t="str">
        <f>$E$8</f>
        <v>$millions</v>
      </c>
      <c r="F106" s="168">
        <f t="shared" si="15"/>
        <v>44713</v>
      </c>
      <c r="J106" s="148" t="str">
        <f t="shared" ref="J106:T106" si="17">IF(YEAR(J$4)&gt;=FPFirstYear,IF(YEAR(J$4)&lt;=FPLastYear,IF(ISBLANK(J103),"",(1+J71)*SUM($J54:$S54)+J87+J99),""),"")</f>
        <v/>
      </c>
      <c r="K106" s="148" t="str">
        <f t="shared" si="17"/>
        <v/>
      </c>
      <c r="L106" s="148" t="str">
        <f t="shared" si="17"/>
        <v/>
      </c>
      <c r="M106" s="148" t="str">
        <f t="shared" si="17"/>
        <v/>
      </c>
      <c r="N106" s="148" t="str">
        <f t="shared" si="17"/>
        <v/>
      </c>
      <c r="O106" s="148">
        <f t="shared" ca="1" si="17"/>
        <v>20.876113306249806</v>
      </c>
      <c r="P106" s="148">
        <f t="shared" ca="1" si="17"/>
        <v>21.23983237231856</v>
      </c>
      <c r="Q106" s="148">
        <f t="shared" ca="1" si="17"/>
        <v>20.536422891789343</v>
      </c>
      <c r="R106" s="148">
        <f t="shared" ca="1" si="17"/>
        <v>20.212528227596021</v>
      </c>
      <c r="S106" s="148">
        <f t="shared" ca="1" si="17"/>
        <v>20.19983691382188</v>
      </c>
      <c r="T106" s="148" t="str">
        <f t="shared" si="17"/>
        <v/>
      </c>
    </row>
    <row r="107" spans="1:48" outlineLevel="1">
      <c r="C107" s="122" t="s">
        <v>106</v>
      </c>
      <c r="D107" s="125" t="s">
        <v>30</v>
      </c>
      <c r="E107" s="125" t="str">
        <f>$E$8</f>
        <v>$millions</v>
      </c>
      <c r="F107" s="168">
        <f t="shared" si="15"/>
        <v>44713</v>
      </c>
      <c r="J107" s="148" t="str">
        <f>IF(YEAR(J$4)&gt;=FPFirstYear,IF(YEAR(J$4)&lt;=FPLastYear,J106+'Input|Step changes'!J40,""),"")</f>
        <v/>
      </c>
      <c r="K107" s="148" t="str">
        <f>IF(YEAR(K$4)&gt;=FPFirstYear,IF(YEAR(K$4)&lt;=FPLastYear,K106+'Input|Step changes'!K40,""),"")</f>
        <v/>
      </c>
      <c r="L107" s="148" t="str">
        <f>IF(YEAR(L$4)&gt;=FPFirstYear,IF(YEAR(L$4)&lt;=FPLastYear,L106+'Input|Step changes'!L40,""),"")</f>
        <v/>
      </c>
      <c r="M107" s="148" t="str">
        <f>IF(YEAR(M$4)&gt;=FPFirstYear,IF(YEAR(M$4)&lt;=FPLastYear,M106+'Input|Step changes'!M40,""),"")</f>
        <v/>
      </c>
      <c r="N107" s="148" t="str">
        <f>IF(YEAR(N$4)&gt;=FPFirstYear,IF(YEAR(N$4)&lt;=FPLastYear,N106+'Input|Step changes'!N40,""),"")</f>
        <v/>
      </c>
      <c r="O107" s="148">
        <f ca="1">IF(YEAR(O$4)&gt;=FPFirstYear,IF(YEAR(O$4)&lt;=FPLastYear,O106+'Input|Step changes'!O40,""),"")</f>
        <v>21.167074901883208</v>
      </c>
      <c r="P107" s="148">
        <f ca="1">IF(YEAR(P$4)&gt;=FPFirstYear,IF(YEAR(P$4)&lt;=FPLastYear,P106+'Input|Step changes'!P40,""),"")</f>
        <v>21.533927264287751</v>
      </c>
      <c r="Q107" s="148">
        <f ca="1">IF(YEAR(Q$4)&gt;=FPFirstYear,IF(YEAR(Q$4)&lt;=FPLastYear,Q106+'Input|Step changes'!Q40,""),"")</f>
        <v>20.825337029465068</v>
      </c>
      <c r="R107" s="148">
        <f ca="1">IF(YEAR(R$4)&gt;=FPFirstYear,IF(YEAR(R$4)&lt;=FPLastYear,R106+'Input|Step changes'!R40,""),"")</f>
        <v>20.495024287963712</v>
      </c>
      <c r="S107" s="148">
        <f ca="1">IF(YEAR(S$4)&gt;=FPFirstYear,IF(YEAR(S$4)&lt;=FPLastYear,S106+'Input|Step changes'!S40,""),"")</f>
        <v>20.474653028833146</v>
      </c>
      <c r="T107" s="148" t="str">
        <f>IF(YEAR(T$4)&gt;=FPFirstYear,IF(YEAR(T$4)&lt;=FPLastYear,T106+'Input|Step changes'!T40,""),"")</f>
        <v/>
      </c>
    </row>
    <row r="108" spans="1:48">
      <c r="C108" s="122"/>
      <c r="D108" s="109"/>
      <c r="E108" s="109"/>
      <c r="F108" s="109"/>
      <c r="J108" s="106"/>
      <c r="K108" s="106"/>
      <c r="L108" s="106"/>
      <c r="M108" s="106"/>
      <c r="N108" s="23"/>
      <c r="O108" s="23"/>
      <c r="P108" s="23"/>
      <c r="Q108" s="23"/>
      <c r="R108" s="23"/>
      <c r="S108" s="23"/>
      <c r="T108" s="23"/>
    </row>
    <row r="109" spans="1:48" s="102" customFormat="1" ht="12.75">
      <c r="A109" s="93"/>
      <c r="B109" s="94" t="s">
        <v>21</v>
      </c>
      <c r="C109" s="93"/>
      <c r="D109" s="93"/>
      <c r="E109" s="93"/>
      <c r="F109" s="95"/>
      <c r="G109" s="95"/>
      <c r="H109" s="95"/>
      <c r="I109" s="95"/>
      <c r="J109" s="96"/>
      <c r="K109" s="97"/>
      <c r="L109" s="96"/>
      <c r="M109" s="97"/>
      <c r="N109" s="96"/>
      <c r="O109" s="96"/>
      <c r="P109" s="96"/>
      <c r="Q109" s="96"/>
      <c r="R109" s="96"/>
      <c r="S109" s="96"/>
      <c r="T109" s="96"/>
      <c r="U109" s="96"/>
      <c r="V109" s="96"/>
      <c r="W109" s="97"/>
      <c r="X109" s="97"/>
      <c r="Y109" s="98"/>
      <c r="Z109" s="98"/>
      <c r="AA109" s="98"/>
      <c r="AB109" s="98"/>
      <c r="AC109" s="99"/>
      <c r="AD109" s="100"/>
      <c r="AE109" s="100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</row>
    <row r="118" spans="4:9" hidden="1">
      <c r="D118" s="28"/>
      <c r="E118" s="28"/>
      <c r="F118" s="28"/>
      <c r="G118" s="28"/>
      <c r="H118" s="28"/>
      <c r="I118" s="28"/>
    </row>
    <row r="119" spans="4:9" hidden="1">
      <c r="D119" s="28"/>
      <c r="E119" s="28"/>
      <c r="F119" s="28"/>
      <c r="G119" s="28"/>
      <c r="H119" s="28"/>
      <c r="I119" s="28"/>
    </row>
    <row r="120" spans="4:9" hidden="1">
      <c r="D120" s="28"/>
      <c r="E120" s="28"/>
      <c r="F120" s="28"/>
      <c r="G120" s="28"/>
      <c r="H120" s="28"/>
      <c r="I120" s="28"/>
    </row>
    <row r="121" spans="4:9" hidden="1">
      <c r="D121" s="28"/>
      <c r="E121" s="28"/>
      <c r="F121" s="28"/>
      <c r="G121" s="28"/>
      <c r="H121" s="28"/>
      <c r="I121" s="28"/>
    </row>
    <row r="122" spans="4:9" hidden="1">
      <c r="D122" s="28"/>
      <c r="E122" s="28"/>
      <c r="F122" s="28"/>
      <c r="G122" s="28"/>
      <c r="H122" s="28"/>
      <c r="I122" s="28"/>
    </row>
    <row r="123" spans="4:9" hidden="1">
      <c r="D123" s="28"/>
      <c r="E123" s="28"/>
      <c r="F123" s="28"/>
      <c r="G123" s="28"/>
      <c r="H123" s="28"/>
      <c r="I123" s="28"/>
    </row>
    <row r="124" spans="4:9" hidden="1">
      <c r="D124" s="28"/>
      <c r="E124" s="28"/>
      <c r="F124" s="28"/>
      <c r="G124" s="28"/>
      <c r="H124" s="28"/>
      <c r="I124" s="28"/>
    </row>
    <row r="125" spans="4:9" hidden="1">
      <c r="D125" s="28"/>
      <c r="E125" s="28"/>
      <c r="F125" s="28"/>
      <c r="G125" s="28"/>
      <c r="H125" s="28"/>
      <c r="I125" s="28"/>
    </row>
    <row r="126" spans="4:9" hidden="1">
      <c r="D126" s="28"/>
      <c r="E126" s="28"/>
      <c r="F126" s="28"/>
      <c r="G126" s="28"/>
      <c r="H126" s="28"/>
      <c r="I126" s="28"/>
    </row>
    <row r="127" spans="4:9" hidden="1">
      <c r="D127" s="28"/>
      <c r="E127" s="28"/>
      <c r="F127" s="28"/>
      <c r="G127" s="28"/>
      <c r="H127" s="28"/>
      <c r="I127" s="28"/>
    </row>
    <row r="128" spans="4:9" hidden="1">
      <c r="D128" s="28"/>
      <c r="E128" s="28"/>
      <c r="F128" s="28"/>
      <c r="G128" s="28"/>
      <c r="H128" s="28"/>
      <c r="I128" s="28"/>
    </row>
    <row r="129" spans="4:9" hidden="1">
      <c r="D129" s="28"/>
      <c r="E129" s="28"/>
      <c r="F129" s="28"/>
      <c r="G129" s="28"/>
      <c r="H129" s="28"/>
      <c r="I129" s="28"/>
    </row>
    <row r="130" spans="4:9" hidden="1">
      <c r="D130" s="28"/>
      <c r="E130" s="28"/>
      <c r="F130" s="28"/>
      <c r="G130" s="28"/>
      <c r="H130" s="28"/>
      <c r="I130" s="28"/>
    </row>
    <row r="131" spans="4:9" hidden="1">
      <c r="D131" s="28"/>
      <c r="E131" s="28"/>
      <c r="F131" s="28"/>
      <c r="G131" s="28"/>
      <c r="H131" s="28"/>
      <c r="I131" s="28"/>
    </row>
    <row r="132" spans="4:9" hidden="1">
      <c r="D132" s="28"/>
      <c r="E132" s="28"/>
      <c r="F132" s="28"/>
      <c r="G132" s="28"/>
      <c r="H132" s="28"/>
      <c r="I132" s="28"/>
    </row>
    <row r="133" spans="4:9" hidden="1">
      <c r="D133" s="28"/>
      <c r="E133" s="28"/>
      <c r="F133" s="28"/>
      <c r="G133" s="28"/>
      <c r="H133" s="28"/>
      <c r="I133" s="28"/>
    </row>
    <row r="134" spans="4:9" hidden="1">
      <c r="D134" s="28"/>
      <c r="E134" s="28"/>
      <c r="F134" s="28"/>
      <c r="G134" s="28"/>
      <c r="H134" s="28"/>
      <c r="I134" s="28"/>
    </row>
    <row r="135" spans="4:9" hidden="1">
      <c r="D135" s="28"/>
      <c r="E135" s="28"/>
      <c r="F135" s="28"/>
      <c r="G135" s="28"/>
      <c r="H135" s="28"/>
      <c r="I135" s="28"/>
    </row>
    <row r="136" spans="4:9" hidden="1">
      <c r="D136" s="28"/>
      <c r="E136" s="28"/>
      <c r="F136" s="28"/>
      <c r="G136" s="28"/>
      <c r="H136" s="28"/>
      <c r="I136" s="28"/>
    </row>
    <row r="137" spans="4:9" hidden="1">
      <c r="D137" s="28"/>
      <c r="E137" s="28"/>
      <c r="F137" s="28"/>
      <c r="G137" s="28"/>
      <c r="H137" s="28"/>
      <c r="I137" s="28"/>
    </row>
    <row r="138" spans="4:9" hidden="1">
      <c r="D138" s="28"/>
      <c r="E138" s="28"/>
      <c r="F138" s="28"/>
      <c r="G138" s="28"/>
      <c r="H138" s="28"/>
      <c r="I138" s="28"/>
    </row>
    <row r="139" spans="4:9" hidden="1">
      <c r="D139" s="28"/>
      <c r="E139" s="28"/>
      <c r="F139" s="28"/>
      <c r="G139" s="28"/>
      <c r="H139" s="28"/>
      <c r="I139" s="28"/>
    </row>
    <row r="140" spans="4:9" hidden="1">
      <c r="D140" s="28"/>
      <c r="E140" s="28"/>
      <c r="F140" s="28"/>
      <c r="G140" s="28"/>
      <c r="H140" s="28"/>
      <c r="I140" s="28"/>
    </row>
    <row r="141" spans="4:9" hidden="1">
      <c r="D141" s="28"/>
      <c r="E141" s="28"/>
      <c r="F141" s="28"/>
      <c r="G141" s="28"/>
      <c r="H141" s="28"/>
      <c r="I141" s="28"/>
    </row>
    <row r="142" spans="4:9" hidden="1">
      <c r="D142" s="28"/>
      <c r="E142" s="28"/>
      <c r="F142" s="28"/>
      <c r="G142" s="28"/>
      <c r="H142" s="28"/>
      <c r="I142" s="28"/>
    </row>
    <row r="143" spans="4:9" hidden="1">
      <c r="D143" s="28"/>
      <c r="E143" s="28"/>
      <c r="F143" s="28"/>
      <c r="G143" s="28"/>
      <c r="H143" s="28"/>
      <c r="I143" s="28"/>
    </row>
    <row r="144" spans="4:9" hidden="1">
      <c r="D144" s="28"/>
      <c r="E144" s="28"/>
      <c r="F144" s="28"/>
      <c r="G144" s="28"/>
      <c r="H144" s="28"/>
      <c r="I144" s="28"/>
    </row>
    <row r="145" spans="4:9" hidden="1">
      <c r="D145" s="28"/>
      <c r="E145" s="28"/>
      <c r="F145" s="28"/>
      <c r="G145" s="28"/>
      <c r="H145" s="28"/>
      <c r="I145" s="28"/>
    </row>
    <row r="146" spans="4:9" hidden="1">
      <c r="D146" s="28"/>
      <c r="E146" s="28"/>
      <c r="F146" s="28"/>
      <c r="G146" s="28"/>
      <c r="H146" s="28"/>
      <c r="I146" s="28"/>
    </row>
    <row r="147" spans="4:9" hidden="1">
      <c r="D147" s="28"/>
      <c r="E147" s="28"/>
      <c r="F147" s="28"/>
      <c r="G147" s="28"/>
      <c r="H147" s="28"/>
      <c r="I147" s="28"/>
    </row>
    <row r="148" spans="4:9" hidden="1">
      <c r="D148" s="28"/>
      <c r="E148" s="28"/>
      <c r="F148" s="28"/>
      <c r="G148" s="28"/>
      <c r="H148" s="28"/>
      <c r="I148" s="28"/>
    </row>
    <row r="149" spans="4:9" hidden="1">
      <c r="D149" s="28"/>
      <c r="E149" s="28"/>
      <c r="F149" s="28"/>
      <c r="G149" s="28"/>
      <c r="H149" s="28"/>
      <c r="I149" s="28"/>
    </row>
    <row r="150" spans="4:9" hidden="1">
      <c r="D150" s="28"/>
      <c r="E150" s="28"/>
      <c r="F150" s="28"/>
      <c r="G150" s="28"/>
      <c r="H150" s="28"/>
      <c r="I150" s="28"/>
    </row>
    <row r="151" spans="4:9" hidden="1">
      <c r="D151" s="28"/>
      <c r="E151" s="28"/>
      <c r="F151" s="28"/>
      <c r="G151" s="28"/>
      <c r="H151" s="28"/>
      <c r="I151" s="28"/>
    </row>
    <row r="152" spans="4:9" hidden="1">
      <c r="D152" s="28"/>
      <c r="E152" s="28"/>
      <c r="F152" s="28"/>
      <c r="G152" s="28"/>
      <c r="H152" s="28"/>
      <c r="I152" s="28"/>
    </row>
    <row r="153" spans="4:9" hidden="1">
      <c r="D153" s="28"/>
      <c r="E153" s="28"/>
      <c r="F153" s="28"/>
      <c r="G153" s="28"/>
      <c r="H153" s="28"/>
      <c r="I153" s="28"/>
    </row>
    <row r="154" spans="4:9" hidden="1">
      <c r="D154" s="28"/>
      <c r="E154" s="28"/>
      <c r="F154" s="28"/>
      <c r="G154" s="28"/>
      <c r="H154" s="28"/>
      <c r="I154" s="28"/>
    </row>
    <row r="155" spans="4:9" hidden="1">
      <c r="D155" s="28"/>
      <c r="E155" s="28"/>
      <c r="F155" s="28"/>
      <c r="G155" s="28"/>
      <c r="H155" s="28"/>
      <c r="I155" s="28"/>
    </row>
    <row r="156" spans="4:9" hidden="1">
      <c r="D156" s="28"/>
      <c r="E156" s="28"/>
      <c r="F156" s="28"/>
      <c r="G156" s="28"/>
      <c r="H156" s="28"/>
      <c r="I156" s="28"/>
    </row>
    <row r="157" spans="4:9" hidden="1">
      <c r="D157" s="28"/>
      <c r="E157" s="28"/>
      <c r="F157" s="28"/>
      <c r="G157" s="28"/>
      <c r="H157" s="28"/>
      <c r="I157" s="28"/>
    </row>
    <row r="158" spans="4:9" hidden="1">
      <c r="D158" s="28"/>
      <c r="E158" s="28"/>
      <c r="F158" s="28"/>
      <c r="G158" s="28"/>
      <c r="H158" s="28"/>
      <c r="I158" s="28"/>
    </row>
    <row r="159" spans="4:9" hidden="1">
      <c r="D159" s="28"/>
      <c r="E159" s="28"/>
      <c r="F159" s="28"/>
      <c r="G159" s="28"/>
      <c r="H159" s="28"/>
      <c r="I159" s="28"/>
    </row>
    <row r="160" spans="4:9" hidden="1">
      <c r="D160" s="28"/>
      <c r="E160" s="28"/>
      <c r="F160" s="28"/>
      <c r="G160" s="28"/>
      <c r="H160" s="28"/>
      <c r="I160" s="28"/>
    </row>
    <row r="161" spans="4:9" hidden="1">
      <c r="D161" s="28"/>
      <c r="E161" s="28"/>
      <c r="F161" s="28"/>
      <c r="G161" s="28"/>
      <c r="H161" s="28"/>
      <c r="I161" s="28"/>
    </row>
    <row r="162" spans="4:9" hidden="1">
      <c r="D162" s="28"/>
      <c r="E162" s="28"/>
      <c r="F162" s="28"/>
      <c r="G162" s="28"/>
      <c r="H162" s="28"/>
      <c r="I162" s="28"/>
    </row>
    <row r="163" spans="4:9" hidden="1">
      <c r="D163" s="28"/>
      <c r="E163" s="28"/>
      <c r="F163" s="28"/>
      <c r="G163" s="28"/>
      <c r="H163" s="28"/>
      <c r="I163" s="28"/>
    </row>
    <row r="164" spans="4:9" hidden="1">
      <c r="D164" s="28"/>
      <c r="E164" s="28"/>
      <c r="F164" s="28"/>
      <c r="G164" s="28"/>
      <c r="H164" s="28"/>
      <c r="I164" s="28"/>
    </row>
    <row r="165" spans="4:9" hidden="1">
      <c r="D165" s="28"/>
      <c r="E165" s="28"/>
      <c r="F165" s="28"/>
      <c r="G165" s="28"/>
      <c r="H165" s="28"/>
      <c r="I165" s="28"/>
    </row>
    <row r="166" spans="4:9" hidden="1">
      <c r="D166" s="28"/>
      <c r="E166" s="28"/>
      <c r="F166" s="28"/>
      <c r="G166" s="28"/>
      <c r="H166" s="28"/>
      <c r="I166" s="28"/>
    </row>
    <row r="167" spans="4:9" hidden="1">
      <c r="D167" s="28"/>
      <c r="E167" s="28"/>
      <c r="F167" s="28"/>
      <c r="G167" s="28"/>
      <c r="H167" s="28"/>
      <c r="I167" s="28"/>
    </row>
    <row r="168" spans="4:9" hidden="1">
      <c r="D168" s="28"/>
      <c r="E168" s="28"/>
      <c r="F168" s="28"/>
      <c r="G168" s="28"/>
      <c r="H168" s="28"/>
      <c r="I168" s="28"/>
    </row>
    <row r="169" spans="4:9" hidden="1">
      <c r="D169" s="28"/>
      <c r="E169" s="28"/>
      <c r="F169" s="28"/>
      <c r="G169" s="28"/>
      <c r="H169" s="28"/>
      <c r="I169" s="28"/>
    </row>
    <row r="170" spans="4:9" hidden="1">
      <c r="D170" s="28"/>
      <c r="E170" s="28"/>
      <c r="F170" s="28"/>
      <c r="G170" s="28"/>
      <c r="H170" s="28"/>
      <c r="I170" s="28"/>
    </row>
    <row r="171" spans="4:9" hidden="1">
      <c r="D171" s="28"/>
      <c r="E171" s="28"/>
      <c r="F171" s="28"/>
      <c r="G171" s="28"/>
      <c r="H171" s="28"/>
      <c r="I171" s="28"/>
    </row>
    <row r="172" spans="4:9" hidden="1">
      <c r="D172" s="28"/>
      <c r="E172" s="28"/>
      <c r="F172" s="28"/>
      <c r="G172" s="28"/>
      <c r="H172" s="28"/>
      <c r="I172" s="28"/>
    </row>
    <row r="173" spans="4:9" hidden="1">
      <c r="D173" s="28"/>
      <c r="E173" s="28"/>
      <c r="F173" s="28"/>
      <c r="G173" s="28"/>
      <c r="H173" s="28"/>
      <c r="I173" s="28"/>
    </row>
    <row r="174" spans="4:9" hidden="1">
      <c r="D174" s="28"/>
      <c r="E174" s="28"/>
      <c r="F174" s="28"/>
      <c r="G174" s="28"/>
      <c r="H174" s="28"/>
      <c r="I174" s="28"/>
    </row>
    <row r="175" spans="4:9" hidden="1">
      <c r="D175" s="28"/>
      <c r="E175" s="28"/>
      <c r="F175" s="28"/>
      <c r="G175" s="28"/>
      <c r="H175" s="28"/>
      <c r="I175" s="28"/>
    </row>
    <row r="176" spans="4:9" hidden="1">
      <c r="D176" s="28"/>
      <c r="E176" s="28"/>
      <c r="F176" s="28"/>
      <c r="G176" s="28"/>
      <c r="H176" s="28"/>
      <c r="I176" s="28"/>
    </row>
    <row r="177" spans="4:9" hidden="1">
      <c r="D177" s="28"/>
      <c r="E177" s="28"/>
      <c r="F177" s="28"/>
      <c r="G177" s="28"/>
      <c r="H177" s="28"/>
      <c r="I177" s="28"/>
    </row>
    <row r="178" spans="4:9" hidden="1">
      <c r="D178" s="28"/>
      <c r="E178" s="28"/>
      <c r="F178" s="28"/>
      <c r="G178" s="28"/>
      <c r="H178" s="28"/>
      <c r="I178" s="28"/>
    </row>
    <row r="179" spans="4:9" hidden="1">
      <c r="D179" s="28"/>
      <c r="E179" s="28"/>
      <c r="F179" s="28"/>
      <c r="G179" s="28"/>
      <c r="H179" s="28"/>
      <c r="I179" s="28"/>
    </row>
    <row r="180" spans="4:9" hidden="1">
      <c r="D180" s="28"/>
      <c r="E180" s="28"/>
      <c r="F180" s="28"/>
      <c r="G180" s="28"/>
      <c r="H180" s="28"/>
      <c r="I180" s="28"/>
    </row>
    <row r="181" spans="4:9" hidden="1">
      <c r="D181" s="28"/>
      <c r="E181" s="28"/>
      <c r="F181" s="28"/>
      <c r="G181" s="28"/>
      <c r="H181" s="28"/>
      <c r="I181" s="28"/>
    </row>
    <row r="182" spans="4:9" hidden="1">
      <c r="D182" s="28"/>
      <c r="E182" s="28"/>
      <c r="F182" s="28"/>
      <c r="G182" s="28"/>
      <c r="H182" s="28"/>
      <c r="I182" s="28"/>
    </row>
    <row r="183" spans="4:9" hidden="1">
      <c r="D183" s="28"/>
      <c r="E183" s="28"/>
      <c r="F183" s="28"/>
      <c r="G183" s="28"/>
      <c r="H183" s="28"/>
      <c r="I183" s="28"/>
    </row>
    <row r="184" spans="4:9" hidden="1">
      <c r="D184" s="28"/>
      <c r="E184" s="28"/>
      <c r="F184" s="28"/>
      <c r="G184" s="28"/>
      <c r="H184" s="28"/>
      <c r="I184" s="28"/>
    </row>
    <row r="185" spans="4:9" hidden="1">
      <c r="D185" s="28"/>
      <c r="E185" s="28"/>
      <c r="F185" s="28"/>
      <c r="G185" s="28"/>
      <c r="H185" s="28"/>
      <c r="I185" s="28"/>
    </row>
    <row r="186" spans="4:9" hidden="1">
      <c r="D186" s="28"/>
      <c r="E186" s="28"/>
      <c r="F186" s="28"/>
      <c r="G186" s="28"/>
      <c r="H186" s="28"/>
      <c r="I186" s="28"/>
    </row>
    <row r="187" spans="4:9" hidden="1">
      <c r="D187" s="28"/>
      <c r="E187" s="28"/>
      <c r="F187" s="28"/>
      <c r="G187" s="28"/>
      <c r="H187" s="28"/>
      <c r="I187" s="28"/>
    </row>
    <row r="188" spans="4:9" hidden="1">
      <c r="D188" s="28"/>
      <c r="E188" s="28"/>
      <c r="F188" s="28"/>
      <c r="G188" s="28"/>
      <c r="H188" s="28"/>
      <c r="I188" s="28"/>
    </row>
    <row r="189" spans="4:9" hidden="1">
      <c r="D189" s="28"/>
      <c r="E189" s="28"/>
      <c r="F189" s="28"/>
      <c r="G189" s="28"/>
      <c r="H189" s="28"/>
      <c r="I189" s="28"/>
    </row>
    <row r="190" spans="4:9" hidden="1">
      <c r="D190" s="28"/>
      <c r="E190" s="28"/>
      <c r="F190" s="28"/>
      <c r="G190" s="28"/>
      <c r="H190" s="28"/>
      <c r="I190" s="28"/>
    </row>
    <row r="191" spans="4:9" hidden="1">
      <c r="D191" s="28"/>
      <c r="E191" s="28"/>
      <c r="F191" s="28"/>
      <c r="G191" s="28"/>
      <c r="H191" s="28"/>
      <c r="I191" s="28"/>
    </row>
    <row r="192" spans="4:9" hidden="1">
      <c r="D192" s="28"/>
      <c r="E192" s="28"/>
      <c r="F192" s="28"/>
      <c r="G192" s="28"/>
      <c r="H192" s="28"/>
      <c r="I192" s="28"/>
    </row>
    <row r="193" spans="4:9" hidden="1">
      <c r="D193" s="28"/>
      <c r="E193" s="28"/>
      <c r="F193" s="28"/>
      <c r="G193" s="28"/>
      <c r="H193" s="28"/>
      <c r="I193" s="28"/>
    </row>
    <row r="194" spans="4:9" hidden="1">
      <c r="D194" s="28"/>
      <c r="E194" s="28"/>
      <c r="F194" s="28"/>
      <c r="G194" s="28"/>
      <c r="H194" s="28"/>
      <c r="I194" s="28"/>
    </row>
  </sheetData>
  <mergeCells count="1">
    <mergeCell ref="N3:S3"/>
  </mergeCells>
  <conditionalFormatting sqref="S1:T1">
    <cfRule type="cellIs" dxfId="86" priority="107" operator="equal">
      <formula>"Check"</formula>
    </cfRule>
    <cfRule type="cellIs" dxfId="85" priority="108" operator="equal">
      <formula>"Ok"</formula>
    </cfRule>
  </conditionalFormatting>
  <conditionalFormatting sqref="W1">
    <cfRule type="cellIs" dxfId="84" priority="109" operator="equal">
      <formula>"Check"</formula>
    </cfRule>
    <cfRule type="cellIs" dxfId="83" priority="110" operator="equal">
      <formula>"Ok"</formula>
    </cfRule>
  </conditionalFormatting>
  <conditionalFormatting sqref="R39:T39 R42:T42 R45:T45 R48:T48 J12:T18">
    <cfRule type="cellIs" dxfId="82" priority="106" operator="equal">
      <formula>0</formula>
    </cfRule>
  </conditionalFormatting>
  <conditionalFormatting sqref="J13:T13">
    <cfRule type="cellIs" dxfId="81" priority="105" operator="equal">
      <formula>0</formula>
    </cfRule>
  </conditionalFormatting>
  <conditionalFormatting sqref="J14:T14">
    <cfRule type="cellIs" dxfId="80" priority="104" operator="equal">
      <formula>0</formula>
    </cfRule>
  </conditionalFormatting>
  <conditionalFormatting sqref="J15:T15">
    <cfRule type="cellIs" dxfId="79" priority="103" operator="equal">
      <formula>0</formula>
    </cfRule>
  </conditionalFormatting>
  <conditionalFormatting sqref="J16:T16">
    <cfRule type="cellIs" dxfId="78" priority="102" operator="equal">
      <formula>0</formula>
    </cfRule>
  </conditionalFormatting>
  <conditionalFormatting sqref="J17:T18">
    <cfRule type="cellIs" dxfId="77" priority="101" operator="equal">
      <formula>0</formula>
    </cfRule>
  </conditionalFormatting>
  <conditionalFormatting sqref="J61:T68">
    <cfRule type="cellIs" dxfId="76" priority="100" operator="equal">
      <formula>0</formula>
    </cfRule>
  </conditionalFormatting>
  <conditionalFormatting sqref="J77:T85 J93:T98">
    <cfRule type="cellIs" dxfId="75" priority="98" operator="equal">
      <formula>0</formula>
    </cfRule>
  </conditionalFormatting>
  <conditionalFormatting sqref="J36:T36 J33:T34 J51:T54">
    <cfRule type="cellIs" dxfId="74" priority="95" operator="equal">
      <formula>0</formula>
    </cfRule>
  </conditionalFormatting>
  <conditionalFormatting sqref="J106:T107">
    <cfRule type="cellIs" dxfId="73" priority="94" operator="equal">
      <formula>0</formula>
    </cfRule>
  </conditionalFormatting>
  <conditionalFormatting sqref="J106:T107">
    <cfRule type="cellIs" dxfId="72" priority="93" operator="equal">
      <formula>0</formula>
    </cfRule>
  </conditionalFormatting>
  <conditionalFormatting sqref="J46:T46">
    <cfRule type="cellIs" dxfId="71" priority="56" operator="equal">
      <formula>0</formula>
    </cfRule>
  </conditionalFormatting>
  <conditionalFormatting sqref="J39:Q39 J42:Q42 J45:Q45">
    <cfRule type="cellIs" dxfId="70" priority="74" operator="equal">
      <formula>0</formula>
    </cfRule>
  </conditionalFormatting>
  <conditionalFormatting sqref="J39:Q39 J42:Q42 J45:Q45">
    <cfRule type="cellIs" dxfId="69" priority="73" operator="equal">
      <formula>0</formula>
    </cfRule>
  </conditionalFormatting>
  <conditionalFormatting sqref="J37:T37">
    <cfRule type="cellIs" dxfId="68" priority="69" operator="equal">
      <formula>0</formula>
    </cfRule>
  </conditionalFormatting>
  <conditionalFormatting sqref="J37:T37">
    <cfRule type="cellIs" dxfId="67" priority="68" operator="equal">
      <formula>0</formula>
    </cfRule>
  </conditionalFormatting>
  <conditionalFormatting sqref="J48:Q48">
    <cfRule type="cellIs" dxfId="66" priority="59" operator="equal">
      <formula>0</formula>
    </cfRule>
  </conditionalFormatting>
  <conditionalFormatting sqref="J48:Q48">
    <cfRule type="cellIs" dxfId="65" priority="58" operator="equal">
      <formula>0</formula>
    </cfRule>
  </conditionalFormatting>
  <conditionalFormatting sqref="J40:T40">
    <cfRule type="cellIs" dxfId="64" priority="65" operator="equal">
      <formula>0</formula>
    </cfRule>
  </conditionalFormatting>
  <conditionalFormatting sqref="J40:T40">
    <cfRule type="cellIs" dxfId="63" priority="64" operator="equal">
      <formula>0</formula>
    </cfRule>
  </conditionalFormatting>
  <conditionalFormatting sqref="J46:T46">
    <cfRule type="cellIs" dxfId="62" priority="57" operator="equal">
      <formula>0</formula>
    </cfRule>
  </conditionalFormatting>
  <conditionalFormatting sqref="J43:T43">
    <cfRule type="cellIs" dxfId="61" priority="61" operator="equal">
      <formula>0</formula>
    </cfRule>
  </conditionalFormatting>
  <conditionalFormatting sqref="J43:T43">
    <cfRule type="cellIs" dxfId="60" priority="60" operator="equal">
      <formula>0</formula>
    </cfRule>
  </conditionalFormatting>
  <conditionalFormatting sqref="J49:T49">
    <cfRule type="cellIs" dxfId="59" priority="51" operator="equal">
      <formula>0</formula>
    </cfRule>
  </conditionalFormatting>
  <conditionalFormatting sqref="J49:T49">
    <cfRule type="cellIs" dxfId="58" priority="52" operator="equal">
      <formula>0</formula>
    </cfRule>
  </conditionalFormatting>
  <conditionalFormatting sqref="J38:T38">
    <cfRule type="cellIs" dxfId="57" priority="50" operator="equal">
      <formula>0</formula>
    </cfRule>
  </conditionalFormatting>
  <conditionalFormatting sqref="J38:T38">
    <cfRule type="cellIs" dxfId="56" priority="49" operator="equal">
      <formula>0</formula>
    </cfRule>
  </conditionalFormatting>
  <conditionalFormatting sqref="J105:T105">
    <cfRule type="cellIs" dxfId="55" priority="30" operator="equal">
      <formula>0</formula>
    </cfRule>
  </conditionalFormatting>
  <conditionalFormatting sqref="J105:T105">
    <cfRule type="cellIs" dxfId="54" priority="29" operator="equal">
      <formula>0</formula>
    </cfRule>
  </conditionalFormatting>
  <conditionalFormatting sqref="J10:T10">
    <cfRule type="expression" dxfId="53" priority="28">
      <formula>J$10=J$4</formula>
    </cfRule>
  </conditionalFormatting>
  <conditionalFormatting sqref="J25:T25">
    <cfRule type="expression" dxfId="52" priority="27">
      <formula>J$10=J$4</formula>
    </cfRule>
  </conditionalFormatting>
  <conditionalFormatting sqref="J54:T54">
    <cfRule type="expression" dxfId="51" priority="26">
      <formula>J$10=J$4</formula>
    </cfRule>
  </conditionalFormatting>
  <conditionalFormatting sqref="J26:T28 J30:T30">
    <cfRule type="cellIs" dxfId="50" priority="23" operator="equal">
      <formula>0</formula>
    </cfRule>
  </conditionalFormatting>
  <conditionalFormatting sqref="J31:T32">
    <cfRule type="cellIs" dxfId="49" priority="22" operator="equal">
      <formula>0</formula>
    </cfRule>
  </conditionalFormatting>
  <conditionalFormatting sqref="J71:T71">
    <cfRule type="cellIs" dxfId="48" priority="19" operator="equal">
      <formula>0</formula>
    </cfRule>
  </conditionalFormatting>
  <conditionalFormatting sqref="J35:T35">
    <cfRule type="cellIs" dxfId="47" priority="18" operator="equal">
      <formula>0</formula>
    </cfRule>
  </conditionalFormatting>
  <conditionalFormatting sqref="J35:T35">
    <cfRule type="cellIs" dxfId="46" priority="17" operator="equal">
      <formula>0</formula>
    </cfRule>
  </conditionalFormatting>
  <conditionalFormatting sqref="J29:T29">
    <cfRule type="cellIs" dxfId="45" priority="16" operator="equal">
      <formula>0</formula>
    </cfRule>
  </conditionalFormatting>
  <conditionalFormatting sqref="J29:T29">
    <cfRule type="cellIs" dxfId="44" priority="15" operator="equal">
      <formula>0</formula>
    </cfRule>
  </conditionalFormatting>
  <conditionalFormatting sqref="J19:T24">
    <cfRule type="cellIs" dxfId="43" priority="14" operator="equal">
      <formula>0</formula>
    </cfRule>
  </conditionalFormatting>
  <conditionalFormatting sqref="J20:T20">
    <cfRule type="cellIs" dxfId="42" priority="13" operator="equal">
      <formula>0</formula>
    </cfRule>
  </conditionalFormatting>
  <conditionalFormatting sqref="J21:T21">
    <cfRule type="cellIs" dxfId="41" priority="12" operator="equal">
      <formula>0</formula>
    </cfRule>
  </conditionalFormatting>
  <conditionalFormatting sqref="J22:T22">
    <cfRule type="cellIs" dxfId="40" priority="11" operator="equal">
      <formula>0</formula>
    </cfRule>
  </conditionalFormatting>
  <conditionalFormatting sqref="J23:T23">
    <cfRule type="cellIs" dxfId="39" priority="10" operator="equal">
      <formula>0</formula>
    </cfRule>
  </conditionalFormatting>
  <conditionalFormatting sqref="J24:T24">
    <cfRule type="cellIs" dxfId="38" priority="9" operator="equal">
      <formula>0</formula>
    </cfRule>
  </conditionalFormatting>
  <conditionalFormatting sqref="J70:T70">
    <cfRule type="expression" dxfId="37" priority="112">
      <formula>J$58=J$4</formula>
    </cfRule>
    <cfRule type="cellIs" dxfId="36" priority="113" operator="equal">
      <formula>0</formula>
    </cfRule>
  </conditionalFormatting>
  <conditionalFormatting sqref="J99:T99">
    <cfRule type="expression" dxfId="35" priority="114">
      <formula>J$91=J$4</formula>
    </cfRule>
    <cfRule type="cellIs" dxfId="34" priority="115" operator="equal">
      <formula>0</formula>
    </cfRule>
  </conditionalFormatting>
  <conditionalFormatting sqref="J87:T87">
    <cfRule type="expression" dxfId="33" priority="116">
      <formula>J$75=J$4</formula>
    </cfRule>
    <cfRule type="cellIs" dxfId="32" priority="117" operator="equal">
      <formula>0</formula>
    </cfRule>
  </conditionalFormatting>
  <conditionalFormatting sqref="J58:T58 J75:T75 J91:T91">
    <cfRule type="expression" dxfId="31" priority="118">
      <formula>J$58=J$4</formula>
    </cfRule>
  </conditionalFormatting>
  <conditionalFormatting sqref="J103:T103">
    <cfRule type="expression" dxfId="30" priority="121">
      <formula>J$103=J$4</formula>
    </cfRule>
  </conditionalFormatting>
  <conditionalFormatting sqref="J41:T41">
    <cfRule type="cellIs" dxfId="29" priority="8" operator="equal">
      <formula>0</formula>
    </cfRule>
  </conditionalFormatting>
  <conditionalFormatting sqref="J41:T41">
    <cfRule type="cellIs" dxfId="28" priority="7" operator="equal">
      <formula>0</formula>
    </cfRule>
  </conditionalFormatting>
  <conditionalFormatting sqref="J44:T44">
    <cfRule type="cellIs" dxfId="27" priority="6" operator="equal">
      <formula>0</formula>
    </cfRule>
  </conditionalFormatting>
  <conditionalFormatting sqref="J44:T44">
    <cfRule type="cellIs" dxfId="26" priority="5" operator="equal">
      <formula>0</formula>
    </cfRule>
  </conditionalFormatting>
  <conditionalFormatting sqref="J47:T47">
    <cfRule type="cellIs" dxfId="25" priority="4" operator="equal">
      <formula>0</formula>
    </cfRule>
  </conditionalFormatting>
  <conditionalFormatting sqref="J47:T47">
    <cfRule type="cellIs" dxfId="24" priority="3" operator="equal">
      <formula>0</formula>
    </cfRule>
  </conditionalFormatting>
  <conditionalFormatting sqref="J50:T50">
    <cfRule type="cellIs" dxfId="23" priority="2" operator="equal">
      <formula>0</formula>
    </cfRule>
  </conditionalFormatting>
  <conditionalFormatting sqref="J50:T50">
    <cfRule type="cellIs" dxfId="22" priority="1" operator="equal">
      <formula>0</formula>
    </cfRule>
  </conditionalFormatting>
  <dataValidations count="2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tabSelected="1" workbookViewId="0">
      <selection activeCell="O13" sqref="O13:S13"/>
    </sheetView>
  </sheetViews>
  <sheetFormatPr defaultColWidth="0" defaultRowHeight="11.25" zeroHeight="1"/>
  <cols>
    <col min="1" max="2" width="1.5" style="28" customWidth="1"/>
    <col min="3" max="3" width="59.6640625" style="28" bestFit="1" customWidth="1"/>
    <col min="4" max="4" width="27.6640625" style="29" customWidth="1"/>
    <col min="5" max="5" width="15.83203125" style="29" customWidth="1"/>
    <col min="6" max="6" width="10.6640625" style="29" customWidth="1"/>
    <col min="7" max="9" width="3.33203125" style="29" customWidth="1"/>
    <col min="10" max="24" width="10.83203125" style="28" customWidth="1"/>
    <col min="25" max="48" width="0" style="28" hidden="1" customWidth="1"/>
    <col min="49" max="16384" width="10.5" style="28" hidden="1"/>
  </cols>
  <sheetData>
    <row r="1" spans="1:27" s="68" customFormat="1" ht="15.75">
      <c r="B1" s="69" t="str">
        <f>Index!$B$1</f>
        <v>AER opex model v2.0</v>
      </c>
      <c r="C1" s="69"/>
      <c r="D1" s="69"/>
      <c r="E1" s="69"/>
      <c r="F1" s="70"/>
      <c r="G1" s="70"/>
      <c r="H1" s="70"/>
      <c r="I1" s="70"/>
      <c r="J1" s="36" t="s">
        <v>2</v>
      </c>
      <c r="L1" s="71" t="s">
        <v>3</v>
      </c>
      <c r="M1" s="72" t="s">
        <v>4</v>
      </c>
      <c r="N1" s="73" t="s">
        <v>5</v>
      </c>
      <c r="O1" s="74" t="s">
        <v>6</v>
      </c>
      <c r="R1" s="71" t="s">
        <v>82</v>
      </c>
      <c r="S1" s="75" t="s">
        <v>36</v>
      </c>
      <c r="T1" s="75"/>
      <c r="V1" s="180" t="s">
        <v>24</v>
      </c>
      <c r="W1" s="75" t="str">
        <f>'Check|List'!$S$1</f>
        <v>Ok</v>
      </c>
    </row>
    <row r="2" spans="1:27" s="76" customFormat="1" ht="13.5" thickBot="1">
      <c r="B2" s="77" t="str">
        <f>Index!$C$13</f>
        <v>Output | Models</v>
      </c>
      <c r="C2" s="77"/>
      <c r="D2" s="77"/>
      <c r="E2" s="77"/>
      <c r="F2" s="78"/>
      <c r="G2" s="78"/>
      <c r="H2" s="78"/>
      <c r="I2" s="78"/>
    </row>
    <row r="3" spans="1:27" s="79" customFormat="1">
      <c r="C3" s="80"/>
      <c r="D3" s="176"/>
      <c r="E3" s="176"/>
      <c r="F3" s="176"/>
      <c r="G3" s="176"/>
      <c r="H3" s="176"/>
      <c r="I3" s="176"/>
      <c r="J3" s="166" t="s">
        <v>119</v>
      </c>
      <c r="K3" s="166"/>
      <c r="L3" s="166"/>
      <c r="M3" s="176"/>
      <c r="N3" s="221"/>
      <c r="O3" s="221"/>
      <c r="P3" s="221"/>
      <c r="Q3" s="221"/>
      <c r="R3" s="221"/>
      <c r="S3" s="221"/>
      <c r="T3" s="201"/>
      <c r="U3" s="81"/>
      <c r="V3" s="81"/>
      <c r="W3" s="81"/>
      <c r="X3" s="81"/>
      <c r="Y3" s="81"/>
      <c r="Z3" s="81"/>
      <c r="AA3" s="81"/>
    </row>
    <row r="4" spans="1:27" s="102" customFormat="1">
      <c r="A4" s="82"/>
      <c r="B4" s="82"/>
      <c r="C4" s="82"/>
      <c r="D4" s="83" t="s">
        <v>7</v>
      </c>
      <c r="E4" s="83" t="s">
        <v>8</v>
      </c>
      <c r="F4" s="84" t="s">
        <v>22</v>
      </c>
      <c r="G4" s="85"/>
      <c r="H4" s="85"/>
      <c r="I4" s="85"/>
      <c r="J4" s="152">
        <f>DATE(PPFirstYear,MONTH('Input|General'!$G$9),1)</f>
        <v>43252</v>
      </c>
      <c r="K4" s="152">
        <f>DATE(PPFirstYear+1,MONTH('Input|General'!$G$9),1)</f>
        <v>43617</v>
      </c>
      <c r="L4" s="152">
        <f>DATE(PPFirstYear+2,MONTH('Input|General'!$G$9),1)</f>
        <v>43983</v>
      </c>
      <c r="M4" s="152">
        <f>DATE(PPFirstYear+3,MONTH('Input|General'!$G$9),1)</f>
        <v>44348</v>
      </c>
      <c r="N4" s="152">
        <f>DATE(PPFirstYear+4,MONTH('Input|General'!$G$9),1)</f>
        <v>44713</v>
      </c>
      <c r="O4" s="152">
        <f>DATE(PPFirstYear+5,MONTH('Input|General'!$G$9),1)</f>
        <v>45078</v>
      </c>
      <c r="P4" s="152">
        <f>DATE(PPFirstYear+6,MONTH('Input|General'!$G$9),1)</f>
        <v>45444</v>
      </c>
      <c r="Q4" s="152">
        <f>DATE(PPFirstYear+7,MONTH('Input|General'!$G$9),1)</f>
        <v>45809</v>
      </c>
      <c r="R4" s="152">
        <f>DATE(PPFirstYear+8,MONTH('Input|General'!$G$9),1)</f>
        <v>46174</v>
      </c>
      <c r="S4" s="152">
        <f>DATE(PPFirstYear+9,MONTH('Input|General'!$G$9),1)</f>
        <v>46539</v>
      </c>
      <c r="T4" s="152">
        <f>DATE(PPFirstYear+10,MONTH('Input|General'!$G$9),1)</f>
        <v>46905</v>
      </c>
      <c r="U4" s="86"/>
      <c r="V4" s="86"/>
      <c r="W4" s="87"/>
      <c r="X4" s="87"/>
    </row>
    <row r="5" spans="1:27" s="26" customFormat="1" ht="3" customHeight="1">
      <c r="D5" s="27"/>
      <c r="E5" s="27"/>
      <c r="F5" s="27"/>
      <c r="G5" s="27"/>
      <c r="H5" s="27"/>
      <c r="I5" s="27"/>
    </row>
    <row r="6" spans="1:27" s="26" customFormat="1" ht="9" customHeight="1">
      <c r="D6" s="27"/>
      <c r="E6" s="27"/>
      <c r="F6" s="27"/>
      <c r="G6" s="27"/>
      <c r="H6" s="27"/>
      <c r="I6" s="27"/>
    </row>
    <row r="7" spans="1:27" s="26" customFormat="1" ht="3" customHeight="1">
      <c r="D7" s="27"/>
      <c r="E7" s="27"/>
      <c r="F7" s="27"/>
      <c r="G7" s="27"/>
      <c r="H7" s="27"/>
      <c r="I7" s="27"/>
    </row>
    <row r="8" spans="1:27" s="102" customFormat="1" ht="12.75">
      <c r="A8" s="93"/>
      <c r="B8" s="94" t="s">
        <v>55</v>
      </c>
      <c r="C8" s="93"/>
      <c r="D8" s="93"/>
      <c r="E8" s="67" t="s">
        <v>15</v>
      </c>
      <c r="F8" s="195">
        <f>DATE(PPLastYear,MONTH('Input|General'!$G$9),1)</f>
        <v>44713</v>
      </c>
      <c r="G8" s="95"/>
      <c r="H8" s="95"/>
      <c r="I8" s="95"/>
      <c r="J8" s="147" t="s">
        <v>56</v>
      </c>
      <c r="K8" s="97"/>
      <c r="L8" s="96"/>
      <c r="M8" s="97"/>
      <c r="N8" s="96"/>
      <c r="O8" s="96"/>
      <c r="P8" s="96"/>
      <c r="Q8" s="96"/>
      <c r="R8" s="96"/>
      <c r="S8" s="96"/>
      <c r="T8" s="96"/>
      <c r="U8" s="96"/>
      <c r="V8" s="96"/>
      <c r="W8" s="97"/>
      <c r="X8" s="97"/>
    </row>
    <row r="9" spans="1:27" ht="4.5" customHeight="1"/>
    <row r="10" spans="1:27">
      <c r="M10" s="106"/>
      <c r="N10" s="106"/>
      <c r="O10" s="106"/>
      <c r="P10" s="106"/>
      <c r="Q10" s="106"/>
      <c r="R10" s="106"/>
      <c r="S10" s="106"/>
      <c r="T10" s="106"/>
    </row>
    <row r="11" spans="1:27">
      <c r="C11" s="66" t="s">
        <v>46</v>
      </c>
      <c r="D11" s="31" t="s">
        <v>7</v>
      </c>
      <c r="E11" s="31" t="s">
        <v>8</v>
      </c>
      <c r="F11" s="31" t="s">
        <v>22</v>
      </c>
      <c r="H11" s="31"/>
      <c r="I11" s="31"/>
      <c r="J11" s="158" t="str">
        <f>IF(YEAR(J$4)&gt;='Input|General'!$G$13,IF(YEAR(J$4)&lt;='Input|General'!$G$14,J$4,""),"")</f>
        <v/>
      </c>
      <c r="K11" s="158" t="str">
        <f>IF(YEAR(K$4)&gt;='Input|General'!$G$13,IF(YEAR(K$4)&lt;='Input|General'!$G$14,K$4,""),"")</f>
        <v/>
      </c>
      <c r="L11" s="158" t="str">
        <f>IF(YEAR(L$4)&gt;='Input|General'!$G$13,IF(YEAR(L$4)&lt;='Input|General'!$G$14,L$4,""),"")</f>
        <v/>
      </c>
      <c r="M11" s="158" t="str">
        <f>IF(YEAR(M$4)&gt;='Input|General'!$G$13,IF(YEAR(M$4)&lt;='Input|General'!$G$14,M$4,""),"")</f>
        <v/>
      </c>
      <c r="N11" s="158" t="str">
        <f>IF(YEAR(N$4)&gt;='Input|General'!$G$13,IF(YEAR(N$4)&lt;='Input|General'!$G$14,N$4,""),"")</f>
        <v/>
      </c>
      <c r="O11" s="158">
        <f>IF(YEAR(O$4)&gt;='Input|General'!$G$13,IF(YEAR(O$4)&lt;='Input|General'!$G$14,O$4,""),"")</f>
        <v>45078</v>
      </c>
      <c r="P11" s="158">
        <f>IF(YEAR(P$4)&gt;='Input|General'!$G$13,IF(YEAR(P$4)&lt;='Input|General'!$G$14,P$4,""),"")</f>
        <v>45444</v>
      </c>
      <c r="Q11" s="158">
        <f>IF(YEAR(Q$4)&gt;='Input|General'!$G$13,IF(YEAR(Q$4)&lt;='Input|General'!$G$14,Q$4,""),"")</f>
        <v>45809</v>
      </c>
      <c r="R11" s="158">
        <f>IF(YEAR(R$4)&gt;='Input|General'!$G$13,IF(YEAR(R$4)&lt;='Input|General'!$G$14,R$4,""),"")</f>
        <v>46174</v>
      </c>
      <c r="S11" s="158">
        <f>IF(YEAR(S$4)&gt;='Input|General'!$G$13,IF(YEAR(S$4)&lt;='Input|General'!$G$14,S$4,""),"")</f>
        <v>46539</v>
      </c>
      <c r="T11" s="158" t="str">
        <f>IF(YEAR(T$4)&gt;='Input|General'!$G$13,IF(YEAR(T$4)&lt;='Input|General'!$G$14,T$4,""),"")</f>
        <v/>
      </c>
      <c r="V11" s="135" t="s">
        <v>54</v>
      </c>
      <c r="W11" s="136"/>
      <c r="X11" s="136"/>
    </row>
    <row r="12" spans="1:27">
      <c r="C12" s="66"/>
      <c r="D12" s="31"/>
      <c r="E12" s="31"/>
      <c r="F12" s="31"/>
      <c r="H12" s="31"/>
      <c r="I12" s="31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V12" s="123"/>
      <c r="W12" s="140"/>
      <c r="X12" s="140"/>
    </row>
    <row r="13" spans="1:27">
      <c r="C13" s="110" t="str">
        <f>'Calc|Opex forecast'!C105</f>
        <v>Total forecast opex, excluding category specific forecasts</v>
      </c>
      <c r="D13" s="33" t="s">
        <v>103</v>
      </c>
      <c r="E13" s="29" t="str">
        <f>$E$8</f>
        <v>$millions</v>
      </c>
      <c r="F13" s="157">
        <f>$F$8</f>
        <v>44713</v>
      </c>
      <c r="H13" s="31"/>
      <c r="I13" s="31"/>
      <c r="J13" s="174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74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74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74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74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220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20.876113306249806</v>
      </c>
      <c r="P13" s="220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21.23983237231856</v>
      </c>
      <c r="Q13" s="220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20.536422891789343</v>
      </c>
      <c r="R13" s="220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20.212528227596021</v>
      </c>
      <c r="S13" s="220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20.19983691382188</v>
      </c>
      <c r="T13" s="174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10"/>
      <c r="V13" s="149"/>
    </row>
    <row r="14" spans="1:27">
      <c r="C14" s="110">
        <f>'Input|Step changes'!C28</f>
        <v>0</v>
      </c>
      <c r="D14" s="33" t="s">
        <v>103</v>
      </c>
      <c r="E14" s="29" t="str">
        <f t="shared" ref="E14:E18" si="0">$E$8</f>
        <v>$millions</v>
      </c>
      <c r="F14" s="157">
        <f t="shared" ref="F14:F18" si="1">$F$8</f>
        <v>44713</v>
      </c>
      <c r="H14" s="31"/>
      <c r="I14" s="31"/>
      <c r="J14" s="174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74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74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74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74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74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P14" s="174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Q14" s="174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R14" s="174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S14" s="174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74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10"/>
      <c r="V14" s="149"/>
    </row>
    <row r="15" spans="1:27">
      <c r="C15" s="110">
        <f>'Input|Step changes'!C29</f>
        <v>0</v>
      </c>
      <c r="D15" s="33" t="s">
        <v>103</v>
      </c>
      <c r="E15" s="29" t="str">
        <f t="shared" si="0"/>
        <v>$millions</v>
      </c>
      <c r="F15" s="157">
        <f t="shared" si="1"/>
        <v>44713</v>
      </c>
      <c r="H15" s="31"/>
      <c r="I15" s="31"/>
      <c r="J15" s="174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74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74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74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74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74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74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74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74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74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74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10"/>
      <c r="V15" s="149"/>
    </row>
    <row r="16" spans="1:27">
      <c r="C16" s="110">
        <f>'Input|Step changes'!C30</f>
        <v>0</v>
      </c>
      <c r="D16" s="33" t="s">
        <v>103</v>
      </c>
      <c r="E16" s="29" t="str">
        <f t="shared" si="0"/>
        <v>$millions</v>
      </c>
      <c r="F16" s="157">
        <f t="shared" si="1"/>
        <v>44713</v>
      </c>
      <c r="H16" s="31"/>
      <c r="I16" s="31"/>
      <c r="J16" s="174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74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74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74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74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74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74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74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74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74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74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10"/>
      <c r="V16" s="149"/>
    </row>
    <row r="17" spans="1:24">
      <c r="C17" s="110">
        <f>'Input|Step changes'!C31</f>
        <v>0</v>
      </c>
      <c r="D17" s="33" t="s">
        <v>103</v>
      </c>
      <c r="E17" s="29" t="str">
        <f t="shared" si="0"/>
        <v>$millions</v>
      </c>
      <c r="F17" s="157">
        <f t="shared" si="1"/>
        <v>44713</v>
      </c>
      <c r="H17" s="31"/>
      <c r="I17" s="31"/>
      <c r="J17" s="174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74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74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74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74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74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74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74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74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74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74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10"/>
      <c r="V17" s="196"/>
    </row>
    <row r="18" spans="1:24">
      <c r="C18" s="110">
        <f>'Input|Step changes'!C32</f>
        <v>0</v>
      </c>
      <c r="D18" s="33" t="s">
        <v>103</v>
      </c>
      <c r="E18" s="29" t="str">
        <f t="shared" si="0"/>
        <v>$millions</v>
      </c>
      <c r="F18" s="157">
        <f t="shared" si="1"/>
        <v>44713</v>
      </c>
      <c r="H18" s="31"/>
      <c r="I18" s="31"/>
      <c r="J18" s="174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74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74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74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74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74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74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74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74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74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74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10"/>
      <c r="V18" s="196"/>
    </row>
    <row r="19" spans="1:24">
      <c r="D19" s="33"/>
      <c r="H19" s="31"/>
      <c r="I19" s="31"/>
      <c r="N19" s="140"/>
      <c r="S19" s="23"/>
      <c r="T19" s="23"/>
    </row>
    <row r="20" spans="1:24" s="102" customFormat="1" ht="12.75">
      <c r="A20" s="93"/>
      <c r="B20" s="94" t="s">
        <v>21</v>
      </c>
      <c r="C20" s="93"/>
      <c r="D20" s="93"/>
      <c r="E20" s="93"/>
      <c r="F20" s="95"/>
      <c r="G20" s="95"/>
      <c r="H20" s="95"/>
      <c r="I20" s="95"/>
      <c r="J20" s="96"/>
      <c r="K20" s="97"/>
      <c r="L20" s="96"/>
      <c r="M20" s="97"/>
      <c r="N20" s="96"/>
      <c r="O20" s="96"/>
      <c r="P20" s="96"/>
      <c r="Q20" s="96"/>
      <c r="R20" s="96"/>
      <c r="S20" s="96"/>
      <c r="T20" s="96"/>
      <c r="U20" s="96"/>
      <c r="V20" s="96"/>
      <c r="W20" s="97"/>
      <c r="X20" s="97"/>
    </row>
    <row r="26" spans="1:24" hidden="1">
      <c r="M26" s="144"/>
      <c r="N26" s="144"/>
      <c r="O26" s="144"/>
      <c r="P26" s="144"/>
      <c r="Q26" s="144"/>
      <c r="R26" s="144"/>
      <c r="S26" s="144"/>
      <c r="T26" s="144"/>
    </row>
  </sheetData>
  <mergeCells count="1">
    <mergeCell ref="N3:S3"/>
  </mergeCells>
  <conditionalFormatting sqref="W1">
    <cfRule type="cellIs" dxfId="21" priority="13" operator="equal">
      <formula>"Check"</formula>
    </cfRule>
    <cfRule type="cellIs" dxfId="20" priority="14" operator="equal">
      <formula>"Ok"</formula>
    </cfRule>
  </conditionalFormatting>
  <conditionalFormatting sqref="J13:T18">
    <cfRule type="expression" dxfId="19" priority="3">
      <formula>AND($C13=0,J$11=J$4)</formula>
    </cfRule>
    <cfRule type="expression" dxfId="18" priority="4">
      <formula>NOT(J$11=J$4)</formula>
    </cfRule>
    <cfRule type="expression" dxfId="17" priority="5">
      <formula>J$11=J$4</formula>
    </cfRule>
  </conditionalFormatting>
  <conditionalFormatting sqref="J11:T11">
    <cfRule type="expression" dxfId="16" priority="7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dataValidations disablePrompts="1" count="2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V1" location="'Check|List'!A1" display="Overall Check:" xr:uid="{00000000-0004-0000-0800-000005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topLeftCell="A61" workbookViewId="0">
      <selection activeCell="A86" sqref="A86:XFD1048576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7" customFormat="1" ht="15.75">
      <c r="B1" s="34" t="str">
        <f>Index!$B$1</f>
        <v>AER opex model v2.0</v>
      </c>
      <c r="C1" s="34"/>
      <c r="D1" s="34"/>
      <c r="E1" s="34"/>
      <c r="F1" s="35"/>
      <c r="G1" s="35"/>
      <c r="H1" s="35"/>
      <c r="I1" s="35"/>
      <c r="J1" s="36" t="s">
        <v>2</v>
      </c>
      <c r="L1" s="38" t="s">
        <v>3</v>
      </c>
      <c r="M1" s="58" t="s">
        <v>4</v>
      </c>
      <c r="N1" s="11" t="s">
        <v>5</v>
      </c>
      <c r="O1" s="12" t="s">
        <v>6</v>
      </c>
      <c r="R1" s="38"/>
      <c r="S1" s="39"/>
      <c r="U1" s="175" t="s">
        <v>24</v>
      </c>
      <c r="V1" s="39" t="str">
        <f>'Check|List'!$S$1</f>
        <v>Ok</v>
      </c>
    </row>
    <row r="2" spans="1:47" s="37" customFormat="1" ht="12.75">
      <c r="B2" s="52" t="str">
        <f>Index!$C$14</f>
        <v>Lookup | Tables</v>
      </c>
      <c r="C2" s="52"/>
      <c r="D2" s="52"/>
      <c r="E2" s="52"/>
      <c r="F2" s="53"/>
      <c r="G2" s="53"/>
      <c r="H2" s="53"/>
      <c r="I2" s="53"/>
    </row>
    <row r="3" spans="1:47" s="57" customFormat="1" ht="12.75">
      <c r="A3" s="42"/>
      <c r="B3" s="50"/>
      <c r="C3" s="42"/>
      <c r="D3" s="42"/>
      <c r="E3" s="42"/>
      <c r="F3" s="43"/>
      <c r="G3" s="43"/>
      <c r="H3" s="43"/>
      <c r="I3" s="43"/>
      <c r="J3" s="44"/>
      <c r="K3" s="45"/>
      <c r="L3" s="44"/>
      <c r="M3" s="45"/>
      <c r="N3" s="44"/>
      <c r="O3" s="44"/>
      <c r="P3" s="44"/>
      <c r="Q3" s="44"/>
      <c r="R3" s="44"/>
      <c r="S3" s="44"/>
      <c r="T3" s="44"/>
      <c r="U3" s="44"/>
      <c r="V3" s="45"/>
      <c r="W3" s="45"/>
      <c r="X3" s="54"/>
      <c r="Y3" s="54"/>
      <c r="Z3" s="54"/>
      <c r="AA3" s="54"/>
      <c r="AB3" s="54"/>
      <c r="AC3" s="55"/>
      <c r="AD3" s="55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</row>
    <row r="4" spans="1:47" s="6" customFormat="1" ht="3" customHeight="1">
      <c r="D4" s="20"/>
      <c r="E4" s="20"/>
    </row>
    <row r="5" spans="1:47" customFormat="1" ht="12.75">
      <c r="A5" s="42"/>
      <c r="B5" s="50" t="s">
        <v>199</v>
      </c>
      <c r="C5" s="42"/>
      <c r="D5" s="42"/>
      <c r="E5" s="42"/>
      <c r="F5" s="43"/>
      <c r="G5" s="43"/>
      <c r="H5" s="43"/>
      <c r="I5" s="43"/>
      <c r="J5" s="44"/>
      <c r="K5" s="45"/>
      <c r="L5" s="44"/>
      <c r="M5" s="45"/>
      <c r="N5" s="44"/>
      <c r="O5" s="44"/>
      <c r="P5" s="44"/>
      <c r="Q5" s="44"/>
      <c r="R5" s="44"/>
      <c r="S5" s="44"/>
      <c r="T5" s="44"/>
      <c r="U5" s="44"/>
      <c r="V5" s="45"/>
      <c r="W5" s="45"/>
      <c r="X5" s="46"/>
      <c r="Y5" s="46"/>
      <c r="Z5" s="46"/>
      <c r="AA5" s="46"/>
      <c r="AB5" s="47"/>
      <c r="AC5" s="48"/>
      <c r="AD5" s="48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</row>
    <row r="6" spans="1:47"/>
    <row r="7" spans="1:47">
      <c r="C7" s="13" t="str">
        <f>B5</f>
        <v>Stage</v>
      </c>
      <c r="D7" s="21" t="s">
        <v>7</v>
      </c>
      <c r="E7" s="21"/>
      <c r="F7" s="14"/>
      <c r="G7" s="14" t="s">
        <v>9</v>
      </c>
      <c r="H7" s="14"/>
    </row>
    <row r="8" spans="1:47">
      <c r="C8" s="15" t="s">
        <v>200</v>
      </c>
      <c r="D8" s="16" t="s">
        <v>203</v>
      </c>
      <c r="E8" s="16"/>
      <c r="F8" s="16"/>
      <c r="G8" s="51" t="s">
        <v>200</v>
      </c>
    </row>
    <row r="9" spans="1:47">
      <c r="C9" s="15" t="s">
        <v>201</v>
      </c>
      <c r="D9" s="16" t="s">
        <v>203</v>
      </c>
      <c r="E9" s="16"/>
      <c r="F9" s="16"/>
      <c r="G9" s="51" t="s">
        <v>201</v>
      </c>
    </row>
    <row r="10" spans="1:47">
      <c r="C10" s="15" t="s">
        <v>202</v>
      </c>
      <c r="D10" s="16" t="s">
        <v>69</v>
      </c>
      <c r="E10" s="16"/>
      <c r="F10" s="16"/>
      <c r="G10" s="51" t="s">
        <v>202</v>
      </c>
      <c r="T10" s="17"/>
    </row>
    <row r="11" spans="1:47">
      <c r="C11" s="15" t="s">
        <v>204</v>
      </c>
      <c r="D11" s="16" t="s">
        <v>203</v>
      </c>
      <c r="E11" s="16"/>
      <c r="F11" s="16"/>
      <c r="G11" s="51" t="s">
        <v>204</v>
      </c>
    </row>
    <row r="12" spans="1:47">
      <c r="C12" s="15" t="s">
        <v>205</v>
      </c>
      <c r="D12" s="16" t="s">
        <v>69</v>
      </c>
      <c r="E12" s="16"/>
      <c r="F12" s="16"/>
      <c r="G12" s="51" t="s">
        <v>205</v>
      </c>
      <c r="T12" s="17"/>
    </row>
    <row r="13" spans="1:47">
      <c r="F13" s="8"/>
      <c r="G13" s="8"/>
    </row>
    <row r="14" spans="1:47" customFormat="1" ht="12.75">
      <c r="A14" s="42"/>
      <c r="B14" s="50" t="s">
        <v>19</v>
      </c>
      <c r="C14" s="42"/>
      <c r="D14" s="42"/>
      <c r="E14" s="42"/>
      <c r="F14" s="43"/>
      <c r="G14" s="43"/>
      <c r="H14" s="43"/>
      <c r="I14" s="43"/>
      <c r="J14" s="44"/>
      <c r="K14" s="45"/>
      <c r="L14" s="44"/>
      <c r="M14" s="45"/>
      <c r="N14" s="44"/>
      <c r="O14" s="44"/>
      <c r="P14" s="44"/>
      <c r="Q14" s="44"/>
      <c r="R14" s="44"/>
      <c r="S14" s="44"/>
      <c r="T14" s="44"/>
      <c r="U14" s="44"/>
      <c r="V14" s="45"/>
      <c r="W14" s="45"/>
      <c r="X14" s="46"/>
      <c r="Y14" s="46"/>
      <c r="Z14" s="46"/>
      <c r="AA14" s="46"/>
      <c r="AB14" s="47"/>
      <c r="AC14" s="48"/>
      <c r="AD14" s="48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</row>
    <row r="15" spans="1:47"/>
    <row r="16" spans="1:47">
      <c r="C16" s="13" t="str">
        <f>B14</f>
        <v>Unit Denominations</v>
      </c>
      <c r="D16" s="21" t="s">
        <v>7</v>
      </c>
      <c r="E16" s="21"/>
      <c r="F16" s="14"/>
      <c r="G16" s="14" t="s">
        <v>9</v>
      </c>
      <c r="H16" s="14"/>
    </row>
    <row r="17" spans="1:47">
      <c r="C17" s="15" t="s">
        <v>10</v>
      </c>
      <c r="D17" s="16" t="s">
        <v>69</v>
      </c>
      <c r="E17" s="16"/>
      <c r="F17" s="16"/>
      <c r="G17" s="51" t="s">
        <v>12</v>
      </c>
    </row>
    <row r="18" spans="1:47">
      <c r="C18" s="15" t="s">
        <v>13</v>
      </c>
      <c r="D18" s="16" t="s">
        <v>69</v>
      </c>
      <c r="E18" s="16"/>
      <c r="F18" s="16"/>
      <c r="G18" s="51" t="s">
        <v>20</v>
      </c>
    </row>
    <row r="19" spans="1:47">
      <c r="C19" s="15" t="s">
        <v>14</v>
      </c>
      <c r="D19" s="16" t="s">
        <v>69</v>
      </c>
      <c r="E19" s="16"/>
      <c r="F19" s="16"/>
      <c r="G19" s="51" t="s">
        <v>15</v>
      </c>
      <c r="T19" s="17"/>
    </row>
    <row r="20" spans="1:47">
      <c r="F20" s="8"/>
      <c r="G20" s="8"/>
    </row>
    <row r="21" spans="1:47">
      <c r="C21" s="15" t="s">
        <v>16</v>
      </c>
      <c r="D21" s="16" t="s">
        <v>69</v>
      </c>
      <c r="E21" s="16"/>
      <c r="F21" s="16"/>
      <c r="G21" s="51" t="s">
        <v>31</v>
      </c>
    </row>
    <row r="22" spans="1:47">
      <c r="C22" s="15" t="s">
        <v>8</v>
      </c>
      <c r="D22" s="16" t="s">
        <v>69</v>
      </c>
      <c r="E22" s="16"/>
      <c r="F22" s="16"/>
      <c r="G22" s="51" t="s">
        <v>11</v>
      </c>
    </row>
    <row r="23" spans="1:47">
      <c r="C23" s="15" t="s">
        <v>17</v>
      </c>
      <c r="D23" s="16" t="s">
        <v>69</v>
      </c>
      <c r="E23" s="16"/>
      <c r="F23" s="16"/>
      <c r="G23" s="51" t="s">
        <v>18</v>
      </c>
    </row>
    <row r="24" spans="1:47">
      <c r="C24" s="15" t="s">
        <v>37</v>
      </c>
      <c r="D24" s="16" t="s">
        <v>69</v>
      </c>
      <c r="E24" s="16"/>
      <c r="F24" s="16"/>
      <c r="G24" s="51" t="s">
        <v>38</v>
      </c>
    </row>
    <row r="25" spans="1:47">
      <c r="C25" s="15"/>
      <c r="D25" s="16"/>
      <c r="E25" s="16"/>
      <c r="F25" s="16"/>
      <c r="G25" s="8"/>
    </row>
    <row r="26" spans="1:47">
      <c r="C26" s="15" t="s">
        <v>23</v>
      </c>
      <c r="D26" s="16" t="s">
        <v>69</v>
      </c>
      <c r="E26" s="16"/>
      <c r="F26" s="16"/>
      <c r="G26" s="51" t="s">
        <v>23</v>
      </c>
    </row>
    <row r="27" spans="1:47">
      <c r="C27" s="15" t="s">
        <v>74</v>
      </c>
      <c r="D27" s="16" t="s">
        <v>69</v>
      </c>
      <c r="E27" s="16"/>
      <c r="F27" s="16"/>
      <c r="G27" s="51" t="s">
        <v>74</v>
      </c>
    </row>
    <row r="28" spans="1:47">
      <c r="C28" s="15"/>
      <c r="D28" s="16"/>
      <c r="E28" s="16"/>
      <c r="F28" s="16"/>
      <c r="G28" s="8"/>
    </row>
    <row r="29" spans="1:47" customFormat="1" ht="12.75">
      <c r="A29" s="42"/>
      <c r="B29" s="50" t="s">
        <v>120</v>
      </c>
      <c r="C29" s="42"/>
      <c r="D29" s="42"/>
      <c r="E29" s="42"/>
      <c r="F29" s="43"/>
      <c r="G29" s="43"/>
      <c r="H29" s="43"/>
      <c r="I29" s="43"/>
      <c r="J29" s="44"/>
      <c r="K29" s="45"/>
      <c r="L29" s="44"/>
      <c r="M29" s="45"/>
      <c r="N29" s="44"/>
      <c r="O29" s="44"/>
      <c r="P29" s="44"/>
      <c r="Q29" s="44"/>
      <c r="R29" s="44"/>
      <c r="S29" s="44"/>
      <c r="T29" s="44"/>
      <c r="U29" s="44"/>
      <c r="V29" s="45"/>
      <c r="W29" s="45"/>
      <c r="X29" s="46"/>
      <c r="Y29" s="46"/>
      <c r="Z29" s="46"/>
      <c r="AA29" s="46"/>
      <c r="AB29" s="47"/>
      <c r="AC29" s="48"/>
      <c r="AD29" s="48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</row>
    <row r="30" spans="1:47"/>
    <row r="31" spans="1:47">
      <c r="C31" s="13" t="str">
        <f>B29</f>
        <v>Months</v>
      </c>
      <c r="D31" s="21" t="s">
        <v>7</v>
      </c>
      <c r="E31" s="21"/>
      <c r="F31" s="14"/>
      <c r="G31" s="14" t="s">
        <v>9</v>
      </c>
      <c r="H31" s="14"/>
    </row>
    <row r="32" spans="1:47">
      <c r="C32" s="15" t="s">
        <v>121</v>
      </c>
      <c r="D32" s="16" t="s">
        <v>69</v>
      </c>
      <c r="E32" s="16"/>
      <c r="F32" s="16"/>
      <c r="G32" s="150">
        <v>36526</v>
      </c>
      <c r="H32" s="14"/>
    </row>
    <row r="33" spans="1:47">
      <c r="C33" s="15" t="s">
        <v>122</v>
      </c>
      <c r="D33" s="16" t="s">
        <v>69</v>
      </c>
      <c r="E33" s="16"/>
      <c r="F33" s="16"/>
      <c r="G33" s="150">
        <v>36557</v>
      </c>
      <c r="H33" s="14"/>
    </row>
    <row r="34" spans="1:47">
      <c r="C34" s="15" t="s">
        <v>123</v>
      </c>
      <c r="D34" s="16" t="s">
        <v>69</v>
      </c>
      <c r="E34" s="16"/>
      <c r="F34" s="16"/>
      <c r="G34" s="150">
        <v>36586</v>
      </c>
      <c r="H34" s="14"/>
    </row>
    <row r="35" spans="1:47">
      <c r="C35" s="15" t="s">
        <v>124</v>
      </c>
      <c r="D35" s="16" t="s">
        <v>69</v>
      </c>
      <c r="E35" s="16"/>
      <c r="F35" s="16"/>
      <c r="G35" s="150">
        <v>36617</v>
      </c>
    </row>
    <row r="36" spans="1:47">
      <c r="C36" s="15" t="s">
        <v>125</v>
      </c>
      <c r="D36" s="16" t="s">
        <v>69</v>
      </c>
      <c r="E36" s="16"/>
      <c r="F36" s="16"/>
      <c r="G36" s="150">
        <v>36647</v>
      </c>
    </row>
    <row r="37" spans="1:47">
      <c r="C37" s="15" t="s">
        <v>126</v>
      </c>
      <c r="D37" s="16" t="s">
        <v>69</v>
      </c>
      <c r="E37" s="16"/>
      <c r="F37" s="16"/>
      <c r="G37" s="150">
        <v>36678</v>
      </c>
      <c r="T37" s="17"/>
    </row>
    <row r="38" spans="1:47">
      <c r="C38" s="15" t="s">
        <v>127</v>
      </c>
      <c r="D38" s="16" t="s">
        <v>69</v>
      </c>
      <c r="E38" s="16"/>
      <c r="F38" s="16"/>
      <c r="G38" s="150">
        <v>36708</v>
      </c>
      <c r="T38" s="17"/>
    </row>
    <row r="39" spans="1:47">
      <c r="C39" s="15" t="s">
        <v>128</v>
      </c>
      <c r="D39" s="16" t="s">
        <v>69</v>
      </c>
      <c r="E39" s="16"/>
      <c r="F39" s="16"/>
      <c r="G39" s="150">
        <v>36739</v>
      </c>
      <c r="T39" s="17"/>
    </row>
    <row r="40" spans="1:47">
      <c r="C40" s="15" t="s">
        <v>129</v>
      </c>
      <c r="D40" s="16" t="s">
        <v>69</v>
      </c>
      <c r="E40" s="16"/>
      <c r="F40" s="16"/>
      <c r="G40" s="150">
        <v>36770</v>
      </c>
      <c r="T40" s="17"/>
    </row>
    <row r="41" spans="1:47">
      <c r="C41" s="15" t="s">
        <v>130</v>
      </c>
      <c r="D41" s="16" t="s">
        <v>69</v>
      </c>
      <c r="E41" s="16"/>
      <c r="F41" s="16"/>
      <c r="G41" s="150">
        <v>36800</v>
      </c>
      <c r="T41" s="17"/>
    </row>
    <row r="42" spans="1:47">
      <c r="C42" s="15" t="s">
        <v>131</v>
      </c>
      <c r="D42" s="16" t="s">
        <v>69</v>
      </c>
      <c r="E42" s="16"/>
      <c r="F42" s="16"/>
      <c r="G42" s="150">
        <v>36831</v>
      </c>
      <c r="T42" s="17"/>
    </row>
    <row r="43" spans="1:47">
      <c r="C43" s="15" t="s">
        <v>132</v>
      </c>
      <c r="D43" s="16" t="s">
        <v>69</v>
      </c>
      <c r="E43" s="16"/>
      <c r="F43" s="16"/>
      <c r="G43" s="150">
        <v>36861</v>
      </c>
      <c r="T43" s="17"/>
    </row>
    <row r="44" spans="1:47">
      <c r="C44" s="15"/>
      <c r="D44" s="16"/>
      <c r="E44" s="16"/>
      <c r="F44" s="16"/>
      <c r="T44" s="17"/>
    </row>
    <row r="45" spans="1:47" customFormat="1" ht="12.75">
      <c r="A45" s="42"/>
      <c r="B45" s="50" t="s">
        <v>70</v>
      </c>
      <c r="C45" s="42"/>
      <c r="D45" s="42"/>
      <c r="E45" s="42"/>
      <c r="F45" s="43"/>
      <c r="G45" s="43"/>
      <c r="H45" s="43"/>
      <c r="I45" s="43"/>
      <c r="J45" s="44"/>
      <c r="K45" s="45"/>
      <c r="L45" s="44"/>
      <c r="M45" s="45"/>
      <c r="N45" s="44"/>
      <c r="O45" s="44"/>
      <c r="P45" s="44"/>
      <c r="Q45" s="44"/>
      <c r="R45" s="44"/>
      <c r="S45" s="44"/>
      <c r="T45" s="44"/>
      <c r="U45" s="44"/>
      <c r="V45" s="45"/>
      <c r="W45" s="45"/>
      <c r="X45" s="46"/>
      <c r="Y45" s="46"/>
      <c r="Z45" s="46"/>
      <c r="AA45" s="46"/>
      <c r="AB45" s="47"/>
      <c r="AC45" s="48"/>
      <c r="AD45" s="48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</row>
    <row r="46" spans="1:47"/>
    <row r="47" spans="1:47">
      <c r="C47" s="13" t="str">
        <f>B45</f>
        <v>Years</v>
      </c>
      <c r="D47" s="21" t="s">
        <v>7</v>
      </c>
      <c r="E47" s="21"/>
      <c r="F47" s="14"/>
      <c r="G47" s="14" t="s">
        <v>155</v>
      </c>
      <c r="H47" s="14" t="s">
        <v>153</v>
      </c>
      <c r="I47" s="14" t="s">
        <v>154</v>
      </c>
    </row>
    <row r="48" spans="1:47">
      <c r="C48" s="156">
        <v>40695</v>
      </c>
      <c r="D48" s="16" t="s">
        <v>69</v>
      </c>
      <c r="E48" s="16"/>
      <c r="F48" s="16"/>
      <c r="G48" s="151">
        <v>2011</v>
      </c>
      <c r="H48" s="178">
        <f>DATE(G48,MONTH('Input|General'!$G$9),1)</f>
        <v>40695</v>
      </c>
      <c r="I48" s="177" t="str">
        <f>G48-1&amp;"–"&amp;RIGHT(G48,2)</f>
        <v>2010–11</v>
      </c>
    </row>
    <row r="49" spans="3:20">
      <c r="C49" s="156">
        <v>41061</v>
      </c>
      <c r="D49" s="16" t="s">
        <v>69</v>
      </c>
      <c r="E49" s="16"/>
      <c r="F49" s="16"/>
      <c r="G49" s="151">
        <v>2012</v>
      </c>
      <c r="H49" s="178">
        <f>DATE(G49,MONTH('Input|General'!$G$9),1)</f>
        <v>41061</v>
      </c>
      <c r="I49" s="177" t="str">
        <f t="shared" ref="I49:I67" si="0">G49-1&amp;"–"&amp;RIGHT(G49,2)</f>
        <v>2011–12</v>
      </c>
    </row>
    <row r="50" spans="3:20">
      <c r="C50" s="156">
        <v>41426</v>
      </c>
      <c r="D50" s="16" t="s">
        <v>69</v>
      </c>
      <c r="E50" s="16"/>
      <c r="F50" s="16"/>
      <c r="G50" s="151">
        <v>2013</v>
      </c>
      <c r="H50" s="178">
        <f>DATE(G50,MONTH('Input|General'!$G$9),1)</f>
        <v>41426</v>
      </c>
      <c r="I50" s="177" t="str">
        <f t="shared" si="0"/>
        <v>2012–13</v>
      </c>
    </row>
    <row r="51" spans="3:20">
      <c r="C51" s="156">
        <v>41791</v>
      </c>
      <c r="D51" s="16" t="s">
        <v>69</v>
      </c>
      <c r="E51" s="16"/>
      <c r="F51" s="16"/>
      <c r="G51" s="151">
        <v>2014</v>
      </c>
      <c r="H51" s="178">
        <f>DATE(G51,MONTH('Input|General'!$G$9),1)</f>
        <v>41791</v>
      </c>
      <c r="I51" s="177" t="str">
        <f t="shared" si="0"/>
        <v>2013–14</v>
      </c>
    </row>
    <row r="52" spans="3:20">
      <c r="C52" s="156">
        <v>42156</v>
      </c>
      <c r="D52" s="16" t="s">
        <v>69</v>
      </c>
      <c r="E52" s="16"/>
      <c r="F52" s="16"/>
      <c r="G52" s="151">
        <v>2015</v>
      </c>
      <c r="H52" s="178">
        <f>DATE(G52,MONTH('Input|General'!$G$9),1)</f>
        <v>42156</v>
      </c>
      <c r="I52" s="177" t="str">
        <f t="shared" si="0"/>
        <v>2014–15</v>
      </c>
      <c r="T52" s="17"/>
    </row>
    <row r="53" spans="3:20">
      <c r="C53" s="156">
        <v>42522</v>
      </c>
      <c r="D53" s="16" t="s">
        <v>69</v>
      </c>
      <c r="E53" s="16"/>
      <c r="F53" s="16"/>
      <c r="G53" s="151">
        <v>2016</v>
      </c>
      <c r="H53" s="178">
        <f>DATE(G53,MONTH('Input|General'!$G$9),1)</f>
        <v>42522</v>
      </c>
      <c r="I53" s="177" t="str">
        <f t="shared" si="0"/>
        <v>2015–16</v>
      </c>
      <c r="T53" s="17"/>
    </row>
    <row r="54" spans="3:20">
      <c r="C54" s="156">
        <v>42887</v>
      </c>
      <c r="D54" s="16" t="s">
        <v>69</v>
      </c>
      <c r="E54" s="16"/>
      <c r="F54" s="16"/>
      <c r="G54" s="151">
        <v>2017</v>
      </c>
      <c r="H54" s="178">
        <f>DATE(G54,MONTH('Input|General'!$G$9),1)</f>
        <v>42887</v>
      </c>
      <c r="I54" s="177" t="str">
        <f t="shared" si="0"/>
        <v>2016–17</v>
      </c>
      <c r="T54" s="17"/>
    </row>
    <row r="55" spans="3:20">
      <c r="C55" s="156">
        <v>43252</v>
      </c>
      <c r="D55" s="16" t="s">
        <v>69</v>
      </c>
      <c r="E55" s="16"/>
      <c r="F55" s="16"/>
      <c r="G55" s="151">
        <v>2018</v>
      </c>
      <c r="H55" s="178">
        <f>DATE(G55,MONTH('Input|General'!$G$9),1)</f>
        <v>43252</v>
      </c>
      <c r="I55" s="177" t="str">
        <f t="shared" si="0"/>
        <v>2017–18</v>
      </c>
      <c r="T55" s="17"/>
    </row>
    <row r="56" spans="3:20">
      <c r="C56" s="156">
        <v>43617</v>
      </c>
      <c r="D56" s="16" t="s">
        <v>69</v>
      </c>
      <c r="E56" s="16"/>
      <c r="F56" s="16"/>
      <c r="G56" s="151">
        <v>2019</v>
      </c>
      <c r="H56" s="178">
        <f>DATE(G56,MONTH('Input|General'!$G$9),1)</f>
        <v>43617</v>
      </c>
      <c r="I56" s="177" t="str">
        <f t="shared" si="0"/>
        <v>2018–19</v>
      </c>
      <c r="T56" s="17"/>
    </row>
    <row r="57" spans="3:20">
      <c r="C57" s="156">
        <v>43983</v>
      </c>
      <c r="D57" s="16" t="s">
        <v>69</v>
      </c>
      <c r="E57" s="16"/>
      <c r="F57" s="16"/>
      <c r="G57" s="151">
        <v>2020</v>
      </c>
      <c r="H57" s="178">
        <f>DATE(G57,MONTH('Input|General'!$G$9),1)</f>
        <v>43983</v>
      </c>
      <c r="I57" s="177" t="str">
        <f t="shared" si="0"/>
        <v>2019–20</v>
      </c>
      <c r="T57" s="17"/>
    </row>
    <row r="58" spans="3:20">
      <c r="C58" s="156">
        <v>44348</v>
      </c>
      <c r="D58" s="16" t="s">
        <v>69</v>
      </c>
      <c r="E58" s="16"/>
      <c r="F58" s="16"/>
      <c r="G58" s="151">
        <v>2021</v>
      </c>
      <c r="H58" s="178">
        <f>DATE(G58,MONTH('Input|General'!$G$9),1)</f>
        <v>44348</v>
      </c>
      <c r="I58" s="177" t="str">
        <f t="shared" si="0"/>
        <v>2020–21</v>
      </c>
      <c r="T58" s="17"/>
    </row>
    <row r="59" spans="3:20">
      <c r="C59" s="156">
        <v>44713</v>
      </c>
      <c r="D59" s="16" t="s">
        <v>69</v>
      </c>
      <c r="E59" s="16"/>
      <c r="F59" s="16"/>
      <c r="G59" s="151">
        <v>2022</v>
      </c>
      <c r="H59" s="178">
        <f>DATE(G59,MONTH('Input|General'!$G$9),1)</f>
        <v>44713</v>
      </c>
      <c r="I59" s="177" t="str">
        <f t="shared" si="0"/>
        <v>2021–22</v>
      </c>
      <c r="T59" s="17"/>
    </row>
    <row r="60" spans="3:20">
      <c r="C60" s="156">
        <v>45078</v>
      </c>
      <c r="D60" s="16" t="s">
        <v>69</v>
      </c>
      <c r="E60" s="16"/>
      <c r="F60" s="16"/>
      <c r="G60" s="151">
        <v>2023</v>
      </c>
      <c r="H60" s="178">
        <f>DATE(G60,MONTH('Input|General'!$G$9),1)</f>
        <v>45078</v>
      </c>
      <c r="I60" s="177" t="str">
        <f t="shared" si="0"/>
        <v>2022–23</v>
      </c>
      <c r="T60" s="17"/>
    </row>
    <row r="61" spans="3:20">
      <c r="C61" s="156">
        <v>45444</v>
      </c>
      <c r="D61" s="16" t="s">
        <v>69</v>
      </c>
      <c r="E61" s="16"/>
      <c r="F61" s="16"/>
      <c r="G61" s="151">
        <v>2024</v>
      </c>
      <c r="H61" s="178">
        <f>DATE(G61,MONTH('Input|General'!$G$9),1)</f>
        <v>45444</v>
      </c>
      <c r="I61" s="177" t="str">
        <f t="shared" si="0"/>
        <v>2023–24</v>
      </c>
      <c r="T61" s="17"/>
    </row>
    <row r="62" spans="3:20">
      <c r="C62" s="156">
        <v>45809</v>
      </c>
      <c r="D62" s="16" t="s">
        <v>69</v>
      </c>
      <c r="E62" s="16"/>
      <c r="F62" s="16"/>
      <c r="G62" s="151">
        <v>2025</v>
      </c>
      <c r="H62" s="178">
        <f>DATE(G62,MONTH('Input|General'!$G$9),1)</f>
        <v>45809</v>
      </c>
      <c r="I62" s="177" t="str">
        <f t="shared" si="0"/>
        <v>2024–25</v>
      </c>
      <c r="T62" s="17"/>
    </row>
    <row r="63" spans="3:20">
      <c r="C63" s="156">
        <v>46174</v>
      </c>
      <c r="D63" s="16" t="s">
        <v>69</v>
      </c>
      <c r="E63" s="16"/>
      <c r="F63" s="16"/>
      <c r="G63" s="151">
        <v>2026</v>
      </c>
      <c r="H63" s="178">
        <f>DATE(G63,MONTH('Input|General'!$G$9),1)</f>
        <v>46174</v>
      </c>
      <c r="I63" s="177" t="str">
        <f t="shared" si="0"/>
        <v>2025–26</v>
      </c>
      <c r="T63" s="17"/>
    </row>
    <row r="64" spans="3:20">
      <c r="C64" s="156">
        <v>46539</v>
      </c>
      <c r="D64" s="16" t="s">
        <v>69</v>
      </c>
      <c r="E64" s="16"/>
      <c r="F64" s="16"/>
      <c r="G64" s="151">
        <v>2027</v>
      </c>
      <c r="H64" s="178">
        <f>DATE(G64,MONTH('Input|General'!$G$9),1)</f>
        <v>46539</v>
      </c>
      <c r="I64" s="177" t="str">
        <f t="shared" si="0"/>
        <v>2026–27</v>
      </c>
      <c r="T64" s="17"/>
    </row>
    <row r="65" spans="1:47">
      <c r="C65" s="156">
        <v>46905</v>
      </c>
      <c r="D65" s="16" t="s">
        <v>69</v>
      </c>
      <c r="E65" s="16"/>
      <c r="F65" s="16"/>
      <c r="G65" s="151">
        <v>2028</v>
      </c>
      <c r="H65" s="178">
        <f>DATE(G65,MONTH('Input|General'!$G$9),1)</f>
        <v>46905</v>
      </c>
      <c r="I65" s="177" t="str">
        <f t="shared" si="0"/>
        <v>2027–28</v>
      </c>
      <c r="T65" s="17"/>
    </row>
    <row r="66" spans="1:47">
      <c r="C66" s="156">
        <v>47270</v>
      </c>
      <c r="D66" s="16" t="s">
        <v>69</v>
      </c>
      <c r="E66" s="16"/>
      <c r="F66" s="16"/>
      <c r="G66" s="151">
        <v>2029</v>
      </c>
      <c r="H66" s="178">
        <f>DATE(G66,MONTH('Input|General'!$G$9),1)</f>
        <v>47270</v>
      </c>
      <c r="I66" s="177" t="str">
        <f t="shared" si="0"/>
        <v>2028–29</v>
      </c>
      <c r="T66" s="17"/>
    </row>
    <row r="67" spans="1:47">
      <c r="C67" s="156">
        <v>47635</v>
      </c>
      <c r="D67" s="16" t="s">
        <v>69</v>
      </c>
      <c r="E67" s="16"/>
      <c r="F67" s="16"/>
      <c r="G67" s="151">
        <v>2030</v>
      </c>
      <c r="H67" s="178">
        <f>DATE(G67,MONTH('Input|General'!$G$9),1)</f>
        <v>47635</v>
      </c>
      <c r="I67" s="177" t="str">
        <f t="shared" si="0"/>
        <v>2029–30</v>
      </c>
      <c r="T67" s="17"/>
    </row>
    <row r="68" spans="1:47"/>
    <row r="69" spans="1:47" customFormat="1" ht="12.75">
      <c r="A69" s="42"/>
      <c r="B69" s="50" t="s">
        <v>151</v>
      </c>
      <c r="C69" s="42"/>
      <c r="D69" s="42"/>
      <c r="E69" s="42"/>
      <c r="F69" s="43"/>
      <c r="G69" s="43"/>
      <c r="H69" s="43"/>
      <c r="I69" s="43"/>
      <c r="J69" s="44"/>
      <c r="K69" s="45"/>
      <c r="L69" s="44"/>
      <c r="M69" s="45"/>
      <c r="N69" s="44"/>
      <c r="O69" s="44"/>
      <c r="P69" s="44"/>
      <c r="Q69" s="44"/>
      <c r="R69" s="44"/>
      <c r="S69" s="44"/>
      <c r="T69" s="44"/>
      <c r="U69" s="44"/>
      <c r="V69" s="45"/>
      <c r="W69" s="45"/>
      <c r="X69" s="46"/>
      <c r="Y69" s="46"/>
      <c r="Z69" s="46"/>
      <c r="AA69" s="46"/>
      <c r="AB69" s="47"/>
      <c r="AC69" s="48"/>
      <c r="AD69" s="48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</row>
    <row r="70" spans="1:47"/>
    <row r="71" spans="1:47">
      <c r="C71" s="13" t="str">
        <f>B69</f>
        <v>Regulatory years</v>
      </c>
      <c r="D71" s="21" t="s">
        <v>7</v>
      </c>
      <c r="E71" s="21"/>
      <c r="F71" s="14"/>
      <c r="G71" s="14" t="s">
        <v>152</v>
      </c>
      <c r="H71" s="14" t="s">
        <v>119</v>
      </c>
    </row>
    <row r="72" spans="1:47">
      <c r="C72" s="15" t="s">
        <v>179</v>
      </c>
      <c r="D72" s="16" t="s">
        <v>98</v>
      </c>
      <c r="E72" s="21"/>
      <c r="F72" s="14"/>
      <c r="G72" s="177" t="str">
        <f>IF(H72="","",IF(MONTH(H72)=12,YEAR(H72),YEAR(H72)-1&amp;"–"&amp;RIGHT(YEAR(H72),2)))</f>
        <v>2016–17</v>
      </c>
      <c r="H72" s="178">
        <f>DATE(PPFirstYear-1,MONTH('Input|General'!$G$9),1)</f>
        <v>42887</v>
      </c>
    </row>
    <row r="73" spans="1:47">
      <c r="C73" s="15" t="s">
        <v>139</v>
      </c>
      <c r="D73" s="16" t="s">
        <v>98</v>
      </c>
      <c r="E73" s="16"/>
      <c r="F73" s="16"/>
      <c r="G73" s="177" t="str">
        <f t="shared" ref="G73:G82" si="1">IF(H73="","",IF(MONTH(H73)=12,YEAR(H73),YEAR(H73)-1&amp;"–"&amp;RIGHT(YEAR(H73),2)))</f>
        <v>2017–18</v>
      </c>
      <c r="H73" s="178">
        <f>DATE(PPFirstYear,MONTH('Input|General'!$G$9),1)</f>
        <v>43252</v>
      </c>
    </row>
    <row r="74" spans="1:47">
      <c r="C74" s="15" t="s">
        <v>140</v>
      </c>
      <c r="D74" s="16" t="s">
        <v>98</v>
      </c>
      <c r="E74" s="16"/>
      <c r="F74" s="16"/>
      <c r="G74" s="177" t="str">
        <f t="shared" si="1"/>
        <v>2018–19</v>
      </c>
      <c r="H74" s="178">
        <f>IF(PPLastYear-PPFirstYear&lt;1,"",DATE(PPFirstYear+1,MONTH('Input|General'!$G$9),1))</f>
        <v>43617</v>
      </c>
    </row>
    <row r="75" spans="1:47">
      <c r="C75" s="15" t="s">
        <v>141</v>
      </c>
      <c r="D75" s="16" t="s">
        <v>98</v>
      </c>
      <c r="E75" s="16"/>
      <c r="F75" s="16"/>
      <c r="G75" s="177" t="str">
        <f t="shared" si="1"/>
        <v>2019–20</v>
      </c>
      <c r="H75" s="178">
        <f>IF(PPLastYear-PPFirstYear&lt;2,"",DATE(PPFirstYear+2,MONTH('Input|General'!$G$9),1))</f>
        <v>43983</v>
      </c>
    </row>
    <row r="76" spans="1:47">
      <c r="C76" s="15" t="s">
        <v>142</v>
      </c>
      <c r="D76" s="16" t="s">
        <v>98</v>
      </c>
      <c r="E76" s="16"/>
      <c r="F76" s="16"/>
      <c r="G76" s="177" t="str">
        <f t="shared" si="1"/>
        <v>2020–21</v>
      </c>
      <c r="H76" s="178">
        <f>IF(PPLastYear-PPFirstYear&lt;3,"",DATE(PPFirstYear+3,MONTH('Input|General'!$G$9),1))</f>
        <v>44348</v>
      </c>
    </row>
    <row r="77" spans="1:47">
      <c r="C77" s="15" t="s">
        <v>143</v>
      </c>
      <c r="D77" s="16" t="s">
        <v>98</v>
      </c>
      <c r="E77" s="16"/>
      <c r="F77" s="16"/>
      <c r="G77" s="177" t="str">
        <f t="shared" si="1"/>
        <v>2021–22</v>
      </c>
      <c r="H77" s="178">
        <f>IF(PPLastYear-PPFirstYear&lt;4,"",DATE(PPFirstYear+4,MONTH('Input|General'!$G$9),1))</f>
        <v>44713</v>
      </c>
    </row>
    <row r="78" spans="1:47">
      <c r="C78" s="15" t="s">
        <v>181</v>
      </c>
      <c r="D78" s="16" t="s">
        <v>98</v>
      </c>
      <c r="E78" s="16"/>
      <c r="F78" s="16"/>
      <c r="G78" s="177" t="str">
        <f t="shared" si="1"/>
        <v/>
      </c>
      <c r="H78" s="178" t="str">
        <f>IF(PPLastYear-PPFirstYear&lt;5,"",DATE(PPFirstYear+5,MONTH('Input|General'!$G$9),1))</f>
        <v/>
      </c>
    </row>
    <row r="79" spans="1:47">
      <c r="C79" s="15" t="s">
        <v>144</v>
      </c>
      <c r="D79" s="16" t="s">
        <v>98</v>
      </c>
      <c r="E79" s="16"/>
      <c r="F79" s="16"/>
      <c r="G79" s="177" t="str">
        <f t="shared" si="1"/>
        <v>2022–23</v>
      </c>
      <c r="H79" s="178">
        <f>DATE(FPFirstYear,MONTH('Input|General'!$G$9),1)</f>
        <v>45078</v>
      </c>
      <c r="T79" s="17"/>
    </row>
    <row r="80" spans="1:47">
      <c r="C80" s="15" t="s">
        <v>145</v>
      </c>
      <c r="D80" s="16" t="s">
        <v>98</v>
      </c>
      <c r="E80" s="16"/>
      <c r="F80" s="16"/>
      <c r="G80" s="177" t="str">
        <f t="shared" si="1"/>
        <v>2023–24</v>
      </c>
      <c r="H80" s="178">
        <f>IF(FPLastYear-FPFirstYear&lt;1,"",DATE(FPFirstYear+1,MONTH('Input|General'!$G$9),1))</f>
        <v>45444</v>
      </c>
      <c r="T80" s="17"/>
    </row>
    <row r="81" spans="1:47">
      <c r="C81" s="15" t="s">
        <v>146</v>
      </c>
      <c r="D81" s="16" t="s">
        <v>98</v>
      </c>
      <c r="E81" s="16"/>
      <c r="F81" s="16"/>
      <c r="G81" s="177" t="str">
        <f t="shared" si="1"/>
        <v>2024–25</v>
      </c>
      <c r="H81" s="178">
        <f>IF(FPLastYear-FPFirstYear&lt;2,"",DATE(FPFirstYear+2,MONTH('Input|General'!$G$9),1))</f>
        <v>45809</v>
      </c>
      <c r="T81" s="17"/>
    </row>
    <row r="82" spans="1:47">
      <c r="C82" s="15" t="s">
        <v>147</v>
      </c>
      <c r="D82" s="16" t="s">
        <v>98</v>
      </c>
      <c r="E82" s="16"/>
      <c r="F82" s="16"/>
      <c r="G82" s="177" t="str">
        <f t="shared" si="1"/>
        <v>2025–26</v>
      </c>
      <c r="H82" s="178">
        <f>IF(FPLastYear-FPFirstYear&lt;3,"",DATE(FPFirstYear+3,MONTH('Input|General'!$G$9),1))</f>
        <v>46174</v>
      </c>
      <c r="T82" s="17"/>
    </row>
    <row r="83" spans="1:47">
      <c r="C83" s="15" t="s">
        <v>148</v>
      </c>
      <c r="D83" s="16" t="s">
        <v>98</v>
      </c>
      <c r="E83" s="16"/>
      <c r="F83" s="16"/>
      <c r="G83" s="177" t="str">
        <f>IF(H83="","",IF(MONTH(H83)=12,YEAR(H83),YEAR(H83)-1&amp;"–"&amp;RIGHT(YEAR(H83),2)))</f>
        <v>2026–27</v>
      </c>
      <c r="H83" s="178">
        <f>IF(FPLastYear-FPFirstYear&lt;4,"",DATE(FPFirstYear+4,MONTH('Input|General'!$G$9),1))</f>
        <v>46539</v>
      </c>
      <c r="T83" s="17"/>
    </row>
    <row r="84" spans="1:47">
      <c r="C84" s="15"/>
      <c r="D84" s="16"/>
      <c r="E84" s="16"/>
      <c r="F84" s="16"/>
      <c r="G84" s="198"/>
      <c r="H84" s="199"/>
      <c r="T84" s="17"/>
    </row>
    <row r="85" spans="1:47" customFormat="1" ht="12.75">
      <c r="A85" s="42"/>
      <c r="B85" s="50" t="s">
        <v>21</v>
      </c>
      <c r="C85" s="42"/>
      <c r="D85" s="42"/>
      <c r="E85" s="42"/>
      <c r="F85" s="43"/>
      <c r="G85" s="43"/>
      <c r="H85" s="43"/>
      <c r="I85" s="43"/>
      <c r="J85" s="44"/>
      <c r="K85" s="45"/>
      <c r="L85" s="44"/>
      <c r="M85" s="45"/>
      <c r="N85" s="44"/>
      <c r="O85" s="44"/>
      <c r="P85" s="44"/>
      <c r="Q85" s="44"/>
      <c r="R85" s="44"/>
      <c r="S85" s="44"/>
      <c r="T85" s="44"/>
      <c r="U85" s="44"/>
      <c r="V85" s="45"/>
      <c r="W85" s="45"/>
      <c r="X85" s="46"/>
      <c r="Y85" s="46"/>
      <c r="Z85" s="46"/>
      <c r="AA85" s="46"/>
      <c r="AB85" s="47"/>
      <c r="AC85" s="48"/>
      <c r="AD85" s="48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</row>
  </sheetData>
  <conditionalFormatting sqref="P21:Q28">
    <cfRule type="expression" dxfId="13" priority="56" stopIfTrue="1">
      <formula>#REF!="Actual"</formula>
    </cfRule>
  </conditionalFormatting>
  <conditionalFormatting sqref="P21:P28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8">
    <cfRule type="expression" dxfId="7" priority="2" stopIfTrue="1">
      <formula>#REF!="Actual"</formula>
    </cfRule>
  </conditionalFormatting>
  <conditionalFormatting sqref="Q68">
    <cfRule type="expression" dxfId="6" priority="1" stopIfTrue="1">
      <formula>#REF!="Actual"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U23"/>
  <sheetViews>
    <sheetView showGridLines="0" workbookViewId="0">
      <selection activeCell="A17" sqref="A17:XFD17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7" customFormat="1" ht="15.75">
      <c r="B1" s="34" t="str">
        <f>Index!$B$1</f>
        <v>AER opex model v2.0</v>
      </c>
      <c r="C1" s="34"/>
      <c r="D1" s="34"/>
      <c r="E1" s="34"/>
      <c r="F1" s="35"/>
      <c r="G1" s="35"/>
      <c r="H1" s="35"/>
      <c r="I1" s="35"/>
      <c r="J1" s="36" t="s">
        <v>2</v>
      </c>
      <c r="L1" s="38" t="s">
        <v>3</v>
      </c>
      <c r="M1" s="58" t="s">
        <v>4</v>
      </c>
      <c r="N1" s="11" t="s">
        <v>5</v>
      </c>
      <c r="O1" s="12" t="s">
        <v>6</v>
      </c>
      <c r="R1" s="175" t="s">
        <v>24</v>
      </c>
      <c r="S1" s="39" t="str">
        <f>IF(COUNTIF(G10:G16,"Check")=0,"Ok","Check")</f>
        <v>Ok</v>
      </c>
      <c r="U1" s="38"/>
      <c r="V1" s="39"/>
    </row>
    <row r="2" spans="1:47" s="37" customFormat="1" ht="12.75">
      <c r="B2" s="52" t="str">
        <f>Index!$C$15</f>
        <v>Check | List</v>
      </c>
      <c r="C2" s="52"/>
      <c r="D2" s="52"/>
      <c r="E2" s="52"/>
      <c r="F2" s="53"/>
      <c r="G2" s="53"/>
      <c r="H2" s="53"/>
      <c r="I2" s="53"/>
    </row>
    <row r="3" spans="1:47" s="57" customFormat="1" ht="12.75">
      <c r="A3" s="42"/>
      <c r="B3" s="50"/>
      <c r="C3" s="42"/>
      <c r="D3" s="42"/>
      <c r="E3" s="42"/>
      <c r="F3" s="43"/>
      <c r="G3" s="43"/>
      <c r="H3" s="43"/>
      <c r="I3" s="43"/>
      <c r="J3" s="44"/>
      <c r="K3" s="45"/>
      <c r="L3" s="44"/>
      <c r="M3" s="45"/>
      <c r="N3" s="44"/>
      <c r="O3" s="44"/>
      <c r="P3" s="44"/>
      <c r="Q3" s="44"/>
      <c r="R3" s="44"/>
      <c r="S3" s="44"/>
      <c r="T3" s="44"/>
      <c r="U3" s="44"/>
      <c r="V3" s="45"/>
      <c r="W3" s="45"/>
      <c r="X3" s="54"/>
      <c r="Y3" s="54"/>
      <c r="Z3" s="54"/>
      <c r="AA3" s="54"/>
      <c r="AB3" s="54"/>
      <c r="AC3" s="55"/>
      <c r="AD3" s="55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2"/>
      <c r="B7" s="50" t="s">
        <v>26</v>
      </c>
      <c r="C7" s="42"/>
      <c r="D7" s="42"/>
      <c r="E7" s="42"/>
      <c r="F7" s="43"/>
      <c r="G7" s="43"/>
      <c r="H7" s="43"/>
      <c r="I7" s="43"/>
      <c r="J7" s="44"/>
      <c r="K7" s="45"/>
      <c r="L7" s="44"/>
      <c r="M7" s="45"/>
      <c r="N7" s="44"/>
      <c r="O7" s="44"/>
      <c r="P7" s="44"/>
      <c r="Q7" s="44"/>
      <c r="R7" s="44"/>
      <c r="S7" s="44"/>
      <c r="T7" s="44"/>
      <c r="U7" s="44"/>
      <c r="V7" s="45"/>
      <c r="W7" s="45"/>
      <c r="X7" s="46"/>
      <c r="Y7" s="46"/>
      <c r="Z7" s="46"/>
      <c r="AA7" s="46"/>
      <c r="AB7" s="47"/>
      <c r="AC7" s="48"/>
      <c r="AD7" s="48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3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2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3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3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3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3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3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2"/>
      <c r="B18" s="50" t="s">
        <v>21</v>
      </c>
      <c r="C18" s="42"/>
      <c r="D18" s="42"/>
      <c r="E18" s="42"/>
      <c r="F18" s="43"/>
      <c r="G18" s="43"/>
      <c r="H18" s="43"/>
      <c r="I18" s="43"/>
      <c r="J18" s="44"/>
      <c r="K18" s="45"/>
      <c r="L18" s="44"/>
      <c r="M18" s="45"/>
      <c r="N18" s="44"/>
      <c r="O18" s="44"/>
      <c r="P18" s="44"/>
      <c r="Q18" s="44"/>
      <c r="R18" s="44"/>
      <c r="S18" s="44"/>
      <c r="T18" s="44"/>
      <c r="U18" s="44"/>
      <c r="V18" s="45"/>
      <c r="W18" s="45"/>
      <c r="X18" s="46"/>
      <c r="Y18" s="46"/>
      <c r="Z18" s="46"/>
      <c r="AA18" s="46"/>
      <c r="AB18" s="47"/>
      <c r="AC18" s="48"/>
      <c r="AD18" s="48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R1" location="'Check|List'!A1" display="Overall Check:" xr:uid="{00000000-0004-0000-0C00-000009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2022-04-19T02:39:12Z</dcterms:created>
  <dcterms:modified xsi:type="dcterms:W3CDTF">2022-04-28T04:10:21Z</dcterms:modified>
</cp:coreProperties>
</file>