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405" windowWidth="14310" windowHeight="12435"/>
  </bookViews>
  <sheets>
    <sheet name="CPI" sheetId="35" r:id="rId1"/>
    <sheet name="customer numbers" sheetId="32" r:id="rId2"/>
    <sheet name="raw base" sheetId="33" r:id="rId3"/>
    <sheet name="adjustments" sheetId="34" r:id="rId4"/>
    <sheet name="base" sheetId="36" r:id="rId5"/>
    <sheet name="benchmarking" sheetId="37" r:id="rId6"/>
    <sheet name=" step" sheetId="26" r:id="rId7"/>
    <sheet name="rate of change" sheetId="42" r:id="rId8"/>
    <sheet name="trend" sheetId="38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a">#REF!</definedName>
    <definedName name="dddd">#REF!</definedName>
    <definedName name="labour">#REF!</definedName>
    <definedName name="MP">#REF!</definedName>
    <definedName name="SD">#REF!</definedName>
    <definedName name="SS">#REF!</definedName>
  </definedNames>
  <calcPr calcId="145621" calcMode="autoNoTable"/>
</workbook>
</file>

<file path=xl/calcChain.xml><?xml version="1.0" encoding="utf-8"?>
<calcChain xmlns="http://schemas.openxmlformats.org/spreadsheetml/2006/main">
  <c r="D3" i="37" l="1"/>
  <c r="D4" i="37"/>
  <c r="D5" i="37"/>
  <c r="D6" i="37"/>
  <c r="D7" i="37"/>
  <c r="D8" i="37"/>
  <c r="F7" i="37" s="1"/>
  <c r="D9" i="37"/>
  <c r="D10" i="37"/>
  <c r="B9" i="36" l="1"/>
  <c r="C9" i="36"/>
  <c r="D9" i="36"/>
  <c r="E9" i="36"/>
  <c r="F9" i="36"/>
  <c r="D6" i="26"/>
  <c r="D18" i="32"/>
  <c r="D19" i="32"/>
  <c r="D20" i="32"/>
  <c r="B21" i="36" s="1"/>
  <c r="E18" i="32"/>
  <c r="E19" i="32"/>
  <c r="E20" i="32" s="1"/>
  <c r="F18" i="32"/>
  <c r="F19" i="32"/>
  <c r="F20" i="32"/>
  <c r="G18" i="32"/>
  <c r="G19" i="32"/>
  <c r="G20" i="32" s="1"/>
  <c r="H18" i="32"/>
  <c r="H19" i="32"/>
  <c r="H20" i="32"/>
  <c r="F21" i="36" s="1"/>
  <c r="H21" i="32"/>
  <c r="H22" i="32"/>
  <c r="H23" i="32" s="1"/>
  <c r="I23" i="32" s="1"/>
  <c r="C6" i="26"/>
  <c r="D25" i="32"/>
  <c r="E25" i="32"/>
  <c r="F25" i="32"/>
  <c r="G25" i="32"/>
  <c r="H25" i="32"/>
  <c r="E24" i="32"/>
  <c r="F24" i="32"/>
  <c r="G24" i="32"/>
  <c r="H24" i="32"/>
  <c r="D24" i="32"/>
  <c r="D22" i="32"/>
  <c r="E22" i="32"/>
  <c r="F22" i="32"/>
  <c r="G22" i="32"/>
  <c r="E21" i="32"/>
  <c r="F21" i="32"/>
  <c r="G21" i="32"/>
  <c r="D21" i="32"/>
  <c r="D16" i="32"/>
  <c r="E16" i="32"/>
  <c r="F16" i="32"/>
  <c r="G16" i="32"/>
  <c r="H16" i="32"/>
  <c r="E15" i="32"/>
  <c r="F15" i="32"/>
  <c r="G15" i="32"/>
  <c r="H15" i="32"/>
  <c r="D15" i="32"/>
  <c r="D13" i="32"/>
  <c r="E13" i="32"/>
  <c r="F13" i="32"/>
  <c r="G13" i="32"/>
  <c r="H13" i="32"/>
  <c r="E12" i="32"/>
  <c r="F12" i="32"/>
  <c r="G12" i="32"/>
  <c r="H12" i="32"/>
  <c r="D12" i="32"/>
  <c r="D10" i="32"/>
  <c r="E10" i="32"/>
  <c r="F10" i="32"/>
  <c r="G10" i="32"/>
  <c r="H10" i="32"/>
  <c r="E9" i="32"/>
  <c r="F9" i="32"/>
  <c r="G9" i="32"/>
  <c r="H9" i="32"/>
  <c r="D9" i="32"/>
  <c r="D7" i="32"/>
  <c r="E7" i="32"/>
  <c r="F7" i="32"/>
  <c r="G7" i="32"/>
  <c r="H7" i="32"/>
  <c r="E6" i="32"/>
  <c r="F6" i="32"/>
  <c r="G6" i="32"/>
  <c r="H6" i="32"/>
  <c r="D6" i="32"/>
  <c r="E3" i="32"/>
  <c r="F3" i="32"/>
  <c r="G3" i="32"/>
  <c r="H3" i="32"/>
  <c r="E4" i="32"/>
  <c r="F4" i="32"/>
  <c r="G4" i="32"/>
  <c r="H4" i="32"/>
  <c r="D4" i="32"/>
  <c r="D3" i="32"/>
  <c r="E39" i="32"/>
  <c r="F39" i="32"/>
  <c r="G39" i="32"/>
  <c r="H39" i="32"/>
  <c r="D39" i="32"/>
  <c r="E38" i="32"/>
  <c r="F38" i="32"/>
  <c r="G38" i="32"/>
  <c r="H38" i="32"/>
  <c r="D38" i="32"/>
  <c r="E37" i="32"/>
  <c r="F37" i="32"/>
  <c r="G37" i="32"/>
  <c r="H37" i="32"/>
  <c r="D37" i="32"/>
  <c r="I37" i="32" s="1"/>
  <c r="C8" i="37" s="1"/>
  <c r="E36" i="32"/>
  <c r="F36" i="32"/>
  <c r="I36" i="32" s="1"/>
  <c r="C7" i="37" s="1"/>
  <c r="G36" i="32"/>
  <c r="H36" i="32"/>
  <c r="D36" i="32"/>
  <c r="E35" i="32"/>
  <c r="F35" i="32"/>
  <c r="G35" i="32"/>
  <c r="H35" i="32"/>
  <c r="D35" i="32"/>
  <c r="I35" i="32" s="1"/>
  <c r="C6" i="37" s="1"/>
  <c r="E34" i="32"/>
  <c r="F34" i="32"/>
  <c r="I34" i="32" s="1"/>
  <c r="C5" i="37" s="1"/>
  <c r="G34" i="32"/>
  <c r="H34" i="32"/>
  <c r="D34" i="32"/>
  <c r="E33" i="32"/>
  <c r="F33" i="32"/>
  <c r="G33" i="32"/>
  <c r="H33" i="32"/>
  <c r="D33" i="32"/>
  <c r="I33" i="32" s="1"/>
  <c r="C4" i="37" s="1"/>
  <c r="H32" i="32"/>
  <c r="E32" i="32"/>
  <c r="I32" i="32" s="1"/>
  <c r="C3" i="37" s="1"/>
  <c r="F32" i="32"/>
  <c r="G32" i="32"/>
  <c r="D32" i="32"/>
  <c r="N3" i="32"/>
  <c r="D2" i="42" s="1"/>
  <c r="O3" i="32"/>
  <c r="E2" i="42" s="1"/>
  <c r="P3" i="32"/>
  <c r="F2" i="42" s="1"/>
  <c r="Q3" i="32"/>
  <c r="G2" i="42" s="1"/>
  <c r="M3" i="32"/>
  <c r="C2" i="42" s="1"/>
  <c r="C3" i="38"/>
  <c r="D3" i="38"/>
  <c r="E3" i="38"/>
  <c r="F3" i="38"/>
  <c r="G3" i="38"/>
  <c r="C2" i="38"/>
  <c r="D2" i="38"/>
  <c r="E2" i="38"/>
  <c r="F2" i="38"/>
  <c r="G2" i="38"/>
  <c r="C4" i="38"/>
  <c r="D4" i="38"/>
  <c r="E4" i="38"/>
  <c r="F4" i="38"/>
  <c r="G4" i="38"/>
  <c r="I38" i="32"/>
  <c r="C9" i="37"/>
  <c r="I39" i="32"/>
  <c r="C10" i="37"/>
  <c r="G26" i="32"/>
  <c r="F26" i="32"/>
  <c r="E26" i="32"/>
  <c r="D26" i="32"/>
  <c r="G23" i="32"/>
  <c r="F23" i="32"/>
  <c r="E23" i="32"/>
  <c r="D23" i="32"/>
  <c r="G17" i="32"/>
  <c r="E20" i="36"/>
  <c r="F17" i="32"/>
  <c r="D20" i="36"/>
  <c r="E17" i="32"/>
  <c r="C20" i="36"/>
  <c r="D17" i="32"/>
  <c r="B20" i="36"/>
  <c r="G14" i="32"/>
  <c r="F14" i="32"/>
  <c r="E14" i="32"/>
  <c r="D14" i="32"/>
  <c r="G11" i="32"/>
  <c r="F11" i="32"/>
  <c r="E11" i="32"/>
  <c r="D11" i="32"/>
  <c r="G8" i="32"/>
  <c r="F8" i="32"/>
  <c r="E8" i="32"/>
  <c r="D8" i="32"/>
  <c r="G5" i="32"/>
  <c r="F5" i="32"/>
  <c r="E5" i="32"/>
  <c r="D5" i="32"/>
  <c r="I8" i="35"/>
  <c r="J7" i="35"/>
  <c r="K7" i="35" s="1"/>
  <c r="L7" i="35" s="1"/>
  <c r="M7" i="35" s="1"/>
  <c r="N7" i="35" s="1"/>
  <c r="H6" i="35"/>
  <c r="H8" i="35" s="1"/>
  <c r="G6" i="35"/>
  <c r="R3" i="32"/>
  <c r="B11" i="36"/>
  <c r="B23" i="36" s="1"/>
  <c r="B5" i="36"/>
  <c r="C5" i="36"/>
  <c r="D5" i="36"/>
  <c r="D17" i="36" s="1"/>
  <c r="E5" i="36"/>
  <c r="F5" i="36"/>
  <c r="B6" i="36"/>
  <c r="B18" i="36" s="1"/>
  <c r="C6" i="36"/>
  <c r="C18" i="36" s="1"/>
  <c r="D6" i="36"/>
  <c r="D18" i="36" s="1"/>
  <c r="E6" i="36"/>
  <c r="F6" i="36"/>
  <c r="F18" i="36" s="1"/>
  <c r="N18" i="36" s="1"/>
  <c r="B7" i="36"/>
  <c r="B19" i="36" s="1"/>
  <c r="C7" i="36"/>
  <c r="D7" i="36"/>
  <c r="E7" i="36"/>
  <c r="F7" i="36"/>
  <c r="N7" i="36" s="1"/>
  <c r="C11" i="36"/>
  <c r="C23" i="36" s="1"/>
  <c r="D11" i="36"/>
  <c r="E11" i="36"/>
  <c r="F11" i="36"/>
  <c r="F23" i="36" s="1"/>
  <c r="N23" i="36" s="1"/>
  <c r="C4" i="36"/>
  <c r="D4" i="36"/>
  <c r="E4" i="36"/>
  <c r="F4" i="36"/>
  <c r="N4" i="36" s="1"/>
  <c r="B4" i="36"/>
  <c r="D23" i="36"/>
  <c r="E19" i="36"/>
  <c r="E17" i="36"/>
  <c r="B16" i="36"/>
  <c r="E16" i="36"/>
  <c r="C16" i="36"/>
  <c r="E23" i="36"/>
  <c r="D19" i="36"/>
  <c r="E18" i="36"/>
  <c r="N5" i="36"/>
  <c r="B17" i="36"/>
  <c r="N9" i="36"/>
  <c r="C19" i="36"/>
  <c r="C17" i="36"/>
  <c r="H26" i="32"/>
  <c r="I26" i="32"/>
  <c r="H17" i="32"/>
  <c r="H14" i="32"/>
  <c r="F19" i="36" s="1"/>
  <c r="N19" i="36" s="1"/>
  <c r="H11" i="32"/>
  <c r="H8" i="32"/>
  <c r="F17" i="36" s="1"/>
  <c r="N17" i="36" s="1"/>
  <c r="H5" i="32"/>
  <c r="F16" i="36"/>
  <c r="N16" i="36" s="1"/>
  <c r="F20" i="36"/>
  <c r="N20" i="36"/>
  <c r="G6" i="42" s="1"/>
  <c r="I5" i="32"/>
  <c r="I11" i="32"/>
  <c r="I17" i="32"/>
  <c r="I8" i="32"/>
  <c r="D21" i="36" l="1"/>
  <c r="D16" i="36"/>
  <c r="E21" i="36"/>
  <c r="C21" i="36"/>
  <c r="I20" i="32"/>
  <c r="I14" i="32"/>
  <c r="N21" i="36"/>
  <c r="N8" i="36"/>
  <c r="N6" i="34"/>
  <c r="N9" i="34"/>
  <c r="N8" i="34"/>
  <c r="N11" i="36"/>
  <c r="N6" i="36"/>
  <c r="N7" i="34"/>
  <c r="G8" i="35"/>
  <c r="M12" i="34" s="1"/>
  <c r="F6" i="35"/>
  <c r="N11" i="34"/>
  <c r="N13" i="34"/>
  <c r="N10" i="34"/>
  <c r="N3" i="33"/>
  <c r="N10" i="33"/>
  <c r="N8" i="33"/>
  <c r="N7" i="33"/>
  <c r="N6" i="33"/>
  <c r="N5" i="33"/>
  <c r="N4" i="33"/>
  <c r="H4" i="38"/>
  <c r="H2" i="38"/>
  <c r="H3" i="38"/>
  <c r="N12" i="34"/>
  <c r="E6" i="35" l="1"/>
  <c r="F8" i="35"/>
  <c r="M21" i="36"/>
  <c r="E8" i="37" s="1"/>
  <c r="M8" i="36"/>
  <c r="M6" i="34"/>
  <c r="M4" i="33"/>
  <c r="M5" i="33"/>
  <c r="M6" i="33"/>
  <c r="M7" i="33"/>
  <c r="M8" i="33"/>
  <c r="M10" i="33"/>
  <c r="M3" i="33"/>
  <c r="M10" i="34"/>
  <c r="M11" i="34"/>
  <c r="M9" i="34"/>
  <c r="M8" i="34"/>
  <c r="M20" i="36"/>
  <c r="M5" i="36"/>
  <c r="M17" i="36"/>
  <c r="E4" i="37" s="1"/>
  <c r="M4" i="36"/>
  <c r="M13" i="34"/>
  <c r="M7" i="36"/>
  <c r="M19" i="36"/>
  <c r="E6" i="37" s="1"/>
  <c r="M11" i="36"/>
  <c r="M23" i="36"/>
  <c r="E10" i="37" s="1"/>
  <c r="M9" i="36"/>
  <c r="M6" i="36"/>
  <c r="M18" i="36"/>
  <c r="E5" i="37" s="1"/>
  <c r="M16" i="36"/>
  <c r="E3" i="37" s="1"/>
  <c r="M7" i="34"/>
  <c r="D22" i="36"/>
  <c r="L10" i="36"/>
  <c r="F22" i="36"/>
  <c r="N10" i="36"/>
  <c r="B22" i="36"/>
  <c r="C22" i="36"/>
  <c r="E22" i="36"/>
  <c r="M10" i="36"/>
  <c r="F6" i="42" l="1"/>
  <c r="E7" i="37"/>
  <c r="L21" i="36"/>
  <c r="L8" i="36"/>
  <c r="L6" i="34"/>
  <c r="L13" i="34"/>
  <c r="L9" i="34"/>
  <c r="L8" i="34"/>
  <c r="L7" i="34"/>
  <c r="L4" i="36"/>
  <c r="L9" i="36"/>
  <c r="L7" i="36"/>
  <c r="L19" i="36"/>
  <c r="L20" i="36"/>
  <c r="E6" i="42" s="1"/>
  <c r="L16" i="36"/>
  <c r="L4" i="33"/>
  <c r="L5" i="33"/>
  <c r="L6" i="33"/>
  <c r="L7" i="33"/>
  <c r="L8" i="33"/>
  <c r="L10" i="33"/>
  <c r="L3" i="33"/>
  <c r="L10" i="34"/>
  <c r="L11" i="34"/>
  <c r="L11" i="36"/>
  <c r="L23" i="36"/>
  <c r="L6" i="36"/>
  <c r="L18" i="36"/>
  <c r="L5" i="36"/>
  <c r="L17" i="36"/>
  <c r="L12" i="34"/>
  <c r="D6" i="35"/>
  <c r="E8" i="35"/>
  <c r="K22" i="36" s="1"/>
  <c r="M22" i="36"/>
  <c r="E24" i="36"/>
  <c r="C24" i="36"/>
  <c r="B24" i="36"/>
  <c r="N22" i="36"/>
  <c r="F24" i="36"/>
  <c r="D24" i="36"/>
  <c r="L22" i="36"/>
  <c r="C6" i="35" l="1"/>
  <c r="C8" i="35" s="1"/>
  <c r="D8" i="35"/>
  <c r="K21" i="36"/>
  <c r="K8" i="36"/>
  <c r="K6" i="34"/>
  <c r="K4" i="33"/>
  <c r="K5" i="33"/>
  <c r="K6" i="33"/>
  <c r="K7" i="33"/>
  <c r="K8" i="33"/>
  <c r="K10" i="33"/>
  <c r="K3" i="33"/>
  <c r="K10" i="34"/>
  <c r="K11" i="34"/>
  <c r="K9" i="34"/>
  <c r="K8" i="34"/>
  <c r="K4" i="36"/>
  <c r="K11" i="36"/>
  <c r="K23" i="36"/>
  <c r="K9" i="36"/>
  <c r="K7" i="34"/>
  <c r="K7" i="36"/>
  <c r="K19" i="36"/>
  <c r="K5" i="36"/>
  <c r="K17" i="36"/>
  <c r="K13" i="34"/>
  <c r="K20" i="36"/>
  <c r="D6" i="42" s="1"/>
  <c r="K6" i="36"/>
  <c r="K18" i="36"/>
  <c r="K16" i="36"/>
  <c r="K12" i="34"/>
  <c r="K10" i="36"/>
  <c r="L24" i="36"/>
  <c r="N24" i="36"/>
  <c r="E9" i="37"/>
  <c r="M24" i="36"/>
  <c r="K24" i="36" l="1"/>
  <c r="D7" i="42" s="1"/>
  <c r="J13" i="34"/>
  <c r="J21" i="36"/>
  <c r="J8" i="36"/>
  <c r="J4" i="33"/>
  <c r="J6" i="33"/>
  <c r="J8" i="33"/>
  <c r="J10" i="33"/>
  <c r="J10" i="34"/>
  <c r="J11" i="34"/>
  <c r="J9" i="34"/>
  <c r="J8" i="34"/>
  <c r="J7" i="34"/>
  <c r="J4" i="36"/>
  <c r="J6" i="34"/>
  <c r="J7" i="33"/>
  <c r="J3" i="33"/>
  <c r="J20" i="36"/>
  <c r="J5" i="36"/>
  <c r="J17" i="36"/>
  <c r="J18" i="36"/>
  <c r="J5" i="33"/>
  <c r="J7" i="36"/>
  <c r="J19" i="36"/>
  <c r="J9" i="36"/>
  <c r="J6" i="36"/>
  <c r="J11" i="36"/>
  <c r="J23" i="36"/>
  <c r="J16" i="36"/>
  <c r="J12" i="34"/>
  <c r="J10" i="36"/>
  <c r="J22" i="36"/>
  <c r="G7" i="42"/>
  <c r="F7" i="42"/>
  <c r="E7" i="42"/>
  <c r="C5" i="38" l="1"/>
  <c r="E5" i="38"/>
  <c r="E6" i="38" s="1"/>
  <c r="G5" i="38"/>
  <c r="G6" i="38" s="1"/>
  <c r="D5" i="38"/>
  <c r="D6" i="38" s="1"/>
  <c r="F5" i="38"/>
  <c r="F6" i="38" s="1"/>
  <c r="J24" i="36"/>
  <c r="C6" i="42"/>
  <c r="C7" i="42" l="1"/>
  <c r="C6" i="38"/>
  <c r="H6" i="38" s="1"/>
  <c r="H5" i="38"/>
</calcChain>
</file>

<file path=xl/comments1.xml><?xml version="1.0" encoding="utf-8"?>
<comments xmlns="http://schemas.openxmlformats.org/spreadsheetml/2006/main">
  <authors>
    <author>Makani, Jeevika</author>
  </authors>
  <commentList>
    <comment ref="H32" authorId="0">
      <text>
        <r>
          <rPr>
            <b/>
            <sz val="9"/>
            <color indexed="81"/>
            <rFont val="Tahoma"/>
            <family val="2"/>
          </rPr>
          <t xml:space="preserve">AER: </t>
        </r>
        <r>
          <rPr>
            <sz val="9"/>
            <color indexed="81"/>
            <rFont val="Tahoma"/>
            <family val="2"/>
          </rPr>
          <t xml:space="preserve">Due to error in ActewAGL's 2014 EB RIN data, have calculated alternative.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Makani, Jeevika</author>
  </authors>
  <commentList>
    <comment ref="B12" authorId="0">
      <text>
        <r>
          <rPr>
            <b/>
            <sz val="9"/>
            <color indexed="81"/>
            <rFont val="Tahoma"/>
            <charset val="1"/>
          </rPr>
          <t xml:space="preserve">AER: </t>
        </r>
        <r>
          <rPr>
            <sz val="9"/>
            <color indexed="81"/>
            <rFont val="Tahoma"/>
            <family val="2"/>
          </rPr>
          <t>SAPN confidentiality claim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<sst xmlns="http://schemas.openxmlformats.org/spreadsheetml/2006/main" count="285" uniqueCount="108">
  <si>
    <t>ActewAGL</t>
  </si>
  <si>
    <t>Ausgrid</t>
  </si>
  <si>
    <t>Energex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</si>
  <si>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</si>
  <si>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</si>
  <si>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</si>
  <si>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</si>
  <si>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</si>
  <si>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</si>
  <si>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</si>
  <si>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</si>
  <si>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</si>
  <si>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</si>
  <si>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2008-09</t>
  </si>
  <si>
    <t>Essential</t>
  </si>
  <si>
    <t>Endeavour</t>
  </si>
  <si>
    <t>Average</t>
  </si>
  <si>
    <t>Sum</t>
  </si>
  <si>
    <t>Actew AGL</t>
  </si>
  <si>
    <t xml:space="preserve">Ergon </t>
  </si>
  <si>
    <t>TasNetworks</t>
  </si>
  <si>
    <t xml:space="preserve">Excluded Victorian businesses as AMI costs are substantially higher and therefore not comparable. </t>
  </si>
  <si>
    <t>Ergon</t>
  </si>
  <si>
    <t>SA Power Networks</t>
  </si>
  <si>
    <t>Customer density (per km)</t>
  </si>
  <si>
    <t>Residential customer numbers</t>
  </si>
  <si>
    <t>Non-residential not on demand tariff customer numbers</t>
  </si>
  <si>
    <t>Source:</t>
  </si>
  <si>
    <t>$2014-15</t>
  </si>
  <si>
    <t>Multiplied by 1000, because RIN data is supplied as $,000s</t>
  </si>
  <si>
    <t>N/A</t>
  </si>
  <si>
    <t>2019-20</t>
  </si>
  <si>
    <t>Customer density</t>
  </si>
  <si>
    <t>QLD/SA</t>
  </si>
  <si>
    <t>Industry average</t>
  </si>
  <si>
    <t>Historic customer numbers</t>
  </si>
  <si>
    <t xml:space="preserve">Average </t>
  </si>
  <si>
    <t xml:space="preserve">Forecast customer numbers </t>
  </si>
  <si>
    <t>SA Power 
Networks</t>
  </si>
  <si>
    <t>Opex for metering ($ nominal)</t>
  </si>
  <si>
    <t>Approach:</t>
  </si>
  <si>
    <t>Sum current CAM 'opex for metering' across ACS and SCS (if no current CAM, have summed historic CAM 'opex for metering' across ACS and SCS)</t>
  </si>
  <si>
    <t>2012-2013</t>
  </si>
  <si>
    <t>Opex for metering 
($ 2014-15)</t>
  </si>
  <si>
    <t>$ nominal</t>
  </si>
  <si>
    <t>$ 2014-15</t>
  </si>
  <si>
    <t>All amounts multiplied by 1000, because provided in $,000</t>
  </si>
  <si>
    <t>Base opex</t>
  </si>
  <si>
    <t>Base opex per customer</t>
  </si>
  <si>
    <t>CPI data</t>
  </si>
  <si>
    <t>Change on year earlier (Mar)</t>
  </si>
  <si>
    <t>Actual</t>
  </si>
  <si>
    <t>Forecast - Ergon</t>
  </si>
  <si>
    <t>CPI index</t>
  </si>
  <si>
    <t xml:space="preserve">Index (full year) </t>
  </si>
  <si>
    <t>Index (full year) - Ergon</t>
  </si>
  <si>
    <t>Index (half year)</t>
  </si>
  <si>
    <t>Y1</t>
  </si>
  <si>
    <t>Y2</t>
  </si>
  <si>
    <t>Y3</t>
  </si>
  <si>
    <t>Y4</t>
  </si>
  <si>
    <t>Y5</t>
  </si>
  <si>
    <t>Endeavour Energy</t>
  </si>
  <si>
    <t>Ergon Energy</t>
  </si>
  <si>
    <t>Essential Energy</t>
  </si>
  <si>
    <t>Data Source:</t>
  </si>
  <si>
    <t>All DNSPs (except Ergon Energy)</t>
  </si>
  <si>
    <t xml:space="preserve"> Economic Benchmarking RIN, 00AER condsolidated master sheet, tab SD 3. Opex, table 3.2 opex consistency, row 'opex for metering'</t>
  </si>
  <si>
    <t xml:space="preserve">Approach: </t>
  </si>
  <si>
    <t xml:space="preserve">Remove/add metering costs from base opex to compare only default metering services (that is, metering services charged for through the annual metering charge). </t>
  </si>
  <si>
    <t>2011-2012</t>
  </si>
  <si>
    <t>2010-2011</t>
  </si>
  <si>
    <t>2009-2010</t>
  </si>
  <si>
    <t>2013-2014</t>
  </si>
  <si>
    <t>Preliminary decision</t>
  </si>
  <si>
    <t>Revised proposal</t>
  </si>
  <si>
    <t>5yr base opex/ customer</t>
  </si>
  <si>
    <t>Two year base</t>
  </si>
  <si>
    <t>Final Decision</t>
  </si>
  <si>
    <t>Productivity/Price</t>
  </si>
  <si>
    <t>Total</t>
  </si>
  <si>
    <t>Ergon Energy Proposal</t>
  </si>
  <si>
    <t>Ergon Energy Revised Proposal</t>
  </si>
  <si>
    <t>AER Preliminary Decision</t>
  </si>
  <si>
    <t>millions</t>
  </si>
  <si>
    <t>`</t>
  </si>
  <si>
    <t>Economic benchmarking RIN data</t>
  </si>
  <si>
    <t>Economic Benchmarking RIN data</t>
  </si>
  <si>
    <t>For most distributors, this involved removing ancillary metering service costs.</t>
  </si>
  <si>
    <t>Output (customer numbers)</t>
  </si>
  <si>
    <t>Change in testing regime (per annum)</t>
  </si>
  <si>
    <t>Step change</t>
  </si>
  <si>
    <t>Total (per annum)</t>
  </si>
  <si>
    <t>Requirement to test voltage and current transformers at shared Powerllink and Ergon Energy whole sale metering points (per annum)</t>
  </si>
  <si>
    <t>Ergon Energy, Submission to the AER on its Preliminary Determination (Metering), p. 20-21</t>
  </si>
  <si>
    <t>Ergon Energy, Submission to the AER on its Preliminary Determination (Metering), p. 21</t>
  </si>
  <si>
    <t>Proposal source:</t>
  </si>
  <si>
    <t xml:space="preserve">Information request 077 </t>
  </si>
  <si>
    <t>2013-14 data</t>
  </si>
  <si>
    <t>2009-10 to 2012-13 data</t>
  </si>
  <si>
    <t>Attachment EECL_13_14_EBRIN_CON_R2.xlsm,  tab SD 3. Opex, table 3.2.2.1 opex consistency, row 'opex for metering'</t>
  </si>
  <si>
    <t>Attachment EE 05061213EBRIN 001 RF R2.xlsx tab 3. Opex, table 3.2.2.1 opex consistency, row 'opex for metering'</t>
  </si>
  <si>
    <t>Source: Information Request 077, Response 24 July 2015, p. 6, table 4, row 'final adjusted EB RIN metering Opex</t>
  </si>
  <si>
    <t>AER alternative forecast (five year average)</t>
  </si>
  <si>
    <t xml:space="preserve">SA Power Networks </t>
  </si>
  <si>
    <t>SA Power Networks (type 5 + SCS adjustment)</t>
  </si>
  <si>
    <t>AER Final Decision</t>
  </si>
  <si>
    <t>Final decision efficient base opex/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</si>
</sst>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-* #,##0.0000_-;\-* #,##0.0000_-;_-* &quot;-&quot;??_-;_-@_-"/>
    <numFmt numFmtId="169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7">
    <xf numFmtId="0" fontId="0" fillId="0" borderId="0" xfId="0"/>
    <xf numFmtId="2" fontId="0" fillId="0" borderId="0" xfId="0" applyNumberFormat="1"/>
    <xf numFmtId="0" fontId="1" fillId="0" borderId="0" xfId="0" applyFont="1"/>
    <xf numFmtId="3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167" fontId="0" fillId="0" borderId="0" xfId="0" applyNumberFormat="1"/>
    <xf numFmtId="9" fontId="0" fillId="0" borderId="0" xfId="10" applyFont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left"/>
    </xf>
    <xf numFmtId="167" fontId="0" fillId="0" borderId="2" xfId="9" applyNumberFormat="1" applyFont="1" applyFill="1" applyBorder="1"/>
    <xf numFmtId="167" fontId="0" fillId="0" borderId="3" xfId="9" applyNumberFormat="1" applyFont="1" applyFill="1" applyBorder="1"/>
    <xf numFmtId="167" fontId="0" fillId="0" borderId="4" xfId="9" applyNumberFormat="1" applyFont="1" applyFill="1" applyBorder="1"/>
    <xf numFmtId="167" fontId="0" fillId="0" borderId="1" xfId="9" applyNumberFormat="1" applyFont="1" applyFill="1" applyBorder="1"/>
    <xf numFmtId="167" fontId="0" fillId="0" borderId="0" xfId="9" applyNumberFormat="1" applyFont="1" applyFill="1" applyBorder="1"/>
    <xf numFmtId="167" fontId="0" fillId="0" borderId="5" xfId="9" applyNumberFormat="1" applyFont="1" applyFill="1" applyBorder="1"/>
    <xf numFmtId="167" fontId="0" fillId="0" borderId="6" xfId="9" applyNumberFormat="1" applyFont="1" applyFill="1" applyBorder="1"/>
    <xf numFmtId="167" fontId="0" fillId="0" borderId="7" xfId="9" applyNumberFormat="1" applyFont="1" applyFill="1" applyBorder="1"/>
    <xf numFmtId="167" fontId="0" fillId="0" borderId="8" xfId="9" applyNumberFormat="1" applyFont="1" applyFill="1" applyBorder="1"/>
    <xf numFmtId="0" fontId="1" fillId="0" borderId="1" xfId="0" applyFont="1" applyBorder="1"/>
    <xf numFmtId="0" fontId="1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Fill="1" applyBorder="1"/>
    <xf numFmtId="0" fontId="1" fillId="0" borderId="15" xfId="0" applyFont="1" applyBorder="1"/>
    <xf numFmtId="0" fontId="5" fillId="0" borderId="12" xfId="0" applyFont="1" applyFill="1" applyBorder="1"/>
    <xf numFmtId="167" fontId="4" fillId="0" borderId="13" xfId="0" applyNumberFormat="1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0" fontId="1" fillId="0" borderId="0" xfId="0" applyFont="1" applyBorder="1"/>
    <xf numFmtId="1" fontId="0" fillId="0" borderId="0" xfId="0" applyNumberFormat="1" applyBorder="1" applyAlignment="1">
      <alignment vertical="top"/>
    </xf>
    <xf numFmtId="1" fontId="0" fillId="0" borderId="7" xfId="0" applyNumberFormat="1" applyBorder="1" applyAlignment="1">
      <alignment vertical="top"/>
    </xf>
    <xf numFmtId="0" fontId="0" fillId="0" borderId="8" xfId="0" applyBorder="1" applyAlignment="1">
      <alignment vertical="top"/>
    </xf>
    <xf numFmtId="1" fontId="0" fillId="0" borderId="3" xfId="0" applyNumberFormat="1" applyBorder="1" applyAlignment="1">
      <alignment vertical="top"/>
    </xf>
    <xf numFmtId="0" fontId="1" fillId="0" borderId="9" xfId="0" applyFont="1" applyBorder="1" applyAlignment="1">
      <alignment wrapText="1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Font="1"/>
    <xf numFmtId="4" fontId="0" fillId="0" borderId="0" xfId="0" applyNumberFormat="1"/>
    <xf numFmtId="0" fontId="9" fillId="0" borderId="0" xfId="0" applyFont="1" applyAlignment="1"/>
    <xf numFmtId="0" fontId="1" fillId="0" borderId="2" xfId="0" applyFont="1" applyBorder="1"/>
    <xf numFmtId="0" fontId="0" fillId="0" borderId="3" xfId="0" applyFont="1" applyBorder="1"/>
    <xf numFmtId="0" fontId="1" fillId="0" borderId="3" xfId="0" applyFont="1" applyBorder="1"/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10" fontId="0" fillId="0" borderId="0" xfId="10" applyNumberFormat="1" applyFont="1" applyFill="1" applyBorder="1"/>
    <xf numFmtId="0" fontId="0" fillId="0" borderId="10" xfId="0" applyFont="1" applyBorder="1" applyAlignment="1">
      <alignment horizontal="left" vertical="top" wrapText="1"/>
    </xf>
    <xf numFmtId="10" fontId="0" fillId="0" borderId="0" xfId="10" applyNumberFormat="1" applyFont="1" applyFill="1" applyBorder="1" applyAlignment="1">
      <alignment vertical="top"/>
    </xf>
    <xf numFmtId="2" fontId="0" fillId="0" borderId="0" xfId="0" applyNumberFormat="1" applyFont="1" applyBorder="1"/>
    <xf numFmtId="2" fontId="0" fillId="0" borderId="0" xfId="9" applyNumberFormat="1" applyFont="1" applyBorder="1"/>
    <xf numFmtId="2" fontId="0" fillId="0" borderId="5" xfId="9" applyNumberFormat="1" applyFont="1" applyBorder="1"/>
    <xf numFmtId="0" fontId="0" fillId="0" borderId="11" xfId="0" applyFont="1" applyBorder="1"/>
    <xf numFmtId="2" fontId="0" fillId="0" borderId="7" xfId="0" applyNumberFormat="1" applyFont="1" applyBorder="1"/>
    <xf numFmtId="2" fontId="0" fillId="0" borderId="7" xfId="10" applyNumberFormat="1" applyFont="1" applyBorder="1"/>
    <xf numFmtId="2" fontId="0" fillId="0" borderId="8" xfId="10" applyNumberFormat="1" applyFont="1" applyBorder="1"/>
    <xf numFmtId="0" fontId="0" fillId="0" borderId="10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vertical="center"/>
    </xf>
    <xf numFmtId="167" fontId="0" fillId="0" borderId="0" xfId="9" applyNumberFormat="1" applyFont="1"/>
    <xf numFmtId="167" fontId="4" fillId="0" borderId="0" xfId="9" applyNumberFormat="1" applyFont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66" fontId="0" fillId="0" borderId="0" xfId="0" applyNumberFormat="1"/>
    <xf numFmtId="167" fontId="4" fillId="0" borderId="15" xfId="0" applyNumberFormat="1" applyFont="1" applyBorder="1"/>
    <xf numFmtId="167" fontId="4" fillId="0" borderId="14" xfId="0" applyNumberFormat="1" applyFont="1" applyBorder="1"/>
    <xf numFmtId="43" fontId="0" fillId="0" borderId="5" xfId="9" applyNumberFormat="1" applyFont="1" applyFill="1" applyBorder="1"/>
    <xf numFmtId="43" fontId="0" fillId="0" borderId="0" xfId="9" applyNumberFormat="1" applyFont="1" applyFill="1" applyBorder="1"/>
    <xf numFmtId="167" fontId="6" fillId="0" borderId="1" xfId="9" applyNumberFormat="1" applyFont="1" applyFill="1" applyBorder="1"/>
    <xf numFmtId="167" fontId="6" fillId="0" borderId="0" xfId="9" applyNumberFormat="1" applyFont="1" applyFill="1" applyBorder="1"/>
    <xf numFmtId="167" fontId="6" fillId="0" borderId="5" xfId="9" applyNumberFormat="1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Fill="1"/>
    <xf numFmtId="167" fontId="4" fillId="0" borderId="7" xfId="0" applyNumberFormat="1" applyFont="1" applyBorder="1"/>
    <xf numFmtId="167" fontId="4" fillId="0" borderId="8" xfId="0" applyNumberFormat="1" applyFont="1" applyBorder="1"/>
    <xf numFmtId="0" fontId="5" fillId="0" borderId="11" xfId="0" applyFont="1" applyFill="1" applyBorder="1"/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0" applyNumberFormat="1" applyFont="1"/>
    <xf numFmtId="166" fontId="0" fillId="0" borderId="0" xfId="0" applyNumberFormat="1" applyFill="1"/>
    <xf numFmtId="0" fontId="4" fillId="0" borderId="0" xfId="0" applyFont="1" applyAlignment="1">
      <alignment vertical="top" wrapText="1"/>
    </xf>
    <xf numFmtId="0" fontId="0" fillId="0" borderId="4" xfId="0" applyBorder="1"/>
    <xf numFmtId="0" fontId="0" fillId="0" borderId="21" xfId="0" applyBorder="1" applyAlignment="1">
      <alignment vertical="top" wrapText="1"/>
    </xf>
    <xf numFmtId="0" fontId="0" fillId="0" borderId="22" xfId="0" applyBorder="1"/>
    <xf numFmtId="3" fontId="0" fillId="0" borderId="22" xfId="0" applyNumberFormat="1" applyBorder="1"/>
    <xf numFmtId="0" fontId="0" fillId="0" borderId="17" xfId="0" applyBorder="1" applyAlignment="1">
      <alignment vertical="top" wrapText="1"/>
    </xf>
    <xf numFmtId="3" fontId="0" fillId="0" borderId="18" xfId="0" applyNumberFormat="1" applyBorder="1"/>
    <xf numFmtId="0" fontId="0" fillId="0" borderId="16" xfId="0" applyBorder="1"/>
    <xf numFmtId="0" fontId="4" fillId="0" borderId="19" xfId="0" applyFont="1" applyBorder="1" applyAlignment="1">
      <alignment vertical="top" wrapText="1"/>
    </xf>
    <xf numFmtId="3" fontId="4" fillId="0" borderId="20" xfId="0" applyNumberFormat="1" applyFont="1" applyBorder="1"/>
    <xf numFmtId="3" fontId="4" fillId="0" borderId="8" xfId="0" applyNumberFormat="1" applyFont="1" applyBorder="1"/>
    <xf numFmtId="0" fontId="0" fillId="0" borderId="0" xfId="0" applyAlignment="1">
      <alignment horizontal="right"/>
    </xf>
    <xf numFmtId="169" fontId="0" fillId="0" borderId="0" xfId="0" applyNumberFormat="1"/>
    <xf numFmtId="168" fontId="0" fillId="0" borderId="0" xfId="0" applyNumberFormat="1"/>
    <xf numFmtId="1" fontId="0" fillId="0" borderId="0" xfId="0" applyNumberFormat="1"/>
    <xf numFmtId="167" fontId="10" fillId="0" borderId="0" xfId="9" applyNumberFormat="1" applyFont="1" applyFill="1" applyBorder="1"/>
    <xf numFmtId="167" fontId="0" fillId="0" borderId="1" xfId="0" applyNumberFormat="1" applyFill="1" applyBorder="1"/>
    <xf numFmtId="167" fontId="10" fillId="0" borderId="1" xfId="9" applyNumberFormat="1" applyFont="1" applyFill="1" applyBorder="1"/>
    <xf numFmtId="167" fontId="10" fillId="0" borderId="5" xfId="9" applyNumberFormat="1" applyFont="1" applyFill="1" applyBorder="1"/>
    <xf numFmtId="166" fontId="0" fillId="0" borderId="0" xfId="0" applyNumberFormat="1" applyBorder="1" applyAlignment="1">
      <alignment vertical="top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0" fontId="0" fillId="0" borderId="1" xfId="10" applyNumberFormat="1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7" fontId="0" fillId="0" borderId="1" xfId="9" applyNumberFormat="1" applyFont="1" applyFill="1" applyBorder="1" applyAlignment="1">
      <alignment vertical="top"/>
    </xf>
    <xf numFmtId="167" fontId="0" fillId="0" borderId="0" xfId="9" applyNumberFormat="1" applyFont="1" applyFill="1" applyBorder="1" applyAlignment="1">
      <alignment vertical="top"/>
    </xf>
    <xf numFmtId="10" fontId="0" fillId="0" borderId="5" xfId="10" applyNumberFormat="1" applyFont="1" applyFill="1" applyBorder="1" applyAlignment="1">
      <alignment vertical="top"/>
    </xf>
    <xf numFmtId="2" fontId="0" fillId="0" borderId="0" xfId="0" applyNumberFormat="1" applyFont="1" applyFill="1" applyBorder="1"/>
    <xf numFmtId="2" fontId="0" fillId="0" borderId="0" xfId="10" applyNumberFormat="1" applyFont="1" applyFill="1" applyBorder="1"/>
    <xf numFmtId="2" fontId="0" fillId="0" borderId="5" xfId="10" applyNumberFormat="1" applyFont="1" applyFill="1" applyBorder="1"/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4" fillId="0" borderId="8" xfId="0" applyFont="1" applyFill="1" applyBorder="1"/>
    <xf numFmtId="167" fontId="4" fillId="0" borderId="6" xfId="9" applyNumberFormat="1" applyFont="1" applyFill="1" applyBorder="1"/>
    <xf numFmtId="167" fontId="4" fillId="0" borderId="7" xfId="9" applyNumberFormat="1" applyFont="1" applyFill="1" applyBorder="1"/>
    <xf numFmtId="167" fontId="4" fillId="0" borderId="8" xfId="9" applyNumberFormat="1" applyFont="1" applyFill="1" applyBorder="1"/>
    <xf numFmtId="167" fontId="5" fillId="0" borderId="8" xfId="0" applyNumberFormat="1" applyFont="1" applyFill="1" applyBorder="1"/>
    <xf numFmtId="167" fontId="1" fillId="0" borderId="4" xfId="9" applyNumberFormat="1" applyFont="1" applyFill="1" applyBorder="1"/>
    <xf numFmtId="167" fontId="1" fillId="0" borderId="5" xfId="9" applyNumberFormat="1" applyFont="1" applyFill="1" applyBorder="1"/>
    <xf numFmtId="167" fontId="5" fillId="0" borderId="8" xfId="9" applyNumberFormat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1" fillId="0" borderId="9" xfId="0" applyFont="1" applyFill="1" applyBorder="1"/>
    <xf numFmtId="166" fontId="0" fillId="0" borderId="2" xfId="0" applyNumberFormat="1" applyFill="1" applyBorder="1"/>
    <xf numFmtId="166" fontId="0" fillId="0" borderId="3" xfId="0" applyNumberFormat="1" applyFill="1" applyBorder="1"/>
    <xf numFmtId="166" fontId="0" fillId="0" borderId="4" xfId="0" applyNumberFormat="1" applyFill="1" applyBorder="1"/>
    <xf numFmtId="166" fontId="5" fillId="0" borderId="4" xfId="0" applyNumberFormat="1" applyFont="1" applyFill="1" applyBorder="1"/>
    <xf numFmtId="0" fontId="1" fillId="0" borderId="10" xfId="0" applyFont="1" applyFill="1" applyBorder="1"/>
    <xf numFmtId="166" fontId="0" fillId="0" borderId="1" xfId="0" applyNumberFormat="1" applyFill="1" applyBorder="1"/>
    <xf numFmtId="166" fontId="0" fillId="0" borderId="0" xfId="0" applyNumberFormat="1" applyFill="1" applyBorder="1"/>
    <xf numFmtId="166" fontId="0" fillId="0" borderId="5" xfId="0" applyNumberFormat="1" applyFill="1" applyBorder="1"/>
    <xf numFmtId="166" fontId="5" fillId="0" borderId="5" xfId="0" applyNumberFormat="1" applyFont="1" applyFill="1" applyBorder="1"/>
    <xf numFmtId="2" fontId="5" fillId="0" borderId="5" xfId="0" applyNumberFormat="1" applyFont="1" applyFill="1" applyBorder="1"/>
    <xf numFmtId="0" fontId="1" fillId="0" borderId="11" xfId="0" applyFont="1" applyFill="1" applyBorder="1"/>
    <xf numFmtId="166" fontId="0" fillId="0" borderId="6" xfId="0" applyNumberFormat="1" applyFill="1" applyBorder="1"/>
    <xf numFmtId="166" fontId="0" fillId="0" borderId="7" xfId="0" applyNumberFormat="1" applyFill="1" applyBorder="1"/>
    <xf numFmtId="166" fontId="0" fillId="0" borderId="8" xfId="0" applyNumberFormat="1" applyFill="1" applyBorder="1"/>
    <xf numFmtId="166" fontId="5" fillId="0" borderId="8" xfId="0" applyNumberFormat="1" applyFont="1" applyFill="1" applyBorder="1"/>
    <xf numFmtId="167" fontId="0" fillId="0" borderId="0" xfId="0" applyNumberFormat="1" applyFill="1"/>
    <xf numFmtId="2" fontId="0" fillId="0" borderId="0" xfId="0" applyNumberFormat="1" applyFill="1"/>
    <xf numFmtId="0" fontId="0" fillId="0" borderId="15" xfId="0" applyFill="1" applyBorder="1"/>
    <xf numFmtId="3" fontId="0" fillId="0" borderId="13" xfId="0" applyNumberFormat="1" applyFill="1" applyBorder="1"/>
    <xf numFmtId="167" fontId="0" fillId="0" borderId="12" xfId="9" applyNumberFormat="1" applyFont="1" applyFill="1" applyBorder="1"/>
    <xf numFmtId="166" fontId="0" fillId="0" borderId="3" xfId="0" applyNumberFormat="1" applyBorder="1" applyAlignment="1">
      <alignment vertical="top"/>
    </xf>
    <xf numFmtId="166" fontId="0" fillId="0" borderId="7" xfId="0" applyNumberFormat="1" applyBorder="1" applyAlignment="1">
      <alignment vertical="top"/>
    </xf>
    <xf numFmtId="166" fontId="0" fillId="0" borderId="5" xfId="0" applyNumberFormat="1" applyBorder="1" applyAlignment="1">
      <alignment vertical="top"/>
    </xf>
    <xf numFmtId="166" fontId="0" fillId="0" borderId="0" xfId="9" applyNumberFormat="1" applyFont="1" applyFill="1"/>
    <xf numFmtId="167" fontId="0" fillId="0" borderId="0" xfId="9" applyNumberFormat="1" applyFont="1" applyFill="1"/>
  </cellXfs>
  <cellStyles count="23">
    <cellStyle name="Comma" xfId="9" builtinId="3"/>
    <cellStyle name="Comma 2" xfId="11"/>
    <cellStyle name="Comma 2 2" xfId="12"/>
    <cellStyle name="Comma 3 2" xfId="16"/>
    <cellStyle name="Comma 3 2 2" xfId="17"/>
    <cellStyle name="Comma 8" xfId="1"/>
    <cellStyle name="Currency 2 2" xfId="18"/>
    <cellStyle name="Currency 4" xfId="19"/>
    <cellStyle name="Normal" xfId="0" builtinId="0"/>
    <cellStyle name="Normal 10" xfId="4"/>
    <cellStyle name="Normal 10 2" xfId="13"/>
    <cellStyle name="Normal 114" xfId="3"/>
    <cellStyle name="Normal 13" xfId="7"/>
    <cellStyle name="Normal 2 2" xfId="5"/>
    <cellStyle name="Normal 2 2 2" xfId="8"/>
    <cellStyle name="Normal 2 3" xfId="2"/>
    <cellStyle name="Normal 4" xfId="6"/>
    <cellStyle name="Normal 4 3" xfId="20"/>
    <cellStyle name="Normal 9" xfId="14"/>
    <cellStyle name="Percent" xfId="10" builtinId="5"/>
    <cellStyle name="Percent 2" xfId="15"/>
    <cellStyle name="Percent 2 2" xfId="21"/>
    <cellStyle name="Percent 3 2" xfId="22"/>
  </cellStyles>
  <dxfs count="0"/>
  <tableStyles count="0" defaultTableStyle="TableStyleMedium2" defaultPivotStyle="PivotStyleLight16"/>
  <colors>
    <mruColors>
      <color rgb="FF8000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/00AER%20consolidated%20master%20she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QldSA%20DX%202015-20%20resets/Reset%20models/Ergon/03%20Revised%20proposal/Metering/05.04.09%20MTPricing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QldSA%20DX%202015-20%20resets/Reset%20models/Ergon/01%20Proposal/Metering/05.04.07%20MTPTRM%20Data%20Mode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QldSA%20DX%202015-20%20resets/Reset%20models/Ergon/02%20Draft%20decision/Metering/Ergon%20-%20Preliminary%20Decision%20-%20Metering%20-%20PTR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QldSA%20DX%202015-20%20resets/Reset%20models/Ergon/03%20Revised%20proposal/Metering/05.04.07%20MTPTRM%20Data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ersion"/>
      <sheetName val="2. Revenue"/>
      <sheetName val="3. Opex"/>
      <sheetName val="4. Assets (RAB)"/>
      <sheetName val="4. Assets (RAB) alternative"/>
      <sheetName val="5. Operational data"/>
      <sheetName val="6. Physical assets"/>
      <sheetName val="7. Quality of services"/>
      <sheetName val="8. Operating Environment"/>
      <sheetName val="SD 2.Revenue"/>
      <sheetName val="SD 3. Opex"/>
      <sheetName val="SD 4. Assets (RAB)"/>
      <sheetName val="SD. 4.Assets(RAB) alternative"/>
      <sheetName val="SD 5. Operational data"/>
      <sheetName val="SD 6.Physical assets"/>
      <sheetName val="SD 7.Quality of services"/>
      <sheetName val="SD 8.Operating Environment"/>
      <sheetName val="Second phase checking"/>
      <sheetName val="Macro"/>
      <sheetName val="2014 data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2">
          <cell r="Q42">
            <v>19680.84277000001</v>
          </cell>
        </row>
      </sheetData>
      <sheetData sheetId="11" refreshError="1"/>
      <sheetData sheetId="12" refreshError="1"/>
      <sheetData sheetId="13">
        <row r="41">
          <cell r="H41">
            <v>149171</v>
          </cell>
          <cell r="I41">
            <v>152911</v>
          </cell>
          <cell r="J41">
            <v>156926</v>
          </cell>
          <cell r="K41">
            <v>160773</v>
          </cell>
          <cell r="L41">
            <v>163001</v>
          </cell>
          <cell r="Q41">
            <v>1417555.6154793582</v>
          </cell>
          <cell r="R41">
            <v>1426775.9237190196</v>
          </cell>
          <cell r="S41">
            <v>1437057.0898190825</v>
          </cell>
          <cell r="T41">
            <v>1448242.2040933988</v>
          </cell>
          <cell r="U41">
            <v>1463205.1491284599</v>
          </cell>
          <cell r="AI41">
            <v>783921</v>
          </cell>
          <cell r="AJ41">
            <v>791909</v>
          </cell>
          <cell r="AK41">
            <v>799804.5</v>
          </cell>
          <cell r="AL41">
            <v>813233.5</v>
          </cell>
          <cell r="AM41">
            <v>830657.5</v>
          </cell>
          <cell r="AR41">
            <v>1186163.9246432728</v>
          </cell>
          <cell r="AS41">
            <v>1204327.3619327578</v>
          </cell>
          <cell r="AT41">
            <v>1220643.9824545288</v>
          </cell>
          <cell r="AU41">
            <v>1236600.7267132096</v>
          </cell>
          <cell r="AV41">
            <v>1251769</v>
          </cell>
          <cell r="BA41">
            <v>570854</v>
          </cell>
          <cell r="BB41">
            <v>577958</v>
          </cell>
          <cell r="BC41">
            <v>585538</v>
          </cell>
          <cell r="BD41">
            <v>595439</v>
          </cell>
          <cell r="BE41">
            <v>607276</v>
          </cell>
          <cell r="BJ41">
            <v>691209</v>
          </cell>
          <cell r="BK41">
            <v>699303</v>
          </cell>
          <cell r="BL41">
            <v>703529</v>
          </cell>
          <cell r="BM41">
            <v>707207</v>
          </cell>
          <cell r="BN41">
            <v>715400</v>
          </cell>
          <cell r="CK41">
            <v>722673</v>
          </cell>
          <cell r="CL41">
            <v>732016</v>
          </cell>
          <cell r="CM41">
            <v>740569</v>
          </cell>
          <cell r="CN41">
            <v>744732</v>
          </cell>
          <cell r="CO41">
            <v>749228.47</v>
          </cell>
          <cell r="DC41">
            <v>230791.78345563679</v>
          </cell>
          <cell r="DD41">
            <v>235265.92118729648</v>
          </cell>
          <cell r="DE41">
            <v>236621.85978373574</v>
          </cell>
          <cell r="DF41">
            <v>237022.1995116492</v>
          </cell>
          <cell r="DG41">
            <v>235170</v>
          </cell>
        </row>
        <row r="42">
          <cell r="H42">
            <v>14060</v>
          </cell>
          <cell r="I42">
            <v>14318</v>
          </cell>
          <cell r="J42">
            <v>14449</v>
          </cell>
          <cell r="K42">
            <v>14663</v>
          </cell>
          <cell r="L42">
            <v>13859</v>
          </cell>
          <cell r="Q42">
            <v>140921.38452064188</v>
          </cell>
          <cell r="R42">
            <v>144263.57628098055</v>
          </cell>
          <cell r="S42">
            <v>146950.91018091756</v>
          </cell>
          <cell r="T42">
            <v>147837.29590660121</v>
          </cell>
          <cell r="U42">
            <v>148959.35087154014</v>
          </cell>
          <cell r="AI42">
            <v>75301</v>
          </cell>
          <cell r="AJ42">
            <v>75836.5</v>
          </cell>
          <cell r="AK42">
            <v>76268.5</v>
          </cell>
          <cell r="AL42">
            <v>78077.5</v>
          </cell>
          <cell r="AM42">
            <v>79876</v>
          </cell>
          <cell r="AR42">
            <v>111087.48426113051</v>
          </cell>
          <cell r="AS42">
            <v>110836.98355686202</v>
          </cell>
          <cell r="AT42">
            <v>110993.19584787801</v>
          </cell>
          <cell r="AU42">
            <v>110126.40391328311</v>
          </cell>
          <cell r="AV42">
            <v>111072</v>
          </cell>
          <cell r="BA42">
            <v>98313</v>
          </cell>
          <cell r="BB42">
            <v>102414</v>
          </cell>
          <cell r="BC42">
            <v>104717</v>
          </cell>
          <cell r="BD42">
            <v>105724</v>
          </cell>
          <cell r="BE42">
            <v>105435</v>
          </cell>
          <cell r="BJ42">
            <v>90495</v>
          </cell>
          <cell r="BK42">
            <v>90886</v>
          </cell>
          <cell r="BL42">
            <v>90445</v>
          </cell>
          <cell r="BM42">
            <v>90737</v>
          </cell>
          <cell r="BN42">
            <v>91792</v>
          </cell>
          <cell r="CK42">
            <v>100931</v>
          </cell>
          <cell r="CL42">
            <v>98785</v>
          </cell>
          <cell r="CM42">
            <v>97924</v>
          </cell>
          <cell r="CN42">
            <v>97110</v>
          </cell>
          <cell r="CO42">
            <v>96092.34</v>
          </cell>
          <cell r="DC42">
            <v>38927.238566229978</v>
          </cell>
          <cell r="DD42">
            <v>39664.078812703527</v>
          </cell>
          <cell r="DE42">
            <v>40829.140216264263</v>
          </cell>
          <cell r="DF42">
            <v>41870.800488350797</v>
          </cell>
          <cell r="DG42">
            <v>41375</v>
          </cell>
        </row>
        <row r="54">
          <cell r="L54">
            <v>178710</v>
          </cell>
        </row>
      </sheetData>
      <sheetData sheetId="14" refreshError="1"/>
      <sheetData sheetId="15" refreshError="1"/>
      <sheetData sheetId="16">
        <row r="5">
          <cell r="H5">
            <v>42.211287846169675</v>
          </cell>
          <cell r="I5">
            <v>42.705332523061891</v>
          </cell>
          <cell r="J5">
            <v>43.132467227135201</v>
          </cell>
          <cell r="K5">
            <v>43.372820042008662</v>
          </cell>
          <cell r="Q5">
            <v>44.707759972118708</v>
          </cell>
          <cell r="R5">
            <v>44.436836974942466</v>
          </cell>
          <cell r="S5">
            <v>44.295999138804959</v>
          </cell>
          <cell r="T5">
            <v>44.248482731711306</v>
          </cell>
          <cell r="U5">
            <v>44.23</v>
          </cell>
          <cell r="AI5">
            <v>33.098286287678462</v>
          </cell>
          <cell r="AJ5">
            <v>33.088059892731223</v>
          </cell>
          <cell r="AK5">
            <v>33.043512968587102</v>
          </cell>
          <cell r="AL5">
            <v>33.154640929347927</v>
          </cell>
          <cell r="AM5">
            <v>33.464880740477035</v>
          </cell>
          <cell r="AR5">
            <v>31.789996191031904</v>
          </cell>
          <cell r="AS5">
            <v>31.820468229029242</v>
          </cell>
          <cell r="AT5">
            <v>31.861740717909811</v>
          </cell>
          <cell r="AU5">
            <v>31.927853570338367</v>
          </cell>
          <cell r="AV5">
            <v>32.130000000000003</v>
          </cell>
          <cell r="BA5">
            <v>4.7779999999999996</v>
          </cell>
          <cell r="BB5">
            <v>4.875</v>
          </cell>
          <cell r="BC5">
            <v>4.91</v>
          </cell>
          <cell r="BD5">
            <v>5.0229999999999997</v>
          </cell>
          <cell r="BE5">
            <v>5.0895875233456795</v>
          </cell>
          <cell r="BJ5">
            <v>4.5661013287522199</v>
          </cell>
          <cell r="BK5">
            <v>4.626802111520206</v>
          </cell>
          <cell r="BL5">
            <v>4.6469548155374243</v>
          </cell>
          <cell r="BM5">
            <v>4.6710154309204883</v>
          </cell>
          <cell r="BN5">
            <v>4.9104486792207709</v>
          </cell>
          <cell r="CK5">
            <v>10.167826144870579</v>
          </cell>
          <cell r="CL5">
            <v>10.316871930776687</v>
          </cell>
          <cell r="CM5">
            <v>10.404777308378002</v>
          </cell>
          <cell r="CN5">
            <v>10.448574633028088</v>
          </cell>
          <cell r="CO5">
            <v>10.48934768419886</v>
          </cell>
          <cell r="DC5">
            <v>12.85</v>
          </cell>
          <cell r="DD5">
            <v>12.89</v>
          </cell>
          <cell r="DE5">
            <v>12.9</v>
          </cell>
          <cell r="DF5">
            <v>12.9</v>
          </cell>
          <cell r="DG5">
            <v>15.454306802917047</v>
          </cell>
        </row>
        <row r="24">
          <cell r="L24">
            <v>4087.634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Unconstrained Meter Pricing"/>
      <sheetName val="Output Tables"/>
      <sheetName val="2015-16 Price Contraint"/>
      <sheetName val="Constrained Meter Pricing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B12">
            <v>712615.5</v>
          </cell>
          <cell r="C12">
            <v>726651.5</v>
          </cell>
          <cell r="D12">
            <v>740938.5</v>
          </cell>
          <cell r="E12">
            <v>755407.5</v>
          </cell>
          <cell r="F12">
            <v>770002.5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hange Log"/>
      <sheetName val="Input"/>
      <sheetName val="WACC"/>
      <sheetName val="Assets"/>
      <sheetName val="Analysis"/>
      <sheetName val="Forecast revenues"/>
      <sheetName val="X factor"/>
      <sheetName val="Chart1"/>
      <sheetName val="Chart2"/>
      <sheetName val="Chart3"/>
    </sheetNames>
    <sheetDataSet>
      <sheetData sheetId="0" refreshError="1"/>
      <sheetData sheetId="1" refreshError="1"/>
      <sheetData sheetId="2">
        <row r="179">
          <cell r="G179">
            <v>31.91</v>
          </cell>
          <cell r="H179">
            <v>32.6</v>
          </cell>
          <cell r="I179">
            <v>34.120000000000005</v>
          </cell>
          <cell r="J179">
            <v>35.130000000000003</v>
          </cell>
          <cell r="K179">
            <v>35.69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hange Log"/>
      <sheetName val="Input"/>
      <sheetName val="WACC"/>
      <sheetName val="Assets"/>
      <sheetName val="Analysis"/>
      <sheetName val="Forecast revenues"/>
      <sheetName val="X factor"/>
      <sheetName val="Chart4"/>
      <sheetName val="Chart5"/>
      <sheetName val="Chart6"/>
    </sheetNames>
    <sheetDataSet>
      <sheetData sheetId="0" refreshError="1"/>
      <sheetData sheetId="1" refreshError="1"/>
      <sheetData sheetId="2">
        <row r="179">
          <cell r="G179">
            <v>22.803699310270552</v>
          </cell>
          <cell r="H179">
            <v>23.252851375471149</v>
          </cell>
          <cell r="I179">
            <v>23.7100354418377</v>
          </cell>
          <cell r="J179">
            <v>24.173043509049691</v>
          </cell>
          <cell r="K179">
            <v>24.64008357684698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X factors"/>
      <sheetName val="Equity raising costs"/>
      <sheetName val="Forecast revenues"/>
      <sheetName val="Revenue summary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>
        <row r="179">
          <cell r="G179">
            <v>33.85</v>
          </cell>
          <cell r="H179">
            <v>35.39</v>
          </cell>
          <cell r="I179">
            <v>36.82</v>
          </cell>
          <cell r="J179">
            <v>37.79</v>
          </cell>
          <cell r="K179">
            <v>38.750000000000007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5"/>
  <sheetViews>
    <sheetView tabSelected="1" topLeftCell="B1" workbookViewId="0">
      <selection activeCell="I25" sqref="I25"/>
    </sheetView>
  </sheetViews>
  <sheetFormatPr defaultRowHeight="15" x14ac:dyDescent="0.25"/>
  <cols>
    <col min="1" max="1" width="12.28515625" customWidth="1"/>
    <col min="2" max="2" width="24.5703125" customWidth="1"/>
    <col min="3" max="9" width="16.28515625" customWidth="1"/>
    <col min="10" max="10" width="20.28515625" customWidth="1"/>
    <col min="11" max="11" width="19.140625" customWidth="1"/>
    <col min="12" max="12" width="20" customWidth="1"/>
    <col min="13" max="13" width="18.85546875" customWidth="1"/>
    <col min="14" max="14" width="19.140625" customWidth="1"/>
  </cols>
  <sheetData>
    <row r="1" spans="1:14" ht="27" thickBot="1" x14ac:dyDescent="0.45">
      <c r="A1" s="48"/>
      <c r="B1" s="46"/>
      <c r="C1" s="46"/>
      <c r="D1" s="46"/>
      <c r="E1" s="46"/>
      <c r="F1" s="46"/>
      <c r="G1" s="46"/>
      <c r="H1" s="46"/>
      <c r="I1" s="46"/>
      <c r="J1" s="46" t="s">
        <v>57</v>
      </c>
      <c r="K1" s="46" t="s">
        <v>58</v>
      </c>
      <c r="L1" s="46" t="s">
        <v>59</v>
      </c>
      <c r="M1" s="46" t="s">
        <v>60</v>
      </c>
      <c r="N1" s="46" t="s">
        <v>61</v>
      </c>
    </row>
    <row r="2" spans="1:14" ht="15.75" thickBot="1" x14ac:dyDescent="0.3">
      <c r="A2" s="49" t="s">
        <v>33</v>
      </c>
      <c r="B2" s="50"/>
      <c r="C2" s="51" t="s">
        <v>13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51" t="s">
        <v>9</v>
      </c>
      <c r="K2" s="51" t="s">
        <v>10</v>
      </c>
      <c r="L2" s="51" t="s">
        <v>11</v>
      </c>
      <c r="M2" s="51" t="s">
        <v>12</v>
      </c>
      <c r="N2" s="8" t="s">
        <v>31</v>
      </c>
    </row>
    <row r="3" spans="1:14" ht="30" x14ac:dyDescent="0.25">
      <c r="A3" s="112" t="s">
        <v>49</v>
      </c>
      <c r="B3" s="64" t="s">
        <v>50</v>
      </c>
      <c r="C3" s="65">
        <v>39903</v>
      </c>
      <c r="D3" s="66">
        <v>40268</v>
      </c>
      <c r="E3" s="66">
        <v>40633</v>
      </c>
      <c r="F3" s="66">
        <v>40999</v>
      </c>
      <c r="G3" s="66">
        <v>41364</v>
      </c>
      <c r="H3" s="66">
        <v>41729</v>
      </c>
      <c r="I3" s="66">
        <v>42094</v>
      </c>
      <c r="J3" s="66">
        <v>42460</v>
      </c>
      <c r="K3" s="66">
        <v>42825</v>
      </c>
      <c r="L3" s="66">
        <v>43190</v>
      </c>
      <c r="M3" s="66">
        <v>43555</v>
      </c>
      <c r="N3" s="67">
        <v>43921</v>
      </c>
    </row>
    <row r="4" spans="1:14" x14ac:dyDescent="0.25">
      <c r="A4" s="113"/>
      <c r="B4" s="53" t="s">
        <v>51</v>
      </c>
      <c r="C4" s="115">
        <v>2.4660912453760897E-2</v>
      </c>
      <c r="D4" s="54">
        <v>2.8880866425992746E-2</v>
      </c>
      <c r="E4" s="54">
        <v>3.3333333333333215E-2</v>
      </c>
      <c r="F4" s="54">
        <v>1.5846066779853007E-2</v>
      </c>
      <c r="G4" s="54">
        <v>2.5025025025025016E-2</v>
      </c>
      <c r="H4" s="54">
        <v>2.9296875E-2</v>
      </c>
      <c r="I4" s="54">
        <v>1.3299999999999999E-2</v>
      </c>
      <c r="J4" s="116"/>
      <c r="K4" s="116"/>
      <c r="L4" s="116"/>
      <c r="M4" s="116"/>
      <c r="N4" s="117"/>
    </row>
    <row r="5" spans="1:14" ht="15.75" thickBot="1" x14ac:dyDescent="0.3">
      <c r="A5" s="113"/>
      <c r="B5" s="55" t="s">
        <v>52</v>
      </c>
      <c r="C5" s="118"/>
      <c r="D5" s="119"/>
      <c r="E5" s="119"/>
      <c r="F5" s="119"/>
      <c r="G5" s="119"/>
      <c r="H5" s="119"/>
      <c r="I5" s="56"/>
      <c r="J5" s="56">
        <v>2.5499999999999998E-2</v>
      </c>
      <c r="K5" s="56">
        <v>2.5499999999999998E-2</v>
      </c>
      <c r="L5" s="56">
        <v>2.5499999999999998E-2</v>
      </c>
      <c r="M5" s="56">
        <v>2.5499999999999998E-2</v>
      </c>
      <c r="N5" s="120">
        <v>2.5499999999999998E-2</v>
      </c>
    </row>
    <row r="6" spans="1:14" x14ac:dyDescent="0.25">
      <c r="A6" s="112" t="s">
        <v>53</v>
      </c>
      <c r="B6" s="52" t="s">
        <v>54</v>
      </c>
      <c r="C6" s="121">
        <f>D6/(1+C4)</f>
        <v>0.85646826256785402</v>
      </c>
      <c r="D6" s="121">
        <f>E6/(1+D4)</f>
        <v>0.87758955141046457</v>
      </c>
      <c r="E6" s="121">
        <f>F6/(1+E4)</f>
        <v>0.9029350980215971</v>
      </c>
      <c r="F6" s="121">
        <f>G6/(1+F4)</f>
        <v>0.93303293462231685</v>
      </c>
      <c r="G6" s="121">
        <f>H6/(1+G4)</f>
        <v>0.94781783681214427</v>
      </c>
      <c r="H6" s="121">
        <f>I6/(1+H4)</f>
        <v>0.97153700189753323</v>
      </c>
      <c r="I6" s="122">
        <v>1</v>
      </c>
      <c r="J6" s="122"/>
      <c r="K6" s="122"/>
      <c r="L6" s="122"/>
      <c r="M6" s="122"/>
      <c r="N6" s="123"/>
    </row>
    <row r="7" spans="1:14" x14ac:dyDescent="0.25">
      <c r="A7" s="113"/>
      <c r="B7" s="55" t="s">
        <v>55</v>
      </c>
      <c r="C7" s="57"/>
      <c r="D7" s="57"/>
      <c r="E7" s="57"/>
      <c r="F7" s="57"/>
      <c r="G7" s="57"/>
      <c r="H7" s="57"/>
      <c r="I7" s="58"/>
      <c r="J7" s="58">
        <f>$I$6*(1+J5)</f>
        <v>1.0255000000000001</v>
      </c>
      <c r="K7" s="58">
        <f>J7*(1+K5)</f>
        <v>1.0516502500000002</v>
      </c>
      <c r="L7" s="58">
        <f>K7*(1+L5)</f>
        <v>1.0784673313750004</v>
      </c>
      <c r="M7" s="58">
        <f>L7*(1+M5)</f>
        <v>1.105968248325063</v>
      </c>
      <c r="N7" s="59">
        <f>M7*(1+N5)</f>
        <v>1.1341704386573521</v>
      </c>
    </row>
    <row r="8" spans="1:14" ht="15.75" thickBot="1" x14ac:dyDescent="0.3">
      <c r="A8" s="114"/>
      <c r="B8" s="60" t="s">
        <v>56</v>
      </c>
      <c r="C8" s="61">
        <f>$C$6/(1+$C$4)^0.5</f>
        <v>0.84609901512484964</v>
      </c>
      <c r="D8" s="61">
        <f>$D$6/(1+$D$4)^0.5</f>
        <v>0.86518483482324382</v>
      </c>
      <c r="E8" s="61">
        <f>$E$6/(1+$E$4)^0.5</f>
        <v>0.88825224797801927</v>
      </c>
      <c r="F8" s="61">
        <f>$F$6/(1+$F$4)^0.5</f>
        <v>0.92572719519952718</v>
      </c>
      <c r="G8" s="61">
        <f>$G$6/(1+$G$4)^0.5</f>
        <v>0.93617630150912179</v>
      </c>
      <c r="H8" s="61">
        <f>$H$6/(1+$H$4)^0.5</f>
        <v>0.95761076299188796</v>
      </c>
      <c r="I8" s="61">
        <f>$I$6/(1+$I$4)^0.5</f>
        <v>0.99341560700563614</v>
      </c>
      <c r="J8" s="62"/>
      <c r="K8" s="62"/>
      <c r="L8" s="62"/>
      <c r="M8" s="62"/>
      <c r="N8" s="63"/>
    </row>
    <row r="14" spans="1:14" x14ac:dyDescent="0.25">
      <c r="F14" s="68"/>
      <c r="H14" s="68"/>
    </row>
    <row r="15" spans="1:14" x14ac:dyDescent="0.25">
      <c r="F15" s="68"/>
      <c r="H15" s="68"/>
    </row>
  </sheetData>
  <mergeCells count="2">
    <mergeCell ref="A3:A5"/>
    <mergeCell ref="A6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X62"/>
  <sheetViews>
    <sheetView workbookViewId="0">
      <selection activeCell="L16" sqref="L16"/>
    </sheetView>
  </sheetViews>
  <sheetFormatPr defaultRowHeight="15" x14ac:dyDescent="0.25"/>
  <cols>
    <col min="1" max="1" width="9.140625" style="82"/>
    <col min="2" max="2" width="17.28515625" style="82" customWidth="1"/>
    <col min="3" max="3" width="16.7109375" style="83" customWidth="1"/>
    <col min="4" max="8" width="10.7109375" style="82" customWidth="1"/>
    <col min="9" max="9" width="17.28515625" style="82" customWidth="1"/>
    <col min="10" max="10" width="9.140625" style="82"/>
    <col min="11" max="11" width="19.42578125" style="82" customWidth="1"/>
    <col min="12" max="12" width="36.85546875" style="82" customWidth="1"/>
    <col min="13" max="17" width="13" style="82" customWidth="1"/>
    <col min="18" max="18" width="11.5703125" style="82" bestFit="1" customWidth="1"/>
    <col min="19" max="16384" width="9.140625" style="82"/>
  </cols>
  <sheetData>
    <row r="1" spans="2:18" ht="15.75" thickBot="1" x14ac:dyDescent="0.3"/>
    <row r="2" spans="2:18" ht="15.75" thickBot="1" x14ac:dyDescent="0.3">
      <c r="B2" s="124" t="s">
        <v>35</v>
      </c>
      <c r="C2" s="125"/>
      <c r="D2" s="124">
        <v>2010</v>
      </c>
      <c r="E2" s="126">
        <v>2011</v>
      </c>
      <c r="F2" s="126">
        <v>2012</v>
      </c>
      <c r="G2" s="126">
        <v>2013</v>
      </c>
      <c r="H2" s="125">
        <v>2014</v>
      </c>
      <c r="I2" s="127" t="s">
        <v>36</v>
      </c>
      <c r="L2" s="128" t="s">
        <v>37</v>
      </c>
      <c r="M2" s="129" t="s">
        <v>9</v>
      </c>
      <c r="N2" s="129" t="s">
        <v>10</v>
      </c>
      <c r="O2" s="129" t="s">
        <v>11</v>
      </c>
      <c r="P2" s="129" t="s">
        <v>12</v>
      </c>
      <c r="Q2" s="129" t="s">
        <v>31</v>
      </c>
      <c r="R2" s="130" t="s">
        <v>16</v>
      </c>
    </row>
    <row r="3" spans="2:18" ht="15.75" thickBot="1" x14ac:dyDescent="0.3">
      <c r="B3" s="131" t="s">
        <v>0</v>
      </c>
      <c r="C3" s="132" t="s">
        <v>25</v>
      </c>
      <c r="D3" s="18">
        <f>'[1]SD 5. Operational data'!H41</f>
        <v>149171</v>
      </c>
      <c r="E3" s="19">
        <f>'[1]SD 5. Operational data'!I41</f>
        <v>152911</v>
      </c>
      <c r="F3" s="19">
        <f>'[1]SD 5. Operational data'!J41</f>
        <v>156926</v>
      </c>
      <c r="G3" s="19">
        <f>'[1]SD 5. Operational data'!K41</f>
        <v>160773</v>
      </c>
      <c r="H3" s="20">
        <f>'[1]SD 5. Operational data'!L41</f>
        <v>163001</v>
      </c>
      <c r="I3" s="133"/>
      <c r="L3" s="169" t="s">
        <v>63</v>
      </c>
      <c r="M3" s="170">
        <f>'[2]Constrained Meter Pricing'!B12</f>
        <v>712615.5</v>
      </c>
      <c r="N3" s="170">
        <f>'[2]Constrained Meter Pricing'!C12</f>
        <v>726651.5</v>
      </c>
      <c r="O3" s="170">
        <f>'[2]Constrained Meter Pricing'!D12</f>
        <v>740938.5</v>
      </c>
      <c r="P3" s="170">
        <f>'[2]Constrained Meter Pricing'!E12</f>
        <v>755407.5</v>
      </c>
      <c r="Q3" s="170">
        <f>'[2]Constrained Meter Pricing'!F12</f>
        <v>770002.5</v>
      </c>
      <c r="R3" s="171">
        <f t="shared" ref="R3" si="0">AVERAGE(M3:Q3)</f>
        <v>741123.1</v>
      </c>
    </row>
    <row r="4" spans="2:18" x14ac:dyDescent="0.25">
      <c r="B4" s="134"/>
      <c r="C4" s="117" t="s">
        <v>26</v>
      </c>
      <c r="D4" s="21">
        <f>'[1]SD 5. Operational data'!H42</f>
        <v>14060</v>
      </c>
      <c r="E4" s="22">
        <f>'[1]SD 5. Operational data'!I42</f>
        <v>14318</v>
      </c>
      <c r="F4" s="22">
        <f>'[1]SD 5. Operational data'!J42</f>
        <v>14449</v>
      </c>
      <c r="G4" s="22">
        <f>'[1]SD 5. Operational data'!K42</f>
        <v>14663</v>
      </c>
      <c r="H4" s="23">
        <f>'[1]SD 5. Operational data'!L42</f>
        <v>13859</v>
      </c>
      <c r="I4" s="135"/>
    </row>
    <row r="5" spans="2:18" ht="15.75" thickBot="1" x14ac:dyDescent="0.3">
      <c r="B5" s="136"/>
      <c r="C5" s="137" t="s">
        <v>17</v>
      </c>
      <c r="D5" s="138">
        <f t="shared" ref="D5:G5" si="1">SUM(D3:D4)</f>
        <v>163231</v>
      </c>
      <c r="E5" s="139">
        <f t="shared" si="1"/>
        <v>167229</v>
      </c>
      <c r="F5" s="139">
        <f t="shared" si="1"/>
        <v>171375</v>
      </c>
      <c r="G5" s="139">
        <f t="shared" si="1"/>
        <v>175436</v>
      </c>
      <c r="H5" s="140">
        <f t="shared" ref="H5" si="2">SUM(H3:H4)</f>
        <v>176860</v>
      </c>
      <c r="I5" s="141">
        <f>AVERAGE(D5:H5)</f>
        <v>170826.2</v>
      </c>
    </row>
    <row r="6" spans="2:18" x14ac:dyDescent="0.25">
      <c r="B6" s="131" t="s">
        <v>1</v>
      </c>
      <c r="C6" s="132" t="s">
        <v>25</v>
      </c>
      <c r="D6" s="18">
        <f>'[1]SD 5. Operational data'!Q41</f>
        <v>1417555.6154793582</v>
      </c>
      <c r="E6" s="19">
        <f>'[1]SD 5. Operational data'!R41</f>
        <v>1426775.9237190196</v>
      </c>
      <c r="F6" s="19">
        <f>'[1]SD 5. Operational data'!S41</f>
        <v>1437057.0898190825</v>
      </c>
      <c r="G6" s="19">
        <f>'[1]SD 5. Operational data'!T41</f>
        <v>1448242.2040933988</v>
      </c>
      <c r="H6" s="20">
        <f>'[1]SD 5. Operational data'!U41</f>
        <v>1463205.1491284599</v>
      </c>
      <c r="I6" s="133"/>
    </row>
    <row r="7" spans="2:18" x14ac:dyDescent="0.25">
      <c r="B7" s="134"/>
      <c r="C7" s="117" t="s">
        <v>26</v>
      </c>
      <c r="D7" s="21">
        <f>'[1]SD 5. Operational data'!Q42</f>
        <v>140921.38452064188</v>
      </c>
      <c r="E7" s="22">
        <f>'[1]SD 5. Operational data'!R42</f>
        <v>144263.57628098055</v>
      </c>
      <c r="F7" s="22">
        <f>'[1]SD 5. Operational data'!S42</f>
        <v>146950.91018091756</v>
      </c>
      <c r="G7" s="22">
        <f>'[1]SD 5. Operational data'!T42</f>
        <v>147837.29590660121</v>
      </c>
      <c r="H7" s="23">
        <f>'[1]SD 5. Operational data'!U42</f>
        <v>148959.35087154014</v>
      </c>
      <c r="I7" s="135"/>
    </row>
    <row r="8" spans="2:18" ht="15.75" thickBot="1" x14ac:dyDescent="0.3">
      <c r="B8" s="136"/>
      <c r="C8" s="137" t="s">
        <v>17</v>
      </c>
      <c r="D8" s="138">
        <f t="shared" ref="D8:G8" si="3">SUM(D6:D7)</f>
        <v>1558477</v>
      </c>
      <c r="E8" s="139">
        <f t="shared" si="3"/>
        <v>1571039.5000000002</v>
      </c>
      <c r="F8" s="139">
        <f t="shared" si="3"/>
        <v>1584008</v>
      </c>
      <c r="G8" s="139">
        <f t="shared" si="3"/>
        <v>1596079.5</v>
      </c>
      <c r="H8" s="140">
        <f t="shared" ref="H8" si="4">SUM(H6:H7)</f>
        <v>1612164.5</v>
      </c>
      <c r="I8" s="141">
        <f>AVERAGE(D8:H8)</f>
        <v>1584353.7</v>
      </c>
    </row>
    <row r="9" spans="2:18" x14ac:dyDescent="0.25">
      <c r="B9" s="131" t="s">
        <v>15</v>
      </c>
      <c r="C9" s="132" t="s">
        <v>25</v>
      </c>
      <c r="D9" s="18">
        <f>'[1]SD 5. Operational data'!AI41</f>
        <v>783921</v>
      </c>
      <c r="E9" s="19">
        <f>'[1]SD 5. Operational data'!AJ41</f>
        <v>791909</v>
      </c>
      <c r="F9" s="19">
        <f>'[1]SD 5. Operational data'!AK41</f>
        <v>799804.5</v>
      </c>
      <c r="G9" s="19">
        <f>'[1]SD 5. Operational data'!AL41</f>
        <v>813233.5</v>
      </c>
      <c r="H9" s="20">
        <f>'[1]SD 5. Operational data'!AM41</f>
        <v>830657.5</v>
      </c>
      <c r="I9" s="142"/>
    </row>
    <row r="10" spans="2:18" x14ac:dyDescent="0.25">
      <c r="B10" s="134"/>
      <c r="C10" s="117" t="s">
        <v>26</v>
      </c>
      <c r="D10" s="21">
        <f>'[1]SD 5. Operational data'!AI42</f>
        <v>75301</v>
      </c>
      <c r="E10" s="22">
        <f>'[1]SD 5. Operational data'!AJ42</f>
        <v>75836.5</v>
      </c>
      <c r="F10" s="22">
        <f>'[1]SD 5. Operational data'!AK42</f>
        <v>76268.5</v>
      </c>
      <c r="G10" s="22">
        <f>'[1]SD 5. Operational data'!AL42</f>
        <v>78077.5</v>
      </c>
      <c r="H10" s="23">
        <f>'[1]SD 5. Operational data'!AM42</f>
        <v>79876</v>
      </c>
      <c r="I10" s="143"/>
    </row>
    <row r="11" spans="2:18" ht="15.75" thickBot="1" x14ac:dyDescent="0.3">
      <c r="B11" s="136"/>
      <c r="C11" s="137" t="s">
        <v>17</v>
      </c>
      <c r="D11" s="138">
        <f t="shared" ref="D11:G11" si="5">SUM(D9:D10)</f>
        <v>859222</v>
      </c>
      <c r="E11" s="139">
        <f t="shared" si="5"/>
        <v>867745.5</v>
      </c>
      <c r="F11" s="139">
        <f t="shared" si="5"/>
        <v>876073</v>
      </c>
      <c r="G11" s="139">
        <f t="shared" si="5"/>
        <v>891311</v>
      </c>
      <c r="H11" s="140">
        <f t="shared" ref="H11" si="6">SUM(H9:H10)</f>
        <v>910533.5</v>
      </c>
      <c r="I11" s="144">
        <f>AVERAGE(D11:H11)</f>
        <v>880977</v>
      </c>
    </row>
    <row r="12" spans="2:18" x14ac:dyDescent="0.25">
      <c r="B12" s="131" t="s">
        <v>2</v>
      </c>
      <c r="C12" s="132" t="s">
        <v>25</v>
      </c>
      <c r="D12" s="18">
        <f>'[1]SD 5. Operational data'!AR41</f>
        <v>1186163.9246432728</v>
      </c>
      <c r="E12" s="19">
        <f>'[1]SD 5. Operational data'!AS41</f>
        <v>1204327.3619327578</v>
      </c>
      <c r="F12" s="19">
        <f>'[1]SD 5. Operational data'!AT41</f>
        <v>1220643.9824545288</v>
      </c>
      <c r="G12" s="19">
        <f>'[1]SD 5. Operational data'!AU41</f>
        <v>1236600.7267132096</v>
      </c>
      <c r="H12" s="20">
        <f>'[1]SD 5. Operational data'!AV41</f>
        <v>1251769</v>
      </c>
      <c r="I12" s="142"/>
    </row>
    <row r="13" spans="2:18" x14ac:dyDescent="0.25">
      <c r="B13" s="134"/>
      <c r="C13" s="117" t="s">
        <v>26</v>
      </c>
      <c r="D13" s="21">
        <f>'[1]SD 5. Operational data'!AR42</f>
        <v>111087.48426113051</v>
      </c>
      <c r="E13" s="22">
        <f>'[1]SD 5. Operational data'!AS42</f>
        <v>110836.98355686202</v>
      </c>
      <c r="F13" s="22">
        <f>'[1]SD 5. Operational data'!AT42</f>
        <v>110993.19584787801</v>
      </c>
      <c r="G13" s="22">
        <f>'[1]SD 5. Operational data'!AU42</f>
        <v>110126.40391328311</v>
      </c>
      <c r="H13" s="23">
        <f>'[1]SD 5. Operational data'!AV42</f>
        <v>111072</v>
      </c>
      <c r="I13" s="143"/>
    </row>
    <row r="14" spans="2:18" ht="15.75" thickBot="1" x14ac:dyDescent="0.3">
      <c r="B14" s="136"/>
      <c r="C14" s="137" t="s">
        <v>17</v>
      </c>
      <c r="D14" s="138">
        <f t="shared" ref="D14:G14" si="7">SUM(D12:D13)</f>
        <v>1297251.4089044032</v>
      </c>
      <c r="E14" s="139">
        <f t="shared" si="7"/>
        <v>1315164.3454896198</v>
      </c>
      <c r="F14" s="139">
        <f t="shared" si="7"/>
        <v>1331637.1783024068</v>
      </c>
      <c r="G14" s="139">
        <f t="shared" si="7"/>
        <v>1346727.1306264927</v>
      </c>
      <c r="H14" s="140">
        <f t="shared" ref="H14" si="8">SUM(H12:H13)</f>
        <v>1362841</v>
      </c>
      <c r="I14" s="144">
        <f>AVERAGE(D14:H14)</f>
        <v>1330724.2126645844</v>
      </c>
    </row>
    <row r="15" spans="2:18" x14ac:dyDescent="0.25">
      <c r="B15" s="131" t="s">
        <v>22</v>
      </c>
      <c r="C15" s="132" t="s">
        <v>25</v>
      </c>
      <c r="D15" s="18">
        <f>'[1]SD 5. Operational data'!BA41</f>
        <v>570854</v>
      </c>
      <c r="E15" s="19">
        <f>'[1]SD 5. Operational data'!BB41</f>
        <v>577958</v>
      </c>
      <c r="F15" s="19">
        <f>'[1]SD 5. Operational data'!BC41</f>
        <v>585538</v>
      </c>
      <c r="G15" s="19">
        <f>'[1]SD 5. Operational data'!BD41</f>
        <v>595439</v>
      </c>
      <c r="H15" s="20">
        <f>'[1]SD 5. Operational data'!BE41</f>
        <v>607276</v>
      </c>
      <c r="I15" s="20"/>
    </row>
    <row r="16" spans="2:18" x14ac:dyDescent="0.25">
      <c r="B16" s="134"/>
      <c r="C16" s="117" t="s">
        <v>26</v>
      </c>
      <c r="D16" s="21">
        <f>'[1]SD 5. Operational data'!BA42</f>
        <v>98313</v>
      </c>
      <c r="E16" s="22">
        <f>'[1]SD 5. Operational data'!BB42</f>
        <v>102414</v>
      </c>
      <c r="F16" s="22">
        <f>'[1]SD 5. Operational data'!BC42</f>
        <v>104717</v>
      </c>
      <c r="G16" s="22">
        <f>'[1]SD 5. Operational data'!BD42</f>
        <v>105724</v>
      </c>
      <c r="H16" s="23">
        <f>'[1]SD 5. Operational data'!BE42</f>
        <v>105435</v>
      </c>
      <c r="I16" s="23"/>
    </row>
    <row r="17" spans="2:9" ht="15.75" thickBot="1" x14ac:dyDescent="0.3">
      <c r="B17" s="136"/>
      <c r="C17" s="137" t="s">
        <v>17</v>
      </c>
      <c r="D17" s="138">
        <f t="shared" ref="D17:G17" si="9">SUM(D15:D16)</f>
        <v>669167</v>
      </c>
      <c r="E17" s="139">
        <f t="shared" si="9"/>
        <v>680372</v>
      </c>
      <c r="F17" s="139">
        <f t="shared" si="9"/>
        <v>690255</v>
      </c>
      <c r="G17" s="139">
        <f t="shared" si="9"/>
        <v>701163</v>
      </c>
      <c r="H17" s="140">
        <f t="shared" ref="H17" si="10">SUM(H15:H16)</f>
        <v>712711</v>
      </c>
      <c r="I17" s="144">
        <f>AVERAGE(D17:H17)</f>
        <v>690733.6</v>
      </c>
    </row>
    <row r="18" spans="2:9" x14ac:dyDescent="0.25">
      <c r="B18" s="131" t="s">
        <v>14</v>
      </c>
      <c r="C18" s="132" t="s">
        <v>25</v>
      </c>
      <c r="D18" s="18">
        <f>'[1]SD 5. Operational data'!BJ41</f>
        <v>691209</v>
      </c>
      <c r="E18" s="19">
        <f>'[1]SD 5. Operational data'!BK41</f>
        <v>699303</v>
      </c>
      <c r="F18" s="19">
        <f>'[1]SD 5. Operational data'!BL41</f>
        <v>703529</v>
      </c>
      <c r="G18" s="19">
        <f>'[1]SD 5. Operational data'!BM41</f>
        <v>707207</v>
      </c>
      <c r="H18" s="20">
        <f>'[1]SD 5. Operational data'!BN41</f>
        <v>715400</v>
      </c>
      <c r="I18" s="20"/>
    </row>
    <row r="19" spans="2:9" x14ac:dyDescent="0.25">
      <c r="B19" s="134"/>
      <c r="C19" s="117" t="s">
        <v>26</v>
      </c>
      <c r="D19" s="21">
        <f>'[1]SD 5. Operational data'!BJ42</f>
        <v>90495</v>
      </c>
      <c r="E19" s="22">
        <f>'[1]SD 5. Operational data'!BK42</f>
        <v>90886</v>
      </c>
      <c r="F19" s="22">
        <f>'[1]SD 5. Operational data'!BL42</f>
        <v>90445</v>
      </c>
      <c r="G19" s="22">
        <f>'[1]SD 5. Operational data'!BM42</f>
        <v>90737</v>
      </c>
      <c r="H19" s="23">
        <f>'[1]SD 5. Operational data'!BN42</f>
        <v>91792</v>
      </c>
      <c r="I19" s="23"/>
    </row>
    <row r="20" spans="2:9" ht="15.75" thickBot="1" x14ac:dyDescent="0.3">
      <c r="B20" s="136"/>
      <c r="C20" s="137" t="s">
        <v>17</v>
      </c>
      <c r="D20" s="138">
        <f t="shared" ref="D20:G20" si="11">SUM(D18:D19)</f>
        <v>781704</v>
      </c>
      <c r="E20" s="139">
        <f t="shared" si="11"/>
        <v>790189</v>
      </c>
      <c r="F20" s="139">
        <f t="shared" si="11"/>
        <v>793974</v>
      </c>
      <c r="G20" s="139">
        <f t="shared" si="11"/>
        <v>797944</v>
      </c>
      <c r="H20" s="140">
        <f t="shared" ref="H20" si="12">SUM(H18:H19)</f>
        <v>807192</v>
      </c>
      <c r="I20" s="144">
        <f>AVERAGE(D20:H20)</f>
        <v>794200.6</v>
      </c>
    </row>
    <row r="21" spans="2:9" x14ac:dyDescent="0.25">
      <c r="B21" s="145" t="s">
        <v>38</v>
      </c>
      <c r="C21" s="132" t="s">
        <v>25</v>
      </c>
      <c r="D21" s="18">
        <f>'[1]SD 5. Operational data'!CK41</f>
        <v>722673</v>
      </c>
      <c r="E21" s="19">
        <f>'[1]SD 5. Operational data'!CL41</f>
        <v>732016</v>
      </c>
      <c r="F21" s="19">
        <f>'[1]SD 5. Operational data'!CM41</f>
        <v>740569</v>
      </c>
      <c r="G21" s="19">
        <f>'[1]SD 5. Operational data'!CN41</f>
        <v>744732</v>
      </c>
      <c r="H21" s="20">
        <f>'[1]SD 5. Operational data'!CO41</f>
        <v>749228.47</v>
      </c>
      <c r="I21" s="20"/>
    </row>
    <row r="22" spans="2:9" x14ac:dyDescent="0.25">
      <c r="B22" s="134"/>
      <c r="C22" s="117" t="s">
        <v>26</v>
      </c>
      <c r="D22" s="21">
        <f>'[1]SD 5. Operational data'!CK42</f>
        <v>100931</v>
      </c>
      <c r="E22" s="22">
        <f>'[1]SD 5. Operational data'!CL42</f>
        <v>98785</v>
      </c>
      <c r="F22" s="22">
        <f>'[1]SD 5. Operational data'!CM42</f>
        <v>97924</v>
      </c>
      <c r="G22" s="22">
        <f>'[1]SD 5. Operational data'!CN42</f>
        <v>97110</v>
      </c>
      <c r="H22" s="23">
        <f>'[1]SD 5. Operational data'!CO42</f>
        <v>96092.34</v>
      </c>
      <c r="I22" s="23"/>
    </row>
    <row r="23" spans="2:9" ht="15.75" thickBot="1" x14ac:dyDescent="0.3">
      <c r="B23" s="136"/>
      <c r="C23" s="137" t="s">
        <v>17</v>
      </c>
      <c r="D23" s="138">
        <f t="shared" ref="D23:G23" si="13">SUM(D21:D22)</f>
        <v>823604</v>
      </c>
      <c r="E23" s="139">
        <f t="shared" si="13"/>
        <v>830801</v>
      </c>
      <c r="F23" s="139">
        <f t="shared" si="13"/>
        <v>838493</v>
      </c>
      <c r="G23" s="139">
        <f t="shared" si="13"/>
        <v>841842</v>
      </c>
      <c r="H23" s="140">
        <f t="shared" ref="H23" si="14">SUM(H21:H22)</f>
        <v>845320.80999999994</v>
      </c>
      <c r="I23" s="144">
        <f>AVERAGE(D23:H23)</f>
        <v>836012.16200000001</v>
      </c>
    </row>
    <row r="24" spans="2:9" x14ac:dyDescent="0.25">
      <c r="B24" s="134" t="s">
        <v>20</v>
      </c>
      <c r="C24" s="117" t="s">
        <v>25</v>
      </c>
      <c r="D24" s="21">
        <f>'[1]SD 5. Operational data'!DC41</f>
        <v>230791.78345563679</v>
      </c>
      <c r="E24" s="22">
        <f>'[1]SD 5. Operational data'!DD41</f>
        <v>235265.92118729648</v>
      </c>
      <c r="F24" s="22">
        <f>'[1]SD 5. Operational data'!DE41</f>
        <v>236621.85978373574</v>
      </c>
      <c r="G24" s="22">
        <f>'[1]SD 5. Operational data'!DF41</f>
        <v>237022.1995116492</v>
      </c>
      <c r="H24" s="23">
        <f>'[1]SD 5. Operational data'!DG41</f>
        <v>235170</v>
      </c>
      <c r="I24" s="23"/>
    </row>
    <row r="25" spans="2:9" x14ac:dyDescent="0.25">
      <c r="B25" s="134"/>
      <c r="C25" s="117" t="s">
        <v>26</v>
      </c>
      <c r="D25" s="21">
        <f>'[1]SD 5. Operational data'!DC42</f>
        <v>38927.238566229978</v>
      </c>
      <c r="E25" s="22">
        <f>'[1]SD 5. Operational data'!DD42</f>
        <v>39664.078812703527</v>
      </c>
      <c r="F25" s="22">
        <f>'[1]SD 5. Operational data'!DE42</f>
        <v>40829.140216264263</v>
      </c>
      <c r="G25" s="22">
        <f>'[1]SD 5. Operational data'!DF42</f>
        <v>41870.800488350797</v>
      </c>
      <c r="H25" s="23">
        <f>'[1]SD 5. Operational data'!DG42</f>
        <v>41375</v>
      </c>
      <c r="I25" s="23"/>
    </row>
    <row r="26" spans="2:9" ht="15.75" thickBot="1" x14ac:dyDescent="0.3">
      <c r="B26" s="136"/>
      <c r="C26" s="137" t="s">
        <v>17</v>
      </c>
      <c r="D26" s="138">
        <f t="shared" ref="D26:G26" si="15">SUM(D24:D25)</f>
        <v>269719.02202186675</v>
      </c>
      <c r="E26" s="139">
        <f t="shared" si="15"/>
        <v>274930</v>
      </c>
      <c r="F26" s="139">
        <f t="shared" si="15"/>
        <v>277451</v>
      </c>
      <c r="G26" s="139">
        <f t="shared" si="15"/>
        <v>278893</v>
      </c>
      <c r="H26" s="140">
        <f t="shared" ref="H26" si="16">SUM(H24:H25)</f>
        <v>276545</v>
      </c>
      <c r="I26" s="144">
        <f>AVERAGE(D26:H26)</f>
        <v>275507.60440437339</v>
      </c>
    </row>
    <row r="28" spans="2:9" x14ac:dyDescent="0.25">
      <c r="C28" s="83" t="s">
        <v>27</v>
      </c>
      <c r="D28" s="82" t="s">
        <v>87</v>
      </c>
    </row>
    <row r="30" spans="2:9" ht="15.75" thickBot="1" x14ac:dyDescent="0.3"/>
    <row r="31" spans="2:9" ht="30.75" thickBot="1" x14ac:dyDescent="0.3">
      <c r="C31" s="146" t="s">
        <v>24</v>
      </c>
      <c r="D31" s="147">
        <v>2010</v>
      </c>
      <c r="E31" s="148">
        <v>2011</v>
      </c>
      <c r="F31" s="148">
        <v>2012</v>
      </c>
      <c r="G31" s="148">
        <v>2013</v>
      </c>
      <c r="H31" s="149">
        <v>2014</v>
      </c>
      <c r="I31" s="150" t="s">
        <v>16</v>
      </c>
    </row>
    <row r="32" spans="2:9" x14ac:dyDescent="0.25">
      <c r="C32" s="151" t="s">
        <v>18</v>
      </c>
      <c r="D32" s="152">
        <f>'[1]SD 8.Operating Environment'!H5</f>
        <v>42.211287846169675</v>
      </c>
      <c r="E32" s="153">
        <f>'[1]SD 8.Operating Environment'!I5</f>
        <v>42.705332523061891</v>
      </c>
      <c r="F32" s="153">
        <f>'[1]SD 8.Operating Environment'!J5</f>
        <v>43.132467227135201</v>
      </c>
      <c r="G32" s="153">
        <f>'[1]SD 8.Operating Environment'!K5</f>
        <v>43.372820042008662</v>
      </c>
      <c r="H32" s="154">
        <f>'[1]SD 5. Operational data'!$L$54/'[1]SD 8.Operating Environment'!$L$24</f>
        <v>43.719667661047929</v>
      </c>
      <c r="I32" s="155">
        <f>AVERAGE(D32:H32)</f>
        <v>43.028315059884676</v>
      </c>
    </row>
    <row r="33" spans="3:24" x14ac:dyDescent="0.25">
      <c r="C33" s="156" t="s">
        <v>1</v>
      </c>
      <c r="D33" s="157">
        <f>'[1]SD 8.Operating Environment'!Q5</f>
        <v>44.707759972118708</v>
      </c>
      <c r="E33" s="158">
        <f>'[1]SD 8.Operating Environment'!R5</f>
        <v>44.436836974942466</v>
      </c>
      <c r="F33" s="158">
        <f>'[1]SD 8.Operating Environment'!S5</f>
        <v>44.295999138804959</v>
      </c>
      <c r="G33" s="158">
        <f>'[1]SD 8.Operating Environment'!T5</f>
        <v>44.248482731711306</v>
      </c>
      <c r="H33" s="159">
        <f>'[1]SD 8.Operating Environment'!U5</f>
        <v>44.23</v>
      </c>
      <c r="I33" s="160">
        <f t="shared" ref="I33:I39" si="17">AVERAGE(D33:H33)</f>
        <v>44.383815763515486</v>
      </c>
    </row>
    <row r="34" spans="3:24" x14ac:dyDescent="0.25">
      <c r="C34" s="156" t="s">
        <v>15</v>
      </c>
      <c r="D34" s="157">
        <f>'[1]SD 8.Operating Environment'!AI5</f>
        <v>33.098286287678462</v>
      </c>
      <c r="E34" s="158">
        <f>'[1]SD 8.Operating Environment'!AJ5</f>
        <v>33.088059892731223</v>
      </c>
      <c r="F34" s="158">
        <f>'[1]SD 8.Operating Environment'!AK5</f>
        <v>33.043512968587102</v>
      </c>
      <c r="G34" s="158">
        <f>'[1]SD 8.Operating Environment'!AL5</f>
        <v>33.154640929347927</v>
      </c>
      <c r="H34" s="159">
        <f>'[1]SD 8.Operating Environment'!AM5</f>
        <v>33.464880740477035</v>
      </c>
      <c r="I34" s="160">
        <f t="shared" si="17"/>
        <v>33.16987616376435</v>
      </c>
    </row>
    <row r="35" spans="3:24" x14ac:dyDescent="0.25">
      <c r="C35" s="156" t="s">
        <v>2</v>
      </c>
      <c r="D35" s="157">
        <f>'[1]SD 8.Operating Environment'!AR5</f>
        <v>31.789996191031904</v>
      </c>
      <c r="E35" s="158">
        <f>'[1]SD 8.Operating Environment'!AS5</f>
        <v>31.820468229029242</v>
      </c>
      <c r="F35" s="158">
        <f>'[1]SD 8.Operating Environment'!AT5</f>
        <v>31.861740717909811</v>
      </c>
      <c r="G35" s="158">
        <f>'[1]SD 8.Operating Environment'!AU5</f>
        <v>31.927853570338367</v>
      </c>
      <c r="H35" s="159">
        <f>'[1]SD 8.Operating Environment'!AV5</f>
        <v>32.130000000000003</v>
      </c>
      <c r="I35" s="160">
        <f>AVERAGE(D35:H35)</f>
        <v>31.906011741661864</v>
      </c>
    </row>
    <row r="36" spans="3:24" x14ac:dyDescent="0.25">
      <c r="C36" s="156" t="s">
        <v>19</v>
      </c>
      <c r="D36" s="157">
        <f>'[1]SD 8.Operating Environment'!BA5</f>
        <v>4.7779999999999996</v>
      </c>
      <c r="E36" s="158">
        <f>'[1]SD 8.Operating Environment'!BB5</f>
        <v>4.875</v>
      </c>
      <c r="F36" s="158">
        <f>'[1]SD 8.Operating Environment'!BC5</f>
        <v>4.91</v>
      </c>
      <c r="G36" s="158">
        <f>'[1]SD 8.Operating Environment'!BD5</f>
        <v>5.0229999999999997</v>
      </c>
      <c r="H36" s="159">
        <f>'[1]SD 8.Operating Environment'!BE5</f>
        <v>5.0895875233456795</v>
      </c>
      <c r="I36" s="161">
        <f t="shared" si="17"/>
        <v>4.9351175046691349</v>
      </c>
      <c r="S36" s="22"/>
      <c r="T36" s="22"/>
      <c r="U36" s="22"/>
      <c r="V36" s="22"/>
      <c r="W36" s="22"/>
    </row>
    <row r="37" spans="3:24" x14ac:dyDescent="0.25">
      <c r="C37" s="156" t="s">
        <v>14</v>
      </c>
      <c r="D37" s="157">
        <f>'[1]SD 8.Operating Environment'!BJ5</f>
        <v>4.5661013287522199</v>
      </c>
      <c r="E37" s="158">
        <f>'[1]SD 8.Operating Environment'!BK5</f>
        <v>4.626802111520206</v>
      </c>
      <c r="F37" s="158">
        <f>'[1]SD 8.Operating Environment'!BL5</f>
        <v>4.6469548155374243</v>
      </c>
      <c r="G37" s="158">
        <f>'[1]SD 8.Operating Environment'!BM5</f>
        <v>4.6710154309204883</v>
      </c>
      <c r="H37" s="159">
        <f>'[1]SD 8.Operating Environment'!BN5</f>
        <v>4.9104486792207709</v>
      </c>
      <c r="I37" s="161">
        <f t="shared" si="17"/>
        <v>4.6842644731902219</v>
      </c>
      <c r="S37" s="22"/>
      <c r="T37" s="22"/>
      <c r="U37" s="22"/>
      <c r="V37" s="22"/>
      <c r="W37" s="22"/>
    </row>
    <row r="38" spans="3:24" x14ac:dyDescent="0.25">
      <c r="C38" s="156" t="s">
        <v>23</v>
      </c>
      <c r="D38" s="157">
        <f>'[1]SD 8.Operating Environment'!CK5</f>
        <v>10.167826144870579</v>
      </c>
      <c r="E38" s="158">
        <f>'[1]SD 8.Operating Environment'!CL5</f>
        <v>10.316871930776687</v>
      </c>
      <c r="F38" s="158">
        <f>'[1]SD 8.Operating Environment'!CM5</f>
        <v>10.404777308378002</v>
      </c>
      <c r="G38" s="158">
        <f>'[1]SD 8.Operating Environment'!CN5</f>
        <v>10.448574633028088</v>
      </c>
      <c r="H38" s="159">
        <f>'[1]SD 8.Operating Environment'!CO5</f>
        <v>10.48934768419886</v>
      </c>
      <c r="I38" s="160">
        <f t="shared" si="17"/>
        <v>10.365479540250444</v>
      </c>
    </row>
    <row r="39" spans="3:24" ht="15.75" thickBot="1" x14ac:dyDescent="0.3">
      <c r="C39" s="162" t="s">
        <v>20</v>
      </c>
      <c r="D39" s="163">
        <f>'[1]SD 8.Operating Environment'!DC5</f>
        <v>12.85</v>
      </c>
      <c r="E39" s="164">
        <f>'[1]SD 8.Operating Environment'!DD5</f>
        <v>12.89</v>
      </c>
      <c r="F39" s="164">
        <f>'[1]SD 8.Operating Environment'!DE5</f>
        <v>12.9</v>
      </c>
      <c r="G39" s="164">
        <f>'[1]SD 8.Operating Environment'!DF5</f>
        <v>12.9</v>
      </c>
      <c r="H39" s="165">
        <f>'[1]SD 8.Operating Environment'!DG5</f>
        <v>15.454306802917047</v>
      </c>
      <c r="I39" s="166">
        <f t="shared" si="17"/>
        <v>13.39886136058341</v>
      </c>
      <c r="X39" s="167"/>
    </row>
    <row r="40" spans="3:24" x14ac:dyDescent="0.25">
      <c r="C40" s="82"/>
    </row>
    <row r="41" spans="3:24" x14ac:dyDescent="0.25">
      <c r="C41" s="83" t="s">
        <v>27</v>
      </c>
      <c r="D41" s="82" t="s">
        <v>86</v>
      </c>
    </row>
    <row r="43" spans="3:24" x14ac:dyDescent="0.25">
      <c r="D43" s="168"/>
      <c r="E43" s="168"/>
      <c r="F43" s="168"/>
      <c r="G43" s="168"/>
      <c r="H43" s="168"/>
    </row>
    <row r="44" spans="3:24" x14ac:dyDescent="0.25">
      <c r="D44" s="168"/>
      <c r="E44" s="168"/>
      <c r="F44" s="168"/>
      <c r="G44" s="168"/>
      <c r="H44" s="168"/>
    </row>
    <row r="45" spans="3:24" x14ac:dyDescent="0.25">
      <c r="D45" s="168"/>
      <c r="E45" s="168"/>
      <c r="F45" s="168"/>
      <c r="G45" s="168"/>
      <c r="H45" s="168"/>
    </row>
    <row r="46" spans="3:24" x14ac:dyDescent="0.25">
      <c r="D46" s="168"/>
      <c r="E46" s="168"/>
      <c r="F46" s="168"/>
      <c r="G46" s="168"/>
      <c r="H46" s="168"/>
    </row>
    <row r="47" spans="3:24" x14ac:dyDescent="0.25">
      <c r="D47" s="168"/>
      <c r="E47" s="168"/>
      <c r="F47" s="168"/>
      <c r="G47" s="168"/>
      <c r="H47" s="168"/>
    </row>
    <row r="48" spans="3:24" x14ac:dyDescent="0.25">
      <c r="D48" s="168"/>
      <c r="E48" s="168"/>
      <c r="F48" s="168"/>
      <c r="G48" s="168"/>
      <c r="H48" s="168"/>
    </row>
    <row r="49" spans="3:8" x14ac:dyDescent="0.25">
      <c r="D49" s="168"/>
      <c r="E49" s="168"/>
      <c r="F49" s="168"/>
      <c r="G49" s="168"/>
      <c r="H49" s="168"/>
    </row>
    <row r="50" spans="3:8" x14ac:dyDescent="0.25">
      <c r="D50" s="168"/>
      <c r="E50" s="168"/>
      <c r="F50" s="168"/>
      <c r="G50" s="168"/>
      <c r="H50" s="168"/>
    </row>
    <row r="51" spans="3:8" x14ac:dyDescent="0.25">
      <c r="C51" s="82"/>
    </row>
    <row r="52" spans="3:8" x14ac:dyDescent="0.25">
      <c r="D52" s="168"/>
      <c r="E52" s="168"/>
      <c r="F52" s="168"/>
      <c r="G52" s="168"/>
      <c r="H52" s="168"/>
    </row>
    <row r="53" spans="3:8" x14ac:dyDescent="0.25">
      <c r="D53" s="168"/>
      <c r="E53" s="168"/>
      <c r="F53" s="168"/>
      <c r="G53" s="168"/>
      <c r="H53" s="168"/>
    </row>
    <row r="54" spans="3:8" x14ac:dyDescent="0.25">
      <c r="D54" s="168"/>
      <c r="E54" s="168"/>
      <c r="F54" s="168"/>
      <c r="G54" s="168"/>
      <c r="H54" s="168"/>
    </row>
    <row r="55" spans="3:8" x14ac:dyDescent="0.25">
      <c r="D55" s="168"/>
      <c r="E55" s="168"/>
      <c r="F55" s="168"/>
      <c r="G55" s="168"/>
      <c r="H55" s="168"/>
    </row>
    <row r="56" spans="3:8" x14ac:dyDescent="0.25">
      <c r="D56" s="168"/>
      <c r="E56" s="168"/>
      <c r="F56" s="168"/>
      <c r="G56" s="168"/>
      <c r="H56" s="168"/>
    </row>
    <row r="57" spans="3:8" x14ac:dyDescent="0.25">
      <c r="D57" s="168"/>
      <c r="E57" s="168"/>
      <c r="F57" s="168"/>
      <c r="G57" s="168"/>
      <c r="H57" s="168"/>
    </row>
    <row r="58" spans="3:8" x14ac:dyDescent="0.25">
      <c r="D58" s="168"/>
      <c r="E58" s="168"/>
      <c r="F58" s="168"/>
      <c r="G58" s="168"/>
      <c r="H58" s="168"/>
    </row>
    <row r="59" spans="3:8" x14ac:dyDescent="0.25">
      <c r="D59" s="168"/>
      <c r="E59" s="168"/>
      <c r="F59" s="168"/>
      <c r="G59" s="168"/>
      <c r="H59" s="168"/>
    </row>
    <row r="60" spans="3:8" x14ac:dyDescent="0.25">
      <c r="D60" s="168"/>
      <c r="E60" s="168"/>
      <c r="F60" s="168"/>
      <c r="G60" s="168"/>
      <c r="H60" s="168"/>
    </row>
    <row r="61" spans="3:8" x14ac:dyDescent="0.25">
      <c r="D61" s="168"/>
      <c r="E61" s="168"/>
      <c r="F61" s="168"/>
      <c r="G61" s="168"/>
      <c r="H61" s="168"/>
    </row>
    <row r="62" spans="3:8" x14ac:dyDescent="0.25">
      <c r="D62" s="168"/>
      <c r="E62" s="168"/>
      <c r="F62" s="168"/>
      <c r="G62" s="168"/>
      <c r="H62" s="168"/>
    </row>
  </sheetData>
  <mergeCells count="8">
    <mergeCell ref="B21:B23"/>
    <mergeCell ref="B24:B26"/>
    <mergeCell ref="B3:B5"/>
    <mergeCell ref="B6:B8"/>
    <mergeCell ref="B9:B11"/>
    <mergeCell ref="B12:B14"/>
    <mergeCell ref="B15:B17"/>
    <mergeCell ref="B18:B2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34"/>
  <sheetViews>
    <sheetView workbookViewId="0">
      <selection activeCell="F27" sqref="F27"/>
    </sheetView>
  </sheetViews>
  <sheetFormatPr defaultRowHeight="15" x14ac:dyDescent="0.25"/>
  <cols>
    <col min="2" max="2" width="19" customWidth="1"/>
    <col min="3" max="3" width="14.28515625" bestFit="1" customWidth="1"/>
    <col min="4" max="4" width="14.7109375" customWidth="1"/>
    <col min="5" max="7" width="14.28515625" bestFit="1" customWidth="1"/>
    <col min="8" max="8" width="6.140625" customWidth="1"/>
    <col min="9" max="9" width="19.85546875" customWidth="1"/>
    <col min="10" max="14" width="13.28515625" customWidth="1"/>
  </cols>
  <sheetData>
    <row r="1" spans="2:14" ht="15.75" thickBot="1" x14ac:dyDescent="0.3"/>
    <row r="2" spans="2:14" ht="30.75" thickBot="1" x14ac:dyDescent="0.3">
      <c r="B2" s="12" t="s">
        <v>39</v>
      </c>
      <c r="C2" s="13" t="s">
        <v>3</v>
      </c>
      <c r="D2" s="14" t="s">
        <v>4</v>
      </c>
      <c r="E2" s="14" t="s">
        <v>5</v>
      </c>
      <c r="F2" s="14" t="s">
        <v>42</v>
      </c>
      <c r="G2" s="15" t="s">
        <v>7</v>
      </c>
      <c r="I2" s="12" t="s">
        <v>43</v>
      </c>
      <c r="J2" s="13" t="s">
        <v>3</v>
      </c>
      <c r="K2" s="14" t="s">
        <v>4</v>
      </c>
      <c r="L2" s="14" t="s">
        <v>5</v>
      </c>
      <c r="M2" s="14" t="s">
        <v>42</v>
      </c>
      <c r="N2" s="15" t="s">
        <v>7</v>
      </c>
    </row>
    <row r="3" spans="2:14" x14ac:dyDescent="0.25">
      <c r="B3" s="9" t="s">
        <v>18</v>
      </c>
      <c r="C3" s="18">
        <v>1537479.2</v>
      </c>
      <c r="D3" s="19">
        <v>1548166.6700000002</v>
      </c>
      <c r="E3" s="19">
        <v>1810382.6199999999</v>
      </c>
      <c r="F3" s="19">
        <v>1960826.02</v>
      </c>
      <c r="G3" s="20">
        <v>1899552.9200000002</v>
      </c>
      <c r="I3" s="9" t="s">
        <v>18</v>
      </c>
      <c r="J3" s="18">
        <f>'raw base'!C3/CPI!D$8</f>
        <v>1777052.877162491</v>
      </c>
      <c r="K3" s="19">
        <f>'raw base'!D3/CPI!E$8</f>
        <v>1742935.8310369411</v>
      </c>
      <c r="L3" s="19">
        <f>'raw base'!E3/CPI!F$8</f>
        <v>1955632.9655085891</v>
      </c>
      <c r="M3" s="19">
        <f>'raw base'!F3/CPI!G$8</f>
        <v>2094505.0807621777</v>
      </c>
      <c r="N3" s="20">
        <f>'raw base'!G3/CPI!H$8</f>
        <v>1983637.8134109292</v>
      </c>
    </row>
    <row r="4" spans="2:14" x14ac:dyDescent="0.25">
      <c r="B4" s="10" t="s">
        <v>1</v>
      </c>
      <c r="C4" s="21">
        <v>19680842.770000011</v>
      </c>
      <c r="D4" s="22">
        <v>22707578.520000011</v>
      </c>
      <c r="E4" s="22">
        <v>23763867.75</v>
      </c>
      <c r="F4" s="22">
        <v>24184222.239999972</v>
      </c>
      <c r="G4" s="23">
        <v>27734941.370000005</v>
      </c>
      <c r="I4" s="10" t="s">
        <v>1</v>
      </c>
      <c r="J4" s="21">
        <f>'raw base'!C4/CPI!D$8</f>
        <v>22747558.646264046</v>
      </c>
      <c r="K4" s="22">
        <f>'raw base'!D4/CPI!E$8</f>
        <v>25564335.54960385</v>
      </c>
      <c r="L4" s="22">
        <f>'raw base'!E4/CPI!F$8</f>
        <v>25670486.805649087</v>
      </c>
      <c r="M4" s="22">
        <f>'raw base'!F4/CPI!G$8</f>
        <v>25832978.468921784</v>
      </c>
      <c r="N4" s="23">
        <f>'raw base'!G4/CPI!H$8</f>
        <v>28962645.82840215</v>
      </c>
    </row>
    <row r="5" spans="2:14" x14ac:dyDescent="0.25">
      <c r="B5" s="10" t="s">
        <v>62</v>
      </c>
      <c r="C5" s="21">
        <v>16232651.933512041</v>
      </c>
      <c r="D5" s="22">
        <v>13732539.652768856</v>
      </c>
      <c r="E5" s="22">
        <v>14973195.596476588</v>
      </c>
      <c r="F5" s="22">
        <v>16115380.008919068</v>
      </c>
      <c r="G5" s="23">
        <v>18654864.884324621</v>
      </c>
      <c r="I5" s="10" t="s">
        <v>62</v>
      </c>
      <c r="J5" s="21">
        <f>'raw base'!C5/CPI!D$8</f>
        <v>18762062.486715168</v>
      </c>
      <c r="K5" s="22">
        <f>'raw base'!D5/CPI!E$8</f>
        <v>15460180.015338033</v>
      </c>
      <c r="L5" s="22">
        <f>'raw base'!E5/CPI!F$8</f>
        <v>16174522.768826438</v>
      </c>
      <c r="M5" s="22">
        <f>'raw base'!F5/CPI!G$8</f>
        <v>17214043.960460201</v>
      </c>
      <c r="N5" s="23">
        <f>'raw base'!G5/CPI!H$8</f>
        <v>19480634.100269243</v>
      </c>
    </row>
    <row r="6" spans="2:14" x14ac:dyDescent="0.25">
      <c r="B6" s="10" t="s">
        <v>2</v>
      </c>
      <c r="C6" s="21">
        <v>15984977.309999999</v>
      </c>
      <c r="D6" s="22">
        <v>16773926.800000001</v>
      </c>
      <c r="E6" s="22">
        <v>19795418.699999996</v>
      </c>
      <c r="F6" s="22">
        <v>17047601.050000001</v>
      </c>
      <c r="G6" s="23">
        <v>13292043.819999998</v>
      </c>
      <c r="I6" s="10" t="s">
        <v>2</v>
      </c>
      <c r="J6" s="21">
        <f>'raw base'!C6/CPI!D$8</f>
        <v>18475794.612449154</v>
      </c>
      <c r="K6" s="22">
        <f>'raw base'!D6/CPI!E$8</f>
        <v>18884192.9059943</v>
      </c>
      <c r="L6" s="22">
        <f>'raw base'!E6/CPI!F$8</f>
        <v>21383641.749590579</v>
      </c>
      <c r="M6" s="22">
        <f>'raw base'!F6/CPI!G$8</f>
        <v>18209819.050662965</v>
      </c>
      <c r="N6" s="23">
        <f>'raw base'!G6/CPI!H$8</f>
        <v>13880424.420535253</v>
      </c>
    </row>
    <row r="7" spans="2:14" x14ac:dyDescent="0.25">
      <c r="B7" s="10" t="s">
        <v>63</v>
      </c>
      <c r="C7" s="21">
        <v>39028188.680000044</v>
      </c>
      <c r="D7" s="22">
        <v>41276298.039999954</v>
      </c>
      <c r="E7" s="22">
        <v>50629194.530000083</v>
      </c>
      <c r="F7" s="22">
        <v>52052841.569999844</v>
      </c>
      <c r="G7" s="23">
        <v>51912643.640000112</v>
      </c>
      <c r="I7" s="10" t="s">
        <v>63</v>
      </c>
      <c r="J7" s="21">
        <f>'raw base'!C7/CPI!D$8</f>
        <v>45109654.156124286</v>
      </c>
      <c r="K7" s="22">
        <f>'raw base'!D7/CPI!E$8</f>
        <v>46469117.45392102</v>
      </c>
      <c r="L7" s="22">
        <f>'raw base'!E7/CPI!F$8</f>
        <v>54691268.43474409</v>
      </c>
      <c r="M7" s="22">
        <f>'raw base'!F7/CPI!G$8</f>
        <v>55601537.323782235</v>
      </c>
      <c r="N7" s="23">
        <f>'raw base'!G7/CPI!H$8</f>
        <v>54210589.151909806</v>
      </c>
    </row>
    <row r="8" spans="2:14" x14ac:dyDescent="0.25">
      <c r="B8" s="10" t="s">
        <v>64</v>
      </c>
      <c r="C8" s="21">
        <v>32799426.620200191</v>
      </c>
      <c r="D8" s="22">
        <v>38088656.674308561</v>
      </c>
      <c r="E8" s="22">
        <v>41183918.402867831</v>
      </c>
      <c r="F8" s="22">
        <v>43967329.870028593</v>
      </c>
      <c r="G8" s="23">
        <v>45085226.998577438</v>
      </c>
      <c r="I8" s="10" t="s">
        <v>64</v>
      </c>
      <c r="J8" s="21">
        <f>'raw base'!C8/CPI!D$8</f>
        <v>37910311.531178273</v>
      </c>
      <c r="K8" s="22">
        <f>'raw base'!D8/CPI!E$8</f>
        <v>42880450.638894536</v>
      </c>
      <c r="L8" s="22">
        <f>'raw base'!E8/CPI!F$8</f>
        <v>44488180.336963341</v>
      </c>
      <c r="M8" s="22">
        <f>'raw base'!F8/CPI!G$8</f>
        <v>46964796.907540806</v>
      </c>
      <c r="N8" s="23">
        <f>'raw base'!G8/CPI!H$8</f>
        <v>47080952.659425527</v>
      </c>
    </row>
    <row r="9" spans="2:14" x14ac:dyDescent="0.25">
      <c r="B9" s="10" t="s">
        <v>23</v>
      </c>
      <c r="C9" s="21"/>
      <c r="D9" s="22"/>
      <c r="E9" s="22"/>
      <c r="F9" s="22"/>
      <c r="G9" s="23"/>
      <c r="I9" s="10" t="s">
        <v>23</v>
      </c>
      <c r="J9" s="21"/>
      <c r="K9" s="22"/>
      <c r="L9" s="22"/>
      <c r="M9" s="22"/>
      <c r="N9" s="23"/>
    </row>
    <row r="10" spans="2:14" ht="15.75" thickBot="1" x14ac:dyDescent="0.3">
      <c r="B10" s="11" t="s">
        <v>20</v>
      </c>
      <c r="C10" s="24">
        <v>5984900.9574606586</v>
      </c>
      <c r="D10" s="25">
        <v>6597160.9946506023</v>
      </c>
      <c r="E10" s="25">
        <v>6731485.3807986807</v>
      </c>
      <c r="F10" s="25">
        <v>6857059.3657534905</v>
      </c>
      <c r="G10" s="26">
        <v>6083854.4147662492</v>
      </c>
      <c r="I10" s="11" t="s">
        <v>20</v>
      </c>
      <c r="J10" s="24">
        <f>'raw base'!C10/CPI!D$8</f>
        <v>6917482.5038205469</v>
      </c>
      <c r="K10" s="25">
        <f>'raw base'!D10/CPI!E$8</f>
        <v>7427125.5824773954</v>
      </c>
      <c r="L10" s="25">
        <f>'raw base'!E10/CPI!F$8</f>
        <v>7271564.901307459</v>
      </c>
      <c r="M10" s="25">
        <f>'raw base'!F10/CPI!G$8</f>
        <v>7324538.5027370052</v>
      </c>
      <c r="N10" s="26">
        <f>'raw base'!G10/CPI!H$8</f>
        <v>6353160.0206312491</v>
      </c>
    </row>
    <row r="13" spans="2:14" x14ac:dyDescent="0.25">
      <c r="B13" t="s">
        <v>65</v>
      </c>
      <c r="C13" s="17" t="s">
        <v>66</v>
      </c>
      <c r="E13" t="s">
        <v>67</v>
      </c>
    </row>
    <row r="14" spans="2:14" x14ac:dyDescent="0.25">
      <c r="C14" t="s">
        <v>63</v>
      </c>
      <c r="E14" t="s">
        <v>97</v>
      </c>
      <c r="F14" t="s">
        <v>98</v>
      </c>
      <c r="G14" t="s">
        <v>100</v>
      </c>
    </row>
    <row r="15" spans="2:14" x14ac:dyDescent="0.25">
      <c r="C15" s="47"/>
      <c r="D15" s="47"/>
      <c r="F15" t="s">
        <v>99</v>
      </c>
      <c r="G15" t="s">
        <v>101</v>
      </c>
    </row>
    <row r="16" spans="2:14" x14ac:dyDescent="0.25">
      <c r="B16" t="s">
        <v>68</v>
      </c>
      <c r="C16" t="s">
        <v>41</v>
      </c>
      <c r="D16" s="47"/>
    </row>
    <row r="17" spans="3:10" x14ac:dyDescent="0.25">
      <c r="C17" t="s">
        <v>29</v>
      </c>
      <c r="D17" s="3"/>
      <c r="I17" s="47"/>
      <c r="J17" s="47"/>
    </row>
    <row r="18" spans="3:10" x14ac:dyDescent="0.25">
      <c r="C18" t="s">
        <v>21</v>
      </c>
      <c r="D18" s="6"/>
      <c r="E18" s="47"/>
      <c r="F18" s="47"/>
      <c r="G18" s="47"/>
    </row>
    <row r="19" spans="3:10" x14ac:dyDescent="0.25">
      <c r="C19" s="47"/>
      <c r="D19" s="47"/>
      <c r="E19" s="47"/>
      <c r="F19" s="47"/>
      <c r="G19" s="47"/>
    </row>
    <row r="20" spans="3:10" x14ac:dyDescent="0.25">
      <c r="D20" s="68"/>
      <c r="E20" s="68"/>
      <c r="F20" s="68"/>
      <c r="G20" s="68"/>
    </row>
    <row r="21" spans="3:10" x14ac:dyDescent="0.25">
      <c r="E21" s="6"/>
      <c r="F21" s="6"/>
      <c r="G21" s="3"/>
      <c r="H21" s="3"/>
    </row>
    <row r="23" spans="3:10" x14ac:dyDescent="0.25">
      <c r="E23" s="68"/>
      <c r="F23" s="68"/>
      <c r="G23" s="68"/>
    </row>
    <row r="25" spans="3:10" x14ac:dyDescent="0.25">
      <c r="C25" s="68"/>
      <c r="D25" s="68"/>
      <c r="E25" s="68"/>
      <c r="F25" s="68"/>
      <c r="G25" s="68"/>
    </row>
    <row r="26" spans="3:10" x14ac:dyDescent="0.25">
      <c r="C26" s="6"/>
      <c r="D26" s="6"/>
      <c r="E26" s="6"/>
      <c r="F26" s="6"/>
      <c r="G26" s="6"/>
    </row>
    <row r="27" spans="3:10" x14ac:dyDescent="0.25">
      <c r="C27" s="16"/>
      <c r="D27" s="16"/>
      <c r="E27" s="16"/>
      <c r="F27" s="16"/>
      <c r="G27" s="16"/>
    </row>
    <row r="28" spans="3:10" x14ac:dyDescent="0.25">
      <c r="E28" s="68"/>
      <c r="F28" s="68"/>
      <c r="G28" s="68"/>
    </row>
    <row r="33" spans="8:13" x14ac:dyDescent="0.25">
      <c r="I33" s="105"/>
      <c r="J33" s="105"/>
      <c r="K33" s="105"/>
      <c r="L33" s="105"/>
      <c r="M33" s="105"/>
    </row>
    <row r="34" spans="8:13" x14ac:dyDescent="0.25">
      <c r="H34" s="1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N14"/>
  <sheetViews>
    <sheetView workbookViewId="0">
      <selection activeCell="I21" sqref="I21"/>
    </sheetView>
  </sheetViews>
  <sheetFormatPr defaultRowHeight="15" x14ac:dyDescent="0.25"/>
  <cols>
    <col min="1" max="1" width="13" customWidth="1"/>
    <col min="2" max="2" width="35.42578125" customWidth="1"/>
    <col min="3" max="3" width="29.42578125" customWidth="1"/>
    <col min="4" max="7" width="15.5703125" customWidth="1"/>
    <col min="8" max="8" width="16.85546875" customWidth="1"/>
    <col min="9" max="9" width="44.140625" customWidth="1"/>
    <col min="10" max="10" width="16" customWidth="1"/>
    <col min="11" max="11" width="11.28515625" customWidth="1"/>
    <col min="12" max="12" width="11.5703125" customWidth="1"/>
    <col min="13" max="13" width="11.28515625" customWidth="1"/>
    <col min="14" max="14" width="14.28515625" bestFit="1" customWidth="1"/>
    <col min="15" max="15" width="11.5703125" bestFit="1" customWidth="1"/>
  </cols>
  <sheetData>
    <row r="1" spans="1:14" x14ac:dyDescent="0.25">
      <c r="A1" t="s">
        <v>40</v>
      </c>
      <c r="B1" t="s">
        <v>69</v>
      </c>
    </row>
    <row r="2" spans="1:14" x14ac:dyDescent="0.25">
      <c r="B2" t="s">
        <v>88</v>
      </c>
    </row>
    <row r="3" spans="1:14" x14ac:dyDescent="0.25">
      <c r="B3" t="s">
        <v>46</v>
      </c>
    </row>
    <row r="4" spans="1:14" ht="15.75" thickBot="1" x14ac:dyDescent="0.3">
      <c r="I4" s="32"/>
    </row>
    <row r="5" spans="1:14" ht="15.75" thickBot="1" x14ac:dyDescent="0.3">
      <c r="B5" s="29" t="s">
        <v>44</v>
      </c>
      <c r="C5" s="70" t="s">
        <v>72</v>
      </c>
      <c r="D5" s="70" t="s">
        <v>71</v>
      </c>
      <c r="E5" s="70" t="s">
        <v>70</v>
      </c>
      <c r="F5" s="70" t="s">
        <v>42</v>
      </c>
      <c r="G5" s="71" t="s">
        <v>73</v>
      </c>
      <c r="I5" s="29" t="s">
        <v>45</v>
      </c>
      <c r="J5" s="30" t="s">
        <v>72</v>
      </c>
      <c r="K5" s="30" t="s">
        <v>71</v>
      </c>
      <c r="L5" s="30" t="s">
        <v>70</v>
      </c>
      <c r="M5" s="30" t="s">
        <v>42</v>
      </c>
      <c r="N5" s="31" t="s">
        <v>73</v>
      </c>
    </row>
    <row r="6" spans="1:14" x14ac:dyDescent="0.25">
      <c r="B6" s="10" t="s">
        <v>18</v>
      </c>
      <c r="C6" s="18">
        <v>0</v>
      </c>
      <c r="D6" s="19">
        <v>0</v>
      </c>
      <c r="E6" s="19">
        <v>0</v>
      </c>
      <c r="F6" s="19">
        <v>0</v>
      </c>
      <c r="G6" s="20">
        <v>0</v>
      </c>
      <c r="H6" s="6"/>
      <c r="I6" s="10" t="s">
        <v>18</v>
      </c>
      <c r="J6" s="18">
        <f>C6/CPI!D$8</f>
        <v>0</v>
      </c>
      <c r="K6" s="19">
        <f>D6/CPI!E$8</f>
        <v>0</v>
      </c>
      <c r="L6" s="19">
        <f>E6/CPI!F$8</f>
        <v>0</v>
      </c>
      <c r="M6" s="19">
        <f>F6/CPI!G$8</f>
        <v>0</v>
      </c>
      <c r="N6" s="20">
        <f>G6/CPI!H$8</f>
        <v>0</v>
      </c>
    </row>
    <row r="7" spans="1:14" x14ac:dyDescent="0.25">
      <c r="B7" s="10" t="s">
        <v>1</v>
      </c>
      <c r="C7" s="21">
        <v>-4247670.2038341425</v>
      </c>
      <c r="D7" s="22">
        <v>-4090783.3651908548</v>
      </c>
      <c r="E7" s="22">
        <v>-4061257.429511352</v>
      </c>
      <c r="F7" s="22">
        <v>-4509856.4090957101</v>
      </c>
      <c r="G7" s="23">
        <v>-4621727.4371269243</v>
      </c>
      <c r="H7" s="6"/>
      <c r="I7" s="10" t="s">
        <v>1</v>
      </c>
      <c r="J7" s="21">
        <f>C7/CPI!D$8</f>
        <v>-4909552.3093651272</v>
      </c>
      <c r="K7" s="22">
        <f>D7/CPI!E$8</f>
        <v>-4605429.7914842824</v>
      </c>
      <c r="L7" s="22">
        <f>E7/CPI!F$8</f>
        <v>-4387099.623486816</v>
      </c>
      <c r="M7" s="22">
        <f>F7/CPI!G$8</f>
        <v>-4817315.2875433769</v>
      </c>
      <c r="N7" s="23">
        <f>G7/CPI!H$8</f>
        <v>-4826311.0814326508</v>
      </c>
    </row>
    <row r="8" spans="1:14" x14ac:dyDescent="0.25">
      <c r="B8" s="10" t="s">
        <v>15</v>
      </c>
      <c r="C8" s="21">
        <v>-3859846.4178327438</v>
      </c>
      <c r="D8" s="22">
        <v>-4391397.3452269277</v>
      </c>
      <c r="E8" s="22">
        <v>-4454973.3508943776</v>
      </c>
      <c r="F8" s="22">
        <v>-4665844.9679531865</v>
      </c>
      <c r="G8" s="23">
        <v>-5232115.8569657197</v>
      </c>
      <c r="H8" s="6"/>
      <c r="I8" s="10" t="s">
        <v>15</v>
      </c>
      <c r="J8" s="21">
        <f>C8/CPI!D$8</f>
        <v>-4461296.8957336219</v>
      </c>
      <c r="K8" s="22">
        <f>D8/CPI!E$8</f>
        <v>-4943862.9119412005</v>
      </c>
      <c r="L8" s="22">
        <f>E8/CPI!F$8</f>
        <v>-4812404.1013337327</v>
      </c>
      <c r="M8" s="22">
        <f>F8/CPI!G$8</f>
        <v>-4983938.3462621477</v>
      </c>
      <c r="N8" s="23">
        <f>G8/CPI!H$8</f>
        <v>-5463718.7249429878</v>
      </c>
    </row>
    <row r="9" spans="1:14" x14ac:dyDescent="0.25">
      <c r="B9" s="10" t="s">
        <v>2</v>
      </c>
      <c r="C9" s="108">
        <v>-8176750.1986299492</v>
      </c>
      <c r="D9" s="22">
        <v>-778914.93817622296</v>
      </c>
      <c r="E9" s="22">
        <v>-772396.99999999988</v>
      </c>
      <c r="F9" s="22">
        <v>-868400</v>
      </c>
      <c r="G9" s="23">
        <v>-859080.78759999992</v>
      </c>
      <c r="H9" s="6"/>
      <c r="I9" s="10" t="s">
        <v>2</v>
      </c>
      <c r="J9" s="21">
        <f>C9/CPI!D$8</f>
        <v>-9450870.9232061952</v>
      </c>
      <c r="K9" s="22">
        <f>D9/CPI!E$8</f>
        <v>-876907.36493975983</v>
      </c>
      <c r="L9" s="22">
        <f>E9/CPI!F$8</f>
        <v>-834367.83968901425</v>
      </c>
      <c r="M9" s="22">
        <f>F9/CPI!G$8</f>
        <v>-927603.05788571446</v>
      </c>
      <c r="N9" s="23">
        <f>G9/CPI!H$8</f>
        <v>-897108.53386395914</v>
      </c>
    </row>
    <row r="10" spans="1:14" x14ac:dyDescent="0.25">
      <c r="B10" s="10" t="s">
        <v>19</v>
      </c>
      <c r="C10" s="21">
        <v>-12560000</v>
      </c>
      <c r="D10" s="22">
        <v>-15280000</v>
      </c>
      <c r="E10" s="22">
        <v>-21320000</v>
      </c>
      <c r="F10" s="22">
        <v>-22050000</v>
      </c>
      <c r="G10" s="23">
        <v>-19400000</v>
      </c>
      <c r="H10" s="6"/>
      <c r="I10" s="10" t="s">
        <v>19</v>
      </c>
      <c r="J10" s="21">
        <f>C10/CPI!D$8</f>
        <v>-14517129.166469952</v>
      </c>
      <c r="K10" s="22">
        <f>D10/CPI!E$8</f>
        <v>-17202320.663733486</v>
      </c>
      <c r="L10" s="22">
        <f>E10/CPI!F$8</f>
        <v>-23030543.026668653</v>
      </c>
      <c r="M10" s="22">
        <f>F10/CPI!G$8</f>
        <v>-23553255.903247356</v>
      </c>
      <c r="N10" s="23">
        <f>G10/CPI!H$8</f>
        <v>-20258753.086053547</v>
      </c>
    </row>
    <row r="11" spans="1:14" x14ac:dyDescent="0.25">
      <c r="B11" s="10" t="s">
        <v>14</v>
      </c>
      <c r="C11" s="21">
        <v>-5879056.0223035906</v>
      </c>
      <c r="D11" s="22">
        <v>-6176150.9968000231</v>
      </c>
      <c r="E11" s="22">
        <v>-6732918.8525500931</v>
      </c>
      <c r="F11" s="22">
        <v>-8792314.0718897451</v>
      </c>
      <c r="G11" s="23">
        <v>-10313729.682943257</v>
      </c>
      <c r="H11" s="6"/>
      <c r="I11" s="10" t="s">
        <v>14</v>
      </c>
      <c r="J11" s="21">
        <f>C11/CPI!D$8</f>
        <v>-6795144.5583355315</v>
      </c>
      <c r="K11" s="22">
        <f>D11/CPI!E$8</f>
        <v>-6953149.8635203661</v>
      </c>
      <c r="L11" s="22">
        <f>E11/CPI!F$8</f>
        <v>-7273113.3831483796</v>
      </c>
      <c r="M11" s="22">
        <f>F11/CPI!G$8</f>
        <v>-9391728.9486141466</v>
      </c>
      <c r="N11" s="23">
        <f>G11/CPI!H$8</f>
        <v>-10770273.352734471</v>
      </c>
    </row>
    <row r="12" spans="1:14" x14ac:dyDescent="0.25">
      <c r="B12" s="10" t="s">
        <v>104</v>
      </c>
      <c r="C12" s="109"/>
      <c r="D12" s="107"/>
      <c r="E12" s="107"/>
      <c r="F12" s="107"/>
      <c r="G12" s="110"/>
      <c r="H12" s="6"/>
      <c r="I12" s="10" t="s">
        <v>104</v>
      </c>
      <c r="J12" s="77">
        <f>C12/CPI!D$8</f>
        <v>0</v>
      </c>
      <c r="K12" s="78">
        <f>D12/CPI!E$8</f>
        <v>0</v>
      </c>
      <c r="L12" s="78">
        <f>E12/CPI!F$8</f>
        <v>0</v>
      </c>
      <c r="M12" s="78">
        <f>F12/CPI!G$8</f>
        <v>0</v>
      </c>
      <c r="N12" s="79">
        <f>G12/CPI!H$8</f>
        <v>0</v>
      </c>
    </row>
    <row r="13" spans="1:14" ht="15.75" thickBot="1" x14ac:dyDescent="0.3">
      <c r="B13" s="11" t="s">
        <v>20</v>
      </c>
      <c r="C13" s="24">
        <v>-163730.22209457034</v>
      </c>
      <c r="D13" s="25">
        <v>-174452.19774579344</v>
      </c>
      <c r="E13" s="25">
        <v>-243054.94784990049</v>
      </c>
      <c r="F13" s="25">
        <v>-688307.0273246112</v>
      </c>
      <c r="G13" s="26">
        <v>-19176.659076274438</v>
      </c>
      <c r="H13" s="6"/>
      <c r="I13" s="11" t="s">
        <v>20</v>
      </c>
      <c r="J13" s="24">
        <f>C13/CPI!D$8</f>
        <v>-189243.05593962499</v>
      </c>
      <c r="K13" s="25">
        <f>D13/CPI!E$8</f>
        <v>-196399.3878348287</v>
      </c>
      <c r="L13" s="25">
        <f>E13/CPI!F$8</f>
        <v>-262555.69579276914</v>
      </c>
      <c r="M13" s="25">
        <f>F13/CPI!G$8</f>
        <v>-735232.2700489813</v>
      </c>
      <c r="N13" s="26">
        <f>G13/CPI!H$8</f>
        <v>-20025.525837199562</v>
      </c>
    </row>
    <row r="14" spans="1:14" x14ac:dyDescent="0.25">
      <c r="C14" s="6"/>
      <c r="D14" s="6"/>
      <c r="E14" s="6"/>
      <c r="F14" s="6"/>
      <c r="G14" s="6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F33" sqref="F33"/>
    </sheetView>
  </sheetViews>
  <sheetFormatPr defaultRowHeight="15" x14ac:dyDescent="0.25"/>
  <cols>
    <col min="1" max="1" width="20.140625" customWidth="1"/>
    <col min="2" max="6" width="14.85546875" customWidth="1"/>
    <col min="7" max="7" width="24.85546875" customWidth="1"/>
    <col min="8" max="8" width="5.85546875" customWidth="1"/>
    <col min="9" max="9" width="19.140625" customWidth="1"/>
    <col min="10" max="14" width="12.28515625" customWidth="1"/>
  </cols>
  <sheetData>
    <row r="1" spans="1:14" x14ac:dyDescent="0.25">
      <c r="A1" s="2" t="s">
        <v>47</v>
      </c>
    </row>
    <row r="2" spans="1:14" ht="15.75" thickBot="1" x14ac:dyDescent="0.3">
      <c r="I2" s="32"/>
    </row>
    <row r="3" spans="1:14" ht="15.75" thickBot="1" x14ac:dyDescent="0.3">
      <c r="A3" s="33" t="s">
        <v>44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  <c r="I3" s="29" t="s">
        <v>45</v>
      </c>
      <c r="J3" s="30" t="s">
        <v>3</v>
      </c>
      <c r="K3" s="30" t="s">
        <v>4</v>
      </c>
      <c r="L3" s="30" t="s">
        <v>5</v>
      </c>
      <c r="M3" s="30" t="s">
        <v>6</v>
      </c>
      <c r="N3" s="31" t="s">
        <v>7</v>
      </c>
    </row>
    <row r="4" spans="1:14" x14ac:dyDescent="0.25">
      <c r="A4" s="27" t="s">
        <v>18</v>
      </c>
      <c r="B4" s="21">
        <f>'raw base'!C3+adjustments!C6</f>
        <v>1537479.2</v>
      </c>
      <c r="C4" s="22">
        <f>'raw base'!D3+adjustments!D6</f>
        <v>1548166.6700000002</v>
      </c>
      <c r="D4" s="22">
        <f>'raw base'!E3+adjustments!E6</f>
        <v>1810382.6199999999</v>
      </c>
      <c r="E4" s="22">
        <f>'raw base'!F3+adjustments!F6</f>
        <v>1960826.02</v>
      </c>
      <c r="F4" s="23">
        <f>'raw base'!G3+adjustments!G6</f>
        <v>1899552.9200000002</v>
      </c>
      <c r="I4" s="10" t="s">
        <v>18</v>
      </c>
      <c r="J4" s="18">
        <f>B4/CPI!D$8</f>
        <v>1777052.877162491</v>
      </c>
      <c r="K4" s="19">
        <f>C4/CPI!E$8</f>
        <v>1742935.8310369411</v>
      </c>
      <c r="L4" s="19">
        <f>D4/CPI!F$8</f>
        <v>1955632.9655085891</v>
      </c>
      <c r="M4" s="19">
        <f>E4/CPI!G$8</f>
        <v>2094505.0807621777</v>
      </c>
      <c r="N4" s="20">
        <f>F4/CPI!H$8</f>
        <v>1983637.8134109292</v>
      </c>
    </row>
    <row r="5" spans="1:14" x14ac:dyDescent="0.25">
      <c r="A5" s="27" t="s">
        <v>1</v>
      </c>
      <c r="B5" s="21">
        <f>'raw base'!C4+adjustments!C7</f>
        <v>15433172.566165868</v>
      </c>
      <c r="C5" s="22">
        <f>'raw base'!D4+adjustments!D7</f>
        <v>18616795.154809155</v>
      </c>
      <c r="D5" s="22">
        <f>'raw base'!E4+adjustments!E7</f>
        <v>19702610.320488647</v>
      </c>
      <c r="E5" s="22">
        <f>'raw base'!F4+adjustments!F7</f>
        <v>19674365.83090426</v>
      </c>
      <c r="F5" s="23">
        <f>'raw base'!G4+adjustments!G7</f>
        <v>23113213.932873081</v>
      </c>
      <c r="I5" s="10" t="s">
        <v>1</v>
      </c>
      <c r="J5" s="21">
        <f>B5/CPI!D$8</f>
        <v>17838006.336898919</v>
      </c>
      <c r="K5" s="22">
        <f>C5/CPI!E$8</f>
        <v>20958905.758119565</v>
      </c>
      <c r="L5" s="22">
        <f>D5/CPI!F$8</f>
        <v>21283387.18216227</v>
      </c>
      <c r="M5" s="22">
        <f>E5/CPI!G$8</f>
        <v>21015663.181378406</v>
      </c>
      <c r="N5" s="23">
        <f>F5/CPI!H$8</f>
        <v>24136334.746969502</v>
      </c>
    </row>
    <row r="6" spans="1:14" x14ac:dyDescent="0.25">
      <c r="A6" s="27" t="s">
        <v>15</v>
      </c>
      <c r="B6" s="21">
        <f>'raw base'!C5+adjustments!C8</f>
        <v>12372805.515679298</v>
      </c>
      <c r="C6" s="22">
        <f>'raw base'!D5+adjustments!D8</f>
        <v>9341142.3075419292</v>
      </c>
      <c r="D6" s="22">
        <f>'raw base'!E5+adjustments!E8</f>
        <v>10518222.245582212</v>
      </c>
      <c r="E6" s="22">
        <f>'raw base'!F5+adjustments!F8</f>
        <v>11449535.040965881</v>
      </c>
      <c r="F6" s="23">
        <f>'raw base'!G5+adjustments!G8</f>
        <v>13422749.027358901</v>
      </c>
      <c r="I6" s="10" t="s">
        <v>15</v>
      </c>
      <c r="J6" s="21">
        <f>B6/CPI!D$8</f>
        <v>14300765.590981547</v>
      </c>
      <c r="K6" s="22">
        <f>C6/CPI!E$8</f>
        <v>10516317.103396833</v>
      </c>
      <c r="L6" s="22">
        <f>D6/CPI!F$8</f>
        <v>11362118.667492706</v>
      </c>
      <c r="M6" s="22">
        <f>E6/CPI!G$8</f>
        <v>12230105.614198055</v>
      </c>
      <c r="N6" s="23">
        <f>F6/CPI!H$8</f>
        <v>14016915.375326255</v>
      </c>
    </row>
    <row r="7" spans="1:14" x14ac:dyDescent="0.25">
      <c r="A7" s="27" t="s">
        <v>2</v>
      </c>
      <c r="B7" s="21">
        <f>'raw base'!C6+adjustments!C9</f>
        <v>7808227.1113700494</v>
      </c>
      <c r="C7" s="22">
        <f>'raw base'!D6+adjustments!D9</f>
        <v>15995011.861823779</v>
      </c>
      <c r="D7" s="22">
        <f>'raw base'!E6+adjustments!E9</f>
        <v>19023021.699999996</v>
      </c>
      <c r="E7" s="22">
        <f>'raw base'!F6+adjustments!F9</f>
        <v>16179201.050000001</v>
      </c>
      <c r="F7" s="23">
        <f>'raw base'!G6+adjustments!G9</f>
        <v>12432963.032399999</v>
      </c>
      <c r="I7" s="10" t="s">
        <v>2</v>
      </c>
      <c r="J7" s="21">
        <f>B7/CPI!D$8</f>
        <v>9024923.689242959</v>
      </c>
      <c r="K7" s="22">
        <f>C7/CPI!E$8</f>
        <v>18007285.541054539</v>
      </c>
      <c r="L7" s="22">
        <f>D7/CPI!F$8</f>
        <v>20549273.909901563</v>
      </c>
      <c r="M7" s="22">
        <f>E7/CPI!G$8</f>
        <v>17282215.992777251</v>
      </c>
      <c r="N7" s="23">
        <f>F7/CPI!H$8</f>
        <v>12983315.886671295</v>
      </c>
    </row>
    <row r="8" spans="1:14" x14ac:dyDescent="0.25">
      <c r="A8" s="27" t="s">
        <v>19</v>
      </c>
      <c r="B8" s="21">
        <v>26470000</v>
      </c>
      <c r="C8" s="22">
        <v>26000000</v>
      </c>
      <c r="D8" s="22">
        <v>29310000</v>
      </c>
      <c r="E8" s="22">
        <v>30000000</v>
      </c>
      <c r="F8" s="23">
        <v>32580000</v>
      </c>
      <c r="G8" t="s">
        <v>102</v>
      </c>
      <c r="I8" s="10" t="s">
        <v>19</v>
      </c>
      <c r="J8" s="21">
        <f>B8/CPI!D$8</f>
        <v>30594618.55385825</v>
      </c>
      <c r="K8" s="22">
        <f>C8/CPI!E$8</f>
        <v>29270964.480174776</v>
      </c>
      <c r="L8" s="22">
        <f>D8/CPI!F$8</f>
        <v>31661595.502422992</v>
      </c>
      <c r="M8" s="22">
        <f>E8/CPI!G$8</f>
        <v>32045246.126867153</v>
      </c>
      <c r="N8" s="23">
        <f>F8/CPI!H$8</f>
        <v>34022173.997094043</v>
      </c>
    </row>
    <row r="9" spans="1:14" x14ac:dyDescent="0.25">
      <c r="A9" s="27" t="s">
        <v>14</v>
      </c>
      <c r="B9" s="21">
        <f>'raw base'!C8+adjustments!C11</f>
        <v>26920370.597896598</v>
      </c>
      <c r="C9" s="22">
        <f>'raw base'!D8+adjustments!D11</f>
        <v>31912505.677508537</v>
      </c>
      <c r="D9" s="22">
        <f>'raw base'!E8+adjustments!E11</f>
        <v>34450999.550317734</v>
      </c>
      <c r="E9" s="22">
        <f>'raw base'!F8+adjustments!F11</f>
        <v>35175015.798138849</v>
      </c>
      <c r="F9" s="23">
        <f>'raw base'!G8+adjustments!G11</f>
        <v>34771497.315634184</v>
      </c>
      <c r="I9" s="10" t="s">
        <v>14</v>
      </c>
      <c r="J9" s="21">
        <f>B9/CPI!D$8</f>
        <v>31115166.972842742</v>
      </c>
      <c r="K9" s="22">
        <f>C9/CPI!E$8</f>
        <v>35927300.775374167</v>
      </c>
      <c r="L9" s="22">
        <f>D9/CPI!F$8</f>
        <v>37215066.953814961</v>
      </c>
      <c r="M9" s="22">
        <f>E9/CPI!G$8</f>
        <v>37573067.958926663</v>
      </c>
      <c r="N9" s="23">
        <f>F9/CPI!H$8</f>
        <v>36310679.306691058</v>
      </c>
    </row>
    <row r="10" spans="1:14" x14ac:dyDescent="0.25">
      <c r="A10" s="27" t="s">
        <v>23</v>
      </c>
      <c r="B10" s="21">
        <v>5672795.8582872069</v>
      </c>
      <c r="C10" s="22">
        <v>5357856.140710298</v>
      </c>
      <c r="D10" s="22">
        <v>6860908.2954412643</v>
      </c>
      <c r="E10" s="22">
        <v>6825536.48672764</v>
      </c>
      <c r="F10" s="23">
        <v>6903918.6905328427</v>
      </c>
      <c r="G10" s="68"/>
      <c r="I10" s="10" t="s">
        <v>104</v>
      </c>
      <c r="J10" s="21">
        <f>B10/CPI!D$8</f>
        <v>6556744.4434531173</v>
      </c>
      <c r="K10" s="22">
        <f>C10/CPI!E$8</f>
        <v>6031908.3378699021</v>
      </c>
      <c r="L10" s="22">
        <f>D10/CPI!F$8</f>
        <v>7411371.6557311406</v>
      </c>
      <c r="M10" s="22">
        <f>E10/CPI!G$8</f>
        <v>7290866.5555033116</v>
      </c>
      <c r="N10" s="23">
        <f>F10/CPI!H$8</f>
        <v>7209524.9524585037</v>
      </c>
    </row>
    <row r="11" spans="1:14" ht="15.75" thickBot="1" x14ac:dyDescent="0.3">
      <c r="A11" s="28" t="s">
        <v>20</v>
      </c>
      <c r="B11" s="24">
        <f>'raw base'!C10+adjustments!C13</f>
        <v>5821170.7353660883</v>
      </c>
      <c r="C11" s="25">
        <f>'raw base'!D10+adjustments!D13</f>
        <v>6422708.7969048088</v>
      </c>
      <c r="D11" s="25">
        <f>'raw base'!E10+adjustments!E13</f>
        <v>6488430.4329487802</v>
      </c>
      <c r="E11" s="25">
        <f>'raw base'!F10+adjustments!F13</f>
        <v>6168752.3384288792</v>
      </c>
      <c r="F11" s="26">
        <f>'raw base'!G10+adjustments!G13</f>
        <v>6064677.7556899749</v>
      </c>
      <c r="I11" s="11" t="s">
        <v>20</v>
      </c>
      <c r="J11" s="24">
        <f>B11/CPI!D$8</f>
        <v>6728239.4478809219</v>
      </c>
      <c r="K11" s="25">
        <f>C11/CPI!E$8</f>
        <v>7230726.1946425671</v>
      </c>
      <c r="L11" s="25">
        <f>D11/CPI!F$8</f>
        <v>7009009.2055146899</v>
      </c>
      <c r="M11" s="25">
        <f>E11/CPI!G$8</f>
        <v>6589306.2326880246</v>
      </c>
      <c r="N11" s="26">
        <f>F11/CPI!H$8</f>
        <v>6333134.4947940493</v>
      </c>
    </row>
    <row r="12" spans="1:14" x14ac:dyDescent="0.25">
      <c r="A12" s="38"/>
      <c r="B12" s="22"/>
      <c r="C12" s="22"/>
      <c r="D12" s="22"/>
      <c r="E12" s="22"/>
      <c r="F12" s="22"/>
      <c r="I12" s="38"/>
      <c r="J12" s="22"/>
      <c r="K12" s="22"/>
      <c r="L12" s="22"/>
      <c r="M12" s="22"/>
      <c r="N12" s="22"/>
    </row>
    <row r="13" spans="1:14" x14ac:dyDescent="0.25">
      <c r="A13" s="32" t="s">
        <v>48</v>
      </c>
    </row>
    <row r="14" spans="1:14" ht="15.75" thickBot="1" x14ac:dyDescent="0.3">
      <c r="I14" s="32"/>
    </row>
    <row r="15" spans="1:14" ht="15.75" thickBot="1" x14ac:dyDescent="0.3">
      <c r="A15" s="33" t="s">
        <v>44</v>
      </c>
      <c r="B15" s="30" t="s">
        <v>3</v>
      </c>
      <c r="C15" s="30" t="s">
        <v>4</v>
      </c>
      <c r="D15" s="30" t="s">
        <v>5</v>
      </c>
      <c r="E15" s="30" t="s">
        <v>6</v>
      </c>
      <c r="F15" s="31" t="s">
        <v>7</v>
      </c>
      <c r="I15" s="29" t="s">
        <v>45</v>
      </c>
      <c r="J15" s="30" t="s">
        <v>3</v>
      </c>
      <c r="K15" s="30" t="s">
        <v>4</v>
      </c>
      <c r="L15" s="30" t="s">
        <v>5</v>
      </c>
      <c r="M15" s="30" t="s">
        <v>6</v>
      </c>
      <c r="N15" s="31" t="s">
        <v>7</v>
      </c>
    </row>
    <row r="16" spans="1:14" x14ac:dyDescent="0.25">
      <c r="A16" s="27" t="s">
        <v>18</v>
      </c>
      <c r="B16" s="21">
        <f>B4/'customer numbers'!D5</f>
        <v>9.4190392756277905</v>
      </c>
      <c r="C16" s="22">
        <f>C4/'customer numbers'!E5</f>
        <v>9.257764323173614</v>
      </c>
      <c r="D16" s="22">
        <f>D4/'customer numbers'!F5</f>
        <v>10.563866491611961</v>
      </c>
      <c r="E16" s="22">
        <f>E4/'customer numbers'!G5</f>
        <v>11.176873731731229</v>
      </c>
      <c r="F16" s="23">
        <f>F4/'customer numbers'!H5</f>
        <v>10.740432658600023</v>
      </c>
      <c r="I16" s="10" t="s">
        <v>18</v>
      </c>
      <c r="J16" s="18">
        <f>B16/CPI!D$8</f>
        <v>10.886736448116418</v>
      </c>
      <c r="K16" s="19">
        <f>C16/CPI!E$8</f>
        <v>10.422449641132467</v>
      </c>
      <c r="L16" s="19">
        <f>D16/CPI!F$8</f>
        <v>11.411425035790455</v>
      </c>
      <c r="M16" s="19">
        <f>E16/CPI!G$8</f>
        <v>11.938855655408112</v>
      </c>
      <c r="N16" s="20">
        <f>F16/CPI!H$8</f>
        <v>11.215864601441417</v>
      </c>
    </row>
    <row r="17" spans="1:14" x14ac:dyDescent="0.25">
      <c r="A17" s="27" t="s">
        <v>1</v>
      </c>
      <c r="B17" s="21">
        <f>B5/'customer numbers'!D8</f>
        <v>9.9027271921022049</v>
      </c>
      <c r="C17" s="22">
        <f>C5/'customer numbers'!E8</f>
        <v>11.849985410811856</v>
      </c>
      <c r="D17" s="22">
        <f>D5/'customer numbers'!F8</f>
        <v>12.438453795996388</v>
      </c>
      <c r="E17" s="22">
        <f>E5/'customer numbers'!G8</f>
        <v>12.326682869433672</v>
      </c>
      <c r="F17" s="23">
        <f>F5/'customer numbers'!H8</f>
        <v>14.33675901737886</v>
      </c>
      <c r="I17" s="10" t="s">
        <v>1</v>
      </c>
      <c r="J17" s="21">
        <f>B17/CPI!D$8</f>
        <v>11.445793769750159</v>
      </c>
      <c r="K17" s="22">
        <f>C17/CPI!E$8</f>
        <v>13.340788540402428</v>
      </c>
      <c r="L17" s="22">
        <f>D17/CPI!F$8</f>
        <v>13.436413946244128</v>
      </c>
      <c r="M17" s="22">
        <f>E17/CPI!G$8</f>
        <v>13.167052882627967</v>
      </c>
      <c r="N17" s="23">
        <f>F17/CPI!H$8</f>
        <v>14.971384586975772</v>
      </c>
    </row>
    <row r="18" spans="1:14" x14ac:dyDescent="0.25">
      <c r="A18" s="27" t="s">
        <v>15</v>
      </c>
      <c r="B18" s="21">
        <f>B6/'customer numbers'!D11</f>
        <v>14.400010143687311</v>
      </c>
      <c r="C18" s="22">
        <f>C6/'customer numbers'!E11</f>
        <v>10.764840967244346</v>
      </c>
      <c r="D18" s="22">
        <f>D6/'customer numbers'!F11</f>
        <v>12.006102511528391</v>
      </c>
      <c r="E18" s="22">
        <f>E6/'customer numbers'!G11</f>
        <v>12.845723929095323</v>
      </c>
      <c r="F18" s="23">
        <f>F6/'customer numbers'!H11</f>
        <v>14.741631172668441</v>
      </c>
      <c r="I18" s="10" t="s">
        <v>15</v>
      </c>
      <c r="J18" s="21">
        <f>B18/CPI!D$8</f>
        <v>16.643854080763234</v>
      </c>
      <c r="K18" s="22">
        <f>C18/CPI!E$8</f>
        <v>12.119126061036136</v>
      </c>
      <c r="L18" s="22">
        <f>D18/CPI!F$8</f>
        <v>12.969374318684295</v>
      </c>
      <c r="M18" s="22">
        <f>E18/CPI!G$8</f>
        <v>13.721479499521553</v>
      </c>
      <c r="N18" s="23">
        <f>F18/CPI!H$8</f>
        <v>15.394178660451542</v>
      </c>
    </row>
    <row r="19" spans="1:14" x14ac:dyDescent="0.25">
      <c r="A19" s="27" t="s">
        <v>2</v>
      </c>
      <c r="B19" s="21">
        <f>B7/'customer numbers'!D14</f>
        <v>6.0190546395046942</v>
      </c>
      <c r="C19" s="22">
        <f>C7/'customer numbers'!E14</f>
        <v>12.161987143796107</v>
      </c>
      <c r="D19" s="22">
        <f>D7/'customer numbers'!F14</f>
        <v>14.28543901444</v>
      </c>
      <c r="E19" s="22">
        <f>E7/'customer numbers'!G14</f>
        <v>12.013718801724513</v>
      </c>
      <c r="F19" s="23">
        <f>F7/'customer numbers'!H14</f>
        <v>9.1228272648093203</v>
      </c>
      <c r="I19" s="10" t="s">
        <v>2</v>
      </c>
      <c r="J19" s="21">
        <f>B19/CPI!D$8</f>
        <v>6.9569580940867732</v>
      </c>
      <c r="K19" s="22">
        <f>C19/CPI!E$8</f>
        <v>13.69204206516916</v>
      </c>
      <c r="L19" s="22">
        <f>D19/CPI!F$8</f>
        <v>15.431586204357947</v>
      </c>
      <c r="M19" s="22">
        <f>E19/CPI!G$8</f>
        <v>12.832752530007784</v>
      </c>
      <c r="N19" s="23">
        <f>F19/CPI!H$8</f>
        <v>9.52665489713862</v>
      </c>
    </row>
    <row r="20" spans="1:14" x14ac:dyDescent="0.25">
      <c r="A20" s="27" t="s">
        <v>19</v>
      </c>
      <c r="B20" s="21">
        <f>B8/'customer numbers'!D17</f>
        <v>39.556642811136832</v>
      </c>
      <c r="C20" s="22">
        <f>C8/'customer numbers'!E17</f>
        <v>38.214388599178093</v>
      </c>
      <c r="D20" s="22">
        <f>D8/'customer numbers'!F17</f>
        <v>42.462568181324293</v>
      </c>
      <c r="E20" s="22">
        <f>E8/'customer numbers'!G17</f>
        <v>42.786056879784013</v>
      </c>
      <c r="F20" s="23">
        <f>F8/'customer numbers'!H17</f>
        <v>45.712778391241329</v>
      </c>
      <c r="I20" s="10" t="s">
        <v>19</v>
      </c>
      <c r="J20" s="21">
        <f>B20/CPI!D$8</f>
        <v>45.720453270795261</v>
      </c>
      <c r="K20" s="22">
        <f>C20/CPI!E$8</f>
        <v>43.022000435312997</v>
      </c>
      <c r="L20" s="22">
        <f>D20/CPI!F$8</f>
        <v>45.869418551727975</v>
      </c>
      <c r="M20" s="22">
        <f>E20/CPI!G$8</f>
        <v>45.702990783693878</v>
      </c>
      <c r="N20" s="23">
        <f>F20/CPI!H$8</f>
        <v>47.736283005445465</v>
      </c>
    </row>
    <row r="21" spans="1:14" x14ac:dyDescent="0.25">
      <c r="A21" s="27" t="s">
        <v>14</v>
      </c>
      <c r="B21" s="21">
        <f>B9/'customer numbers'!D20</f>
        <v>34.438061718881571</v>
      </c>
      <c r="C21" s="22">
        <f>C9/'customer numbers'!E20</f>
        <v>40.385914860253102</v>
      </c>
      <c r="D21" s="22">
        <f>D9/'customer numbers'!F20</f>
        <v>43.390589049915661</v>
      </c>
      <c r="E21" s="22">
        <f>E9/'customer numbers'!G20</f>
        <v>44.082060643527427</v>
      </c>
      <c r="F21" s="23">
        <f>F9/'customer numbers'!H20</f>
        <v>43.077108439670099</v>
      </c>
      <c r="I21" s="10" t="s">
        <v>14</v>
      </c>
      <c r="J21" s="21">
        <f>B21/CPI!D$8</f>
        <v>39.804282660499041</v>
      </c>
      <c r="K21" s="22">
        <f>C21/CPI!E$8</f>
        <v>45.46671843745505</v>
      </c>
      <c r="L21" s="22">
        <f>D21/CPI!F$8</f>
        <v>46.871896250777688</v>
      </c>
      <c r="M21" s="22">
        <f>E21/CPI!G$8</f>
        <v>47.087349436710674</v>
      </c>
      <c r="N21" s="23">
        <f>F21/CPI!H$8</f>
        <v>44.983943481465452</v>
      </c>
    </row>
    <row r="22" spans="1:14" x14ac:dyDescent="0.25">
      <c r="A22" s="27" t="s">
        <v>23</v>
      </c>
      <c r="B22" s="21">
        <f>B10/'customer numbers'!D23</f>
        <v>6.8877711355059068</v>
      </c>
      <c r="C22" s="22">
        <f>C10/'customer numbers'!E23</f>
        <v>6.449024665004373</v>
      </c>
      <c r="D22" s="76">
        <f>D10/'customer numbers'!F23</f>
        <v>8.1824276355810532</v>
      </c>
      <c r="E22" s="76">
        <f>E10/'customer numbers'!G23</f>
        <v>8.1078592975019532</v>
      </c>
      <c r="F22" s="75">
        <f>F10/'customer numbers'!H23</f>
        <v>8.167217237362042</v>
      </c>
      <c r="I22" s="10" t="s">
        <v>23</v>
      </c>
      <c r="J22" s="21">
        <f>B22/CPI!D$8</f>
        <v>7.9610400671355617</v>
      </c>
      <c r="K22" s="22">
        <f>C22/CPI!E$8</f>
        <v>7.2603527654274629</v>
      </c>
      <c r="L22" s="22">
        <f>D22/CPI!F$8</f>
        <v>8.8389189363908116</v>
      </c>
      <c r="M22" s="22">
        <f>E22/CPI!G$8</f>
        <v>8.6606115583486094</v>
      </c>
      <c r="N22" s="23">
        <f>F22/CPI!H$8</f>
        <v>8.5287441964885549</v>
      </c>
    </row>
    <row r="23" spans="1:14" ht="15.75" thickBot="1" x14ac:dyDescent="0.3">
      <c r="A23" s="28" t="s">
        <v>20</v>
      </c>
      <c r="B23" s="24">
        <f>B11/'customer numbers'!D26</f>
        <v>21.582351484628148</v>
      </c>
      <c r="C23" s="25">
        <f>C11/'customer numbers'!E26</f>
        <v>23.361251216327098</v>
      </c>
      <c r="D23" s="25">
        <f>D11/'customer numbers'!F26</f>
        <v>23.385860685125589</v>
      </c>
      <c r="E23" s="25">
        <f>E11/'customer numbers'!G26</f>
        <v>22.118706236545481</v>
      </c>
      <c r="F23" s="26">
        <f>F11/'customer numbers'!H26</f>
        <v>21.93016599717939</v>
      </c>
      <c r="I23" s="11" t="s">
        <v>20</v>
      </c>
      <c r="J23" s="24">
        <f>B23/CPI!D$8</f>
        <v>24.945364985549471</v>
      </c>
      <c r="K23" s="25">
        <f>C23/CPI!E$8</f>
        <v>26.30024440636732</v>
      </c>
      <c r="L23" s="25">
        <f>D23/CPI!F$8</f>
        <v>25.262151534918562</v>
      </c>
      <c r="M23" s="25">
        <f>E23/CPI!G$8</f>
        <v>23.626646178599046</v>
      </c>
      <c r="N23" s="26">
        <f>F23/CPI!H$8</f>
        <v>22.900918457372395</v>
      </c>
    </row>
    <row r="24" spans="1:14" ht="15.75" thickBot="1" x14ac:dyDescent="0.3">
      <c r="A24" s="34" t="s">
        <v>34</v>
      </c>
      <c r="B24" s="35">
        <f>AVERAGE(B16:B23)</f>
        <v>17.775707300134307</v>
      </c>
      <c r="C24" s="36">
        <f>AVERAGE(C16:C23)</f>
        <v>19.055644648223574</v>
      </c>
      <c r="D24" s="36">
        <f>AVERAGE(D16:D23)</f>
        <v>20.839413420690416</v>
      </c>
      <c r="E24" s="36">
        <f>AVERAGE(E16:E23)</f>
        <v>20.682210298667954</v>
      </c>
      <c r="F24" s="37">
        <f>AVERAGE(F16:F23)</f>
        <v>20.978615022363691</v>
      </c>
      <c r="I24" s="34" t="s">
        <v>34</v>
      </c>
      <c r="J24" s="73">
        <f>AVERAGE(J16:J23)</f>
        <v>20.545560422086993</v>
      </c>
      <c r="K24" s="35">
        <f>AVERAGE(K16:K23)</f>
        <v>21.452965294037877</v>
      </c>
      <c r="L24" s="35">
        <f>AVERAGE(L16:L23)</f>
        <v>22.511398097361482</v>
      </c>
      <c r="M24" s="35">
        <f>AVERAGE(M16:M23)</f>
        <v>22.092217315614704</v>
      </c>
      <c r="N24" s="74">
        <f>AVERAGE(N16:N23)</f>
        <v>21.907246485847402</v>
      </c>
    </row>
    <row r="26" spans="1:14" x14ac:dyDescent="0.25">
      <c r="B26" s="106"/>
      <c r="C26" s="106"/>
      <c r="D26" s="106"/>
      <c r="E26" s="106"/>
      <c r="F26" s="106"/>
      <c r="J26" s="6"/>
      <c r="K26" s="6"/>
      <c r="L26" s="6"/>
      <c r="M26" s="6"/>
      <c r="N26" s="6"/>
    </row>
    <row r="29" spans="1:14" x14ac:dyDescent="0.25">
      <c r="B29" s="6"/>
      <c r="C29" s="6"/>
      <c r="D29" s="6"/>
      <c r="E29" s="6"/>
      <c r="F29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M15" sqref="M15"/>
    </sheetView>
  </sheetViews>
  <sheetFormatPr defaultRowHeight="15" x14ac:dyDescent="0.25"/>
  <cols>
    <col min="2" max="4" width="14.85546875" customWidth="1"/>
    <col min="5" max="5" width="14.85546875" hidden="1" customWidth="1"/>
    <col min="6" max="6" width="14.85546875" customWidth="1"/>
  </cols>
  <sheetData>
    <row r="1" spans="2:6" ht="15.75" thickBot="1" x14ac:dyDescent="0.3"/>
    <row r="2" spans="2:6" s="5" customFormat="1" ht="60.75" thickBot="1" x14ac:dyDescent="0.3">
      <c r="B2" s="43" t="s">
        <v>28</v>
      </c>
      <c r="C2" s="14" t="s">
        <v>32</v>
      </c>
      <c r="D2" s="14" t="s">
        <v>76</v>
      </c>
      <c r="E2" s="14" t="s">
        <v>77</v>
      </c>
      <c r="F2" s="15" t="s">
        <v>107</v>
      </c>
    </row>
    <row r="3" spans="2:6" x14ac:dyDescent="0.25">
      <c r="B3" s="9" t="s">
        <v>18</v>
      </c>
      <c r="C3" s="172">
        <f>'customer numbers'!$I32</f>
        <v>43.028315059884676</v>
      </c>
      <c r="D3" s="172">
        <f>AVERAGE(base!J16:N16)</f>
        <v>11.175066276377773</v>
      </c>
      <c r="E3" s="42">
        <f>AVERAGE(base!M16:N16)</f>
        <v>11.577360128424765</v>
      </c>
      <c r="F3" s="45" t="s">
        <v>30</v>
      </c>
    </row>
    <row r="4" spans="2:6" x14ac:dyDescent="0.25">
      <c r="B4" s="10" t="s">
        <v>1</v>
      </c>
      <c r="C4" s="111">
        <f>'customer numbers'!$I33</f>
        <v>44.383815763515486</v>
      </c>
      <c r="D4" s="111">
        <f>AVERAGE(base!J17:N17)</f>
        <v>13.272286745200091</v>
      </c>
      <c r="E4" s="39">
        <f>AVERAGE(base!M17:N17)</f>
        <v>14.069218734801868</v>
      </c>
      <c r="F4" s="44" t="s">
        <v>30</v>
      </c>
    </row>
    <row r="5" spans="2:6" x14ac:dyDescent="0.25">
      <c r="B5" s="10" t="s">
        <v>15</v>
      </c>
      <c r="C5" s="111">
        <f>'customer numbers'!$I34</f>
        <v>33.16987616376435</v>
      </c>
      <c r="D5" s="111">
        <f>AVERAGE(base!J18:N18)</f>
        <v>14.169602524091351</v>
      </c>
      <c r="E5" s="39">
        <f>AVERAGE(base!M18:N18)</f>
        <v>14.557829079986547</v>
      </c>
      <c r="F5" s="44" t="s">
        <v>30</v>
      </c>
    </row>
    <row r="6" spans="2:6" x14ac:dyDescent="0.25">
      <c r="B6" s="10" t="s">
        <v>2</v>
      </c>
      <c r="C6" s="111">
        <f>'customer numbers'!$I35</f>
        <v>31.906011741661864</v>
      </c>
      <c r="D6" s="111">
        <f>AVERAGE(base!J19:N19)</f>
        <v>11.687998758152059</v>
      </c>
      <c r="E6" s="39">
        <f>AVERAGE(base!M19:N19)</f>
        <v>11.179703713573202</v>
      </c>
      <c r="F6" s="44" t="s">
        <v>30</v>
      </c>
    </row>
    <row r="7" spans="2:6" x14ac:dyDescent="0.25">
      <c r="B7" s="10" t="s">
        <v>19</v>
      </c>
      <c r="C7" s="111">
        <f>'customer numbers'!$I36</f>
        <v>4.9351175046691349</v>
      </c>
      <c r="D7" s="111">
        <f>AVERAGE(base!J20:N20)</f>
        <v>45.610229209395115</v>
      </c>
      <c r="E7" s="39">
        <f>AVERAGE(base!M20:N20)</f>
        <v>46.719636894569675</v>
      </c>
      <c r="F7" s="174">
        <f>D8</f>
        <v>44.842838053381584</v>
      </c>
    </row>
    <row r="8" spans="2:6" x14ac:dyDescent="0.25">
      <c r="B8" s="10" t="s">
        <v>14</v>
      </c>
      <c r="C8" s="111">
        <f>'customer numbers'!$I37</f>
        <v>4.6842644731902219</v>
      </c>
      <c r="D8" s="111">
        <f>AVERAGE(base!J21:N21)</f>
        <v>44.842838053381584</v>
      </c>
      <c r="E8" s="39">
        <f>AVERAGE(base!M21:N21)</f>
        <v>46.035646459088063</v>
      </c>
      <c r="F8" s="44" t="s">
        <v>30</v>
      </c>
    </row>
    <row r="9" spans="2:6" x14ac:dyDescent="0.25">
      <c r="B9" s="10" t="s">
        <v>105</v>
      </c>
      <c r="C9" s="111">
        <f>'customer numbers'!$I38</f>
        <v>10.365479540250444</v>
      </c>
      <c r="D9" s="111">
        <f>AVERAGE(base!J22:N22)</f>
        <v>8.2499335047582001</v>
      </c>
      <c r="E9" s="39">
        <f>AVERAGE(base!M22:N22)</f>
        <v>8.594677877418583</v>
      </c>
      <c r="F9" s="44" t="s">
        <v>30</v>
      </c>
    </row>
    <row r="10" spans="2:6" ht="15.75" thickBot="1" x14ac:dyDescent="0.3">
      <c r="B10" s="11" t="s">
        <v>20</v>
      </c>
      <c r="C10" s="173">
        <f>'customer numbers'!$I39</f>
        <v>13.39886136058341</v>
      </c>
      <c r="D10" s="173">
        <f>AVERAGE(base!J23:N23)</f>
        <v>24.607065112561358</v>
      </c>
      <c r="E10" s="40">
        <f>AVERAGE(base!M23:N23)</f>
        <v>23.263782317985722</v>
      </c>
      <c r="F10" s="41" t="s">
        <v>30</v>
      </c>
    </row>
    <row r="12" spans="2:6" x14ac:dyDescent="0.25">
      <c r="D12" s="1"/>
    </row>
    <row r="13" spans="2:6" x14ac:dyDescent="0.25">
      <c r="B13" s="32"/>
      <c r="D13" s="16"/>
      <c r="E13" s="16"/>
    </row>
    <row r="14" spans="2:6" x14ac:dyDescent="0.25">
      <c r="B14" s="32"/>
      <c r="D14" s="16"/>
      <c r="E14" s="16"/>
    </row>
    <row r="15" spans="2:6" x14ac:dyDescent="0.25">
      <c r="B15" s="32"/>
      <c r="D15" s="1"/>
      <c r="E15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38"/>
  <sheetViews>
    <sheetView workbookViewId="0">
      <selection activeCell="C28" sqref="C28"/>
    </sheetView>
  </sheetViews>
  <sheetFormatPr defaultRowHeight="15" x14ac:dyDescent="0.25"/>
  <cols>
    <col min="1" max="1" width="32" customWidth="1"/>
    <col min="2" max="2" width="39.85546875" customWidth="1"/>
    <col min="3" max="3" width="17.28515625" customWidth="1"/>
    <col min="4" max="4" width="19.5703125" customWidth="1"/>
    <col min="5" max="5" width="15.140625" customWidth="1"/>
    <col min="6" max="6" width="16.42578125" customWidth="1"/>
    <col min="7" max="7" width="16.28515625" bestFit="1" customWidth="1"/>
    <col min="8" max="11" width="13.85546875" customWidth="1"/>
    <col min="13" max="13" width="30.28515625" customWidth="1"/>
  </cols>
  <sheetData>
    <row r="1" spans="1:10" x14ac:dyDescent="0.25">
      <c r="A1" s="2" t="s">
        <v>22</v>
      </c>
      <c r="C1" t="s">
        <v>28</v>
      </c>
    </row>
    <row r="2" spans="1:10" ht="15.75" thickBot="1" x14ac:dyDescent="0.3">
      <c r="A2" t="s">
        <v>74</v>
      </c>
      <c r="B2" s="2" t="s">
        <v>63</v>
      </c>
    </row>
    <row r="3" spans="1:10" ht="15.75" thickBot="1" x14ac:dyDescent="0.3">
      <c r="B3" s="94" t="s">
        <v>91</v>
      </c>
      <c r="C3" s="95" t="s">
        <v>75</v>
      </c>
      <c r="D3" s="93" t="s">
        <v>78</v>
      </c>
    </row>
    <row r="4" spans="1:10" x14ac:dyDescent="0.25">
      <c r="A4" t="s">
        <v>75</v>
      </c>
      <c r="B4" s="94" t="s">
        <v>90</v>
      </c>
      <c r="C4" s="96">
        <v>480000</v>
      </c>
      <c r="D4" s="93">
        <v>0</v>
      </c>
      <c r="E4" s="103" t="s">
        <v>96</v>
      </c>
      <c r="F4" t="s">
        <v>94</v>
      </c>
    </row>
    <row r="5" spans="1:10" ht="60" x14ac:dyDescent="0.25">
      <c r="B5" s="97" t="s">
        <v>93</v>
      </c>
      <c r="C5" s="98">
        <v>20000</v>
      </c>
      <c r="D5" s="99">
        <v>0</v>
      </c>
      <c r="E5" s="103" t="s">
        <v>96</v>
      </c>
      <c r="F5" t="s">
        <v>95</v>
      </c>
    </row>
    <row r="6" spans="1:10" ht="15.75" thickBot="1" x14ac:dyDescent="0.3">
      <c r="B6" s="100" t="s">
        <v>92</v>
      </c>
      <c r="C6" s="101">
        <f>SUM(C4:C5)</f>
        <v>500000</v>
      </c>
      <c r="D6" s="102">
        <f>SUM(D4:D5)</f>
        <v>0</v>
      </c>
      <c r="J6" s="4"/>
    </row>
    <row r="8" spans="1:10" x14ac:dyDescent="0.25">
      <c r="B8" s="80"/>
    </row>
    <row r="9" spans="1:10" x14ac:dyDescent="0.25">
      <c r="B9" s="92"/>
      <c r="C9" s="69"/>
    </row>
    <row r="14" spans="1:10" x14ac:dyDescent="0.25">
      <c r="G14" t="s">
        <v>85</v>
      </c>
    </row>
    <row r="21" spans="3:7" x14ac:dyDescent="0.25">
      <c r="C21" s="68"/>
      <c r="D21" s="68"/>
      <c r="E21" s="68"/>
      <c r="F21" s="68"/>
      <c r="G21" s="68"/>
    </row>
    <row r="38" spans="3:8" x14ac:dyDescent="0.25">
      <c r="C38" s="68"/>
      <c r="D38" s="68"/>
      <c r="E38" s="68"/>
      <c r="F38" s="68"/>
      <c r="G38" s="68"/>
      <c r="H38" s="6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22" sqref="I22"/>
    </sheetView>
  </sheetViews>
  <sheetFormatPr defaultRowHeight="15" x14ac:dyDescent="0.25"/>
  <cols>
    <col min="1" max="1" width="19.85546875" customWidth="1"/>
    <col min="2" max="2" width="15.85546875" customWidth="1"/>
  </cols>
  <sheetData>
    <row r="1" spans="1:7" x14ac:dyDescent="0.25">
      <c r="C1" s="2" t="s">
        <v>9</v>
      </c>
      <c r="D1" s="2" t="s">
        <v>10</v>
      </c>
      <c r="E1" s="2" t="s">
        <v>11</v>
      </c>
      <c r="F1" s="2" t="s">
        <v>12</v>
      </c>
      <c r="G1" s="2" t="s">
        <v>31</v>
      </c>
    </row>
    <row r="2" spans="1:7" x14ac:dyDescent="0.25">
      <c r="A2" t="s">
        <v>89</v>
      </c>
      <c r="B2" t="s">
        <v>63</v>
      </c>
      <c r="C2" s="3">
        <f>'customer numbers'!M3</f>
        <v>712615.5</v>
      </c>
      <c r="D2" s="3">
        <f>'customer numbers'!N3</f>
        <v>726651.5</v>
      </c>
      <c r="E2" s="3">
        <f>'customer numbers'!O3</f>
        <v>740938.5</v>
      </c>
      <c r="F2" s="3">
        <f>'customer numbers'!P3</f>
        <v>755407.5</v>
      </c>
      <c r="G2" s="3">
        <f>'customer numbers'!Q3</f>
        <v>770002.5</v>
      </c>
    </row>
    <row r="4" spans="1:7" ht="15.75" thickBot="1" x14ac:dyDescent="0.3">
      <c r="A4" t="s">
        <v>79</v>
      </c>
    </row>
    <row r="5" spans="1:7" ht="15.75" thickBot="1" x14ac:dyDescent="0.3">
      <c r="B5" s="9" t="s">
        <v>45</v>
      </c>
      <c r="C5" s="51" t="s">
        <v>3</v>
      </c>
      <c r="D5" s="51" t="s">
        <v>4</v>
      </c>
      <c r="E5" s="51" t="s">
        <v>5</v>
      </c>
      <c r="F5" s="51" t="s">
        <v>6</v>
      </c>
      <c r="G5" s="8" t="s">
        <v>7</v>
      </c>
    </row>
    <row r="6" spans="1:7" x14ac:dyDescent="0.25">
      <c r="B6" s="9" t="s">
        <v>63</v>
      </c>
      <c r="C6" s="19">
        <f>base!J20</f>
        <v>45.720453270795261</v>
      </c>
      <c r="D6" s="19">
        <f>base!K20</f>
        <v>43.022000435312997</v>
      </c>
      <c r="E6" s="19">
        <f>base!L20</f>
        <v>45.869418551727975</v>
      </c>
      <c r="F6" s="19">
        <f>base!M20</f>
        <v>45.702990783693878</v>
      </c>
      <c r="G6" s="20">
        <f>base!N20</f>
        <v>47.736283005445465</v>
      </c>
    </row>
    <row r="7" spans="1:7" ht="15.75" thickBot="1" x14ac:dyDescent="0.3">
      <c r="B7" s="86" t="s">
        <v>34</v>
      </c>
      <c r="C7" s="84">
        <f>base!J24</f>
        <v>20.545560422086993</v>
      </c>
      <c r="D7" s="84">
        <f>base!K24</f>
        <v>21.452965294037877</v>
      </c>
      <c r="E7" s="84">
        <f>base!L24</f>
        <v>22.511398097361482</v>
      </c>
      <c r="F7" s="84">
        <f>base!M24</f>
        <v>22.092217315614704</v>
      </c>
      <c r="G7" s="85">
        <f>base!N24</f>
        <v>21.907246485847402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9" sqref="D9"/>
    </sheetView>
  </sheetViews>
  <sheetFormatPr defaultRowHeight="15" x14ac:dyDescent="0.25"/>
  <cols>
    <col min="2" max="2" width="41.42578125" customWidth="1"/>
    <col min="3" max="3" width="14.42578125" bestFit="1" customWidth="1"/>
    <col min="4" max="7" width="14.28515625" bestFit="1" customWidth="1"/>
    <col min="8" max="8" width="12.5703125" bestFit="1" customWidth="1"/>
    <col min="10" max="10" width="26" customWidth="1"/>
    <col min="11" max="15" width="14.28515625" bestFit="1" customWidth="1"/>
    <col min="16" max="16" width="12.5703125" bestFit="1" customWidth="1"/>
  </cols>
  <sheetData>
    <row r="1" spans="1:9" s="87" customFormat="1" x14ac:dyDescent="0.25">
      <c r="A1" s="81" t="s">
        <v>28</v>
      </c>
      <c r="B1" s="88" t="s">
        <v>63</v>
      </c>
      <c r="C1" s="81" t="s">
        <v>9</v>
      </c>
      <c r="D1" s="81" t="s">
        <v>10</v>
      </c>
      <c r="E1" s="81" t="s">
        <v>11</v>
      </c>
      <c r="F1" s="81" t="s">
        <v>12</v>
      </c>
      <c r="G1" s="81" t="s">
        <v>31</v>
      </c>
      <c r="H1" s="89" t="s">
        <v>80</v>
      </c>
    </row>
    <row r="2" spans="1:9" x14ac:dyDescent="0.25">
      <c r="A2" t="s">
        <v>84</v>
      </c>
      <c r="B2" s="46" t="s">
        <v>81</v>
      </c>
      <c r="C2" s="91">
        <f>[3]Input!G179</f>
        <v>31.91</v>
      </c>
      <c r="D2" s="91">
        <f>[3]Input!H179</f>
        <v>32.6</v>
      </c>
      <c r="E2" s="91">
        <f>[3]Input!I179</f>
        <v>34.120000000000005</v>
      </c>
      <c r="F2" s="91">
        <f>[3]Input!J179</f>
        <v>35.130000000000003</v>
      </c>
      <c r="G2" s="91">
        <f>[3]Input!K179</f>
        <v>35.69</v>
      </c>
      <c r="H2" s="90">
        <f>SUM(C2:G2)</f>
        <v>169.45000000000002</v>
      </c>
    </row>
    <row r="3" spans="1:9" x14ac:dyDescent="0.25">
      <c r="A3" t="s">
        <v>84</v>
      </c>
      <c r="B3" s="46" t="s">
        <v>83</v>
      </c>
      <c r="C3" s="91">
        <f>[4]Input!G179</f>
        <v>22.803699310270552</v>
      </c>
      <c r="D3" s="91">
        <f>[4]Input!H179</f>
        <v>23.252851375471149</v>
      </c>
      <c r="E3" s="91">
        <f>[4]Input!I179</f>
        <v>23.7100354418377</v>
      </c>
      <c r="F3" s="91">
        <f>[4]Input!J179</f>
        <v>24.173043509049691</v>
      </c>
      <c r="G3" s="91">
        <f>[4]Input!K179</f>
        <v>24.64008357684698</v>
      </c>
      <c r="H3" s="90">
        <f>SUM(C3:G3)</f>
        <v>118.57971321347607</v>
      </c>
    </row>
    <row r="4" spans="1:9" x14ac:dyDescent="0.25">
      <c r="A4" t="s">
        <v>84</v>
      </c>
      <c r="B4" s="82" t="s">
        <v>82</v>
      </c>
      <c r="C4" s="175">
        <f>'[5]PTRM input'!G179</f>
        <v>33.85</v>
      </c>
      <c r="D4" s="175">
        <f>'[5]PTRM input'!H179</f>
        <v>35.39</v>
      </c>
      <c r="E4" s="175">
        <f>'[5]PTRM input'!I179</f>
        <v>36.82</v>
      </c>
      <c r="F4" s="175">
        <f>'[5]PTRM input'!J179</f>
        <v>37.79</v>
      </c>
      <c r="G4" s="175">
        <f>'[5]PTRM input'!K179</f>
        <v>38.750000000000007</v>
      </c>
      <c r="H4" s="90">
        <f>SUM(C4:G4)</f>
        <v>182.6</v>
      </c>
    </row>
    <row r="5" spans="1:9" x14ac:dyDescent="0.25">
      <c r="B5" s="82" t="s">
        <v>103</v>
      </c>
      <c r="C5" s="176">
        <f>(benchmarking!$F$7*'rate of change'!C2)+' step'!$D$6</f>
        <v>31955701.460829545</v>
      </c>
      <c r="D5" s="176">
        <f>(benchmarking!$F$7*'rate of change'!D2)+' step'!$D$6</f>
        <v>32585115.535746809</v>
      </c>
      <c r="E5" s="176">
        <f>(benchmarking!$F$7*'rate of change'!E2)+' step'!$D$6</f>
        <v>33225785.16301547</v>
      </c>
      <c r="F5" s="176">
        <f>(benchmarking!$F$7*'rate of change'!F2)+' step'!$D$6</f>
        <v>33874616.186809845</v>
      </c>
      <c r="G5" s="176">
        <f>(benchmarking!$F$7*'rate of change'!G2)+' step'!$D$6</f>
        <v>34529097.408198953</v>
      </c>
      <c r="H5" s="72">
        <f>SUM(C5:G5)/10^6</f>
        <v>166.17031575460061</v>
      </c>
    </row>
    <row r="6" spans="1:9" x14ac:dyDescent="0.25">
      <c r="A6" t="s">
        <v>84</v>
      </c>
      <c r="B6" s="82" t="s">
        <v>106</v>
      </c>
      <c r="C6" s="91">
        <f>C5/1000000</f>
        <v>31.955701460829545</v>
      </c>
      <c r="D6" s="91">
        <f t="shared" ref="D6:G6" si="0">D5/1000000</f>
        <v>32.585115535746809</v>
      </c>
      <c r="E6" s="91">
        <f t="shared" si="0"/>
        <v>33.225785163015473</v>
      </c>
      <c r="F6" s="91">
        <f t="shared" si="0"/>
        <v>33.874616186809845</v>
      </c>
      <c r="G6" s="91">
        <f t="shared" si="0"/>
        <v>34.52909740819895</v>
      </c>
      <c r="H6" s="90">
        <f t="shared" ref="H6" si="1">SUM(C6:G6)</f>
        <v>166.17031575460061</v>
      </c>
      <c r="I6" s="7"/>
    </row>
    <row r="7" spans="1:9" x14ac:dyDescent="0.25">
      <c r="C7" s="72"/>
      <c r="D7" s="72"/>
      <c r="E7" s="72"/>
      <c r="F7" s="72"/>
      <c r="G7" s="72"/>
      <c r="H7" s="90"/>
    </row>
    <row r="9" spans="1:9" x14ac:dyDescent="0.25">
      <c r="C9" s="68"/>
      <c r="D9" s="68"/>
      <c r="E9" s="68"/>
      <c r="F9" s="68"/>
      <c r="G9" s="68"/>
    </row>
    <row r="10" spans="1:9" x14ac:dyDescent="0.25">
      <c r="H10" s="7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CPI</vt:lpstr>
      <vt:lpstr>customer numbers</vt:lpstr>
      <vt:lpstr>raw base</vt:lpstr>
      <vt:lpstr>adjustments</vt:lpstr>
      <vt:lpstr>base</vt:lpstr>
      <vt:lpstr>benchmarking</vt:lpstr>
      <vt:lpstr> step</vt:lpstr>
      <vt:lpstr>rate of change</vt:lpstr>
      <vt:lpstr>trend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</dc:creator>
  <cp:lastModifiedBy>Makani, Jeevika</cp:lastModifiedBy>
  <dcterms:created xsi:type="dcterms:W3CDTF">2014-08-25T00:28:33Z</dcterms:created>
  <dcterms:modified xsi:type="dcterms:W3CDTF">2015-10-23T04:36:44Z</dcterms:modified>
</cp:coreProperties>
</file>