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-555" yWindow="-120" windowWidth="15660" windowHeight="12975" activeTab="3"/>
  </bookViews>
  <sheets>
    <sheet name="Input Data" sheetId="5" r:id="rId1"/>
    <sheet name="Public Lighting Pricing" sheetId="2" r:id="rId2"/>
    <sheet name="Exit Fees" sheetId="4" r:id="rId3"/>
    <sheet name="Output Tables" sheetId="3" r:id="rId4"/>
  </sheets>
  <externalReferences>
    <externalReference r:id="rId5"/>
    <externalReference r:id="rId6"/>
    <externalReference r:id="rId7"/>
  </externalReferences>
  <calcPr calcId="145621"/>
</workbook>
</file>

<file path=xl/calcChain.xml><?xml version="1.0" encoding="utf-8"?>
<calcChain xmlns="http://schemas.openxmlformats.org/spreadsheetml/2006/main">
  <c r="F1" i="4" l="1"/>
  <c r="F1" i="3"/>
  <c r="B5" i="2" l="1"/>
  <c r="C5" i="2"/>
  <c r="D5" i="2"/>
  <c r="E5" i="2"/>
  <c r="F5" i="2"/>
  <c r="E3" i="4" l="1"/>
  <c r="F2" i="4" s="1"/>
  <c r="F4" i="4" s="1"/>
  <c r="F12" i="4" s="1"/>
  <c r="F3" i="4"/>
  <c r="D3" i="4"/>
  <c r="E2" i="4" s="1"/>
  <c r="E4" i="4" s="1"/>
  <c r="C3" i="4"/>
  <c r="D2" i="4"/>
  <c r="D4" i="4" s="1"/>
  <c r="B3" i="4"/>
  <c r="C2" i="4" s="1"/>
  <c r="C4" i="4" s="1"/>
  <c r="B2" i="4"/>
  <c r="B4" i="4"/>
  <c r="B12" i="4" s="1"/>
  <c r="B7" i="4"/>
  <c r="B59" i="4"/>
  <c r="B58" i="4"/>
  <c r="B56" i="4"/>
  <c r="B55" i="4"/>
  <c r="B51" i="4"/>
  <c r="B157" i="2"/>
  <c r="B170" i="2"/>
  <c r="B156" i="2"/>
  <c r="B169" i="2"/>
  <c r="B153" i="2"/>
  <c r="B166" i="2"/>
  <c r="B152" i="2"/>
  <c r="B165" i="2"/>
  <c r="A160" i="2"/>
  <c r="A161" i="2"/>
  <c r="A162" i="2"/>
  <c r="A159" i="2"/>
  <c r="A124" i="2"/>
  <c r="A138" i="2"/>
  <c r="A142" i="2"/>
  <c r="A128" i="2"/>
  <c r="A123" i="2"/>
  <c r="A127" i="2"/>
  <c r="B118" i="2"/>
  <c r="C147" i="2"/>
  <c r="B117" i="2"/>
  <c r="C146" i="2"/>
  <c r="A153" i="2"/>
  <c r="A157" i="2"/>
  <c r="A137" i="2"/>
  <c r="A152" i="2"/>
  <c r="A156" i="2"/>
  <c r="A141" i="2"/>
  <c r="E1" i="3"/>
  <c r="D1" i="3"/>
  <c r="C1" i="3"/>
  <c r="B1" i="3"/>
  <c r="E1" i="4"/>
  <c r="D1" i="4"/>
  <c r="C1" i="4"/>
  <c r="B1" i="4"/>
  <c r="F1" i="2"/>
  <c r="F17" i="2" s="1"/>
  <c r="E1" i="2"/>
  <c r="D1" i="2"/>
  <c r="D17" i="2" s="1"/>
  <c r="C1" i="2"/>
  <c r="B1" i="2"/>
  <c r="B17" i="2" s="1"/>
  <c r="F1" i="5"/>
  <c r="E1" i="5"/>
  <c r="D1" i="5"/>
  <c r="C1" i="5"/>
  <c r="B1" i="5"/>
  <c r="F50" i="2"/>
  <c r="E50" i="2"/>
  <c r="D50" i="2"/>
  <c r="C50" i="2"/>
  <c r="B50" i="2"/>
  <c r="F49" i="2"/>
  <c r="E49" i="2"/>
  <c r="D49" i="2"/>
  <c r="C49" i="2"/>
  <c r="B49" i="2"/>
  <c r="F45" i="2"/>
  <c r="E45" i="2"/>
  <c r="D45" i="2"/>
  <c r="C45" i="2"/>
  <c r="B45" i="2"/>
  <c r="F44" i="2"/>
  <c r="E44" i="2"/>
  <c r="D44" i="2"/>
  <c r="C44" i="2"/>
  <c r="B44" i="2"/>
  <c r="F38" i="2"/>
  <c r="E38" i="2"/>
  <c r="D38" i="2"/>
  <c r="C38" i="2"/>
  <c r="B38" i="2"/>
  <c r="F37" i="2"/>
  <c r="E37" i="2"/>
  <c r="D37" i="2"/>
  <c r="C37" i="2"/>
  <c r="B37" i="2"/>
  <c r="C32" i="2"/>
  <c r="D32" i="2"/>
  <c r="E32" i="2"/>
  <c r="F32" i="2"/>
  <c r="C33" i="2"/>
  <c r="D33" i="2"/>
  <c r="E33" i="2"/>
  <c r="F33" i="2"/>
  <c r="B33" i="2"/>
  <c r="B32" i="2"/>
  <c r="B26" i="2"/>
  <c r="B25" i="2"/>
  <c r="B21" i="2"/>
  <c r="B20" i="2"/>
  <c r="B12" i="5"/>
  <c r="B11" i="5"/>
  <c r="B6" i="5"/>
  <c r="F36" i="5"/>
  <c r="B36" i="5"/>
  <c r="F35" i="5"/>
  <c r="E35" i="5"/>
  <c r="D35" i="5"/>
  <c r="C35" i="5"/>
  <c r="C36" i="5"/>
  <c r="B35" i="5"/>
  <c r="F30" i="5"/>
  <c r="E30" i="5"/>
  <c r="E36" i="5"/>
  <c r="D30" i="5"/>
  <c r="D36" i="5"/>
  <c r="C30" i="5"/>
  <c r="B30" i="5"/>
  <c r="E24" i="5"/>
  <c r="F23" i="5"/>
  <c r="F24" i="5"/>
  <c r="E23" i="5"/>
  <c r="D23" i="5"/>
  <c r="C23" i="5"/>
  <c r="B23" i="5"/>
  <c r="B24" i="5"/>
  <c r="F18" i="5"/>
  <c r="E18" i="5"/>
  <c r="D18" i="5"/>
  <c r="D24" i="5"/>
  <c r="C18" i="5"/>
  <c r="C24" i="5"/>
  <c r="B18" i="5"/>
  <c r="A11" i="3"/>
  <c r="A10" i="3"/>
  <c r="A9" i="3"/>
  <c r="A8" i="3"/>
  <c r="A3" i="3"/>
  <c r="A2" i="3"/>
  <c r="A7" i="3"/>
  <c r="F46" i="2"/>
  <c r="E46" i="2"/>
  <c r="D46" i="2"/>
  <c r="C46" i="2"/>
  <c r="B46" i="2"/>
  <c r="B62" i="2"/>
  <c r="C26" i="2"/>
  <c r="C62" i="2"/>
  <c r="D26" i="2"/>
  <c r="D62" i="2"/>
  <c r="E26" i="2"/>
  <c r="E62" i="2"/>
  <c r="F26" i="2"/>
  <c r="F62" i="2"/>
  <c r="B61" i="2"/>
  <c r="B57" i="2"/>
  <c r="C21" i="2"/>
  <c r="B56" i="2"/>
  <c r="C20" i="2"/>
  <c r="C56" i="2"/>
  <c r="F51" i="2"/>
  <c r="E51" i="2"/>
  <c r="D51" i="2"/>
  <c r="C51" i="2"/>
  <c r="B51" i="2"/>
  <c r="F39" i="2"/>
  <c r="E39" i="2"/>
  <c r="D39" i="2"/>
  <c r="C39" i="2"/>
  <c r="B39" i="2"/>
  <c r="F34" i="2"/>
  <c r="E34" i="2"/>
  <c r="D34" i="2"/>
  <c r="C34" i="2"/>
  <c r="B34" i="2"/>
  <c r="E17" i="2"/>
  <c r="C17" i="2"/>
  <c r="D52" i="2"/>
  <c r="C52" i="2"/>
  <c r="B70" i="2"/>
  <c r="B76" i="2"/>
  <c r="C70" i="2"/>
  <c r="C76" i="2"/>
  <c r="B71" i="2"/>
  <c r="D76" i="2"/>
  <c r="E76" i="2"/>
  <c r="B75" i="2"/>
  <c r="F76" i="2"/>
  <c r="B22" i="2"/>
  <c r="E52" i="2"/>
  <c r="C67" i="2"/>
  <c r="D67" i="2"/>
  <c r="E67" i="2"/>
  <c r="B67" i="2"/>
  <c r="B52" i="2"/>
  <c r="F52" i="2"/>
  <c r="C25" i="2"/>
  <c r="B63" i="2"/>
  <c r="B3" i="3"/>
  <c r="B27" i="2"/>
  <c r="D20" i="2"/>
  <c r="D56" i="2"/>
  <c r="C22" i="2"/>
  <c r="B58" i="2"/>
  <c r="B2" i="3"/>
  <c r="C57" i="2"/>
  <c r="C40" i="2"/>
  <c r="F40" i="2"/>
  <c r="B40" i="2"/>
  <c r="E40" i="2"/>
  <c r="D40" i="2"/>
  <c r="B159" i="2"/>
  <c r="B77" i="2"/>
  <c r="B80" i="2"/>
  <c r="B92" i="2"/>
  <c r="B8" i="4"/>
  <c r="B79" i="2"/>
  <c r="D70" i="2"/>
  <c r="D21" i="2"/>
  <c r="D22" i="2"/>
  <c r="C71" i="2"/>
  <c r="B72" i="2"/>
  <c r="B28" i="2"/>
  <c r="B64" i="2"/>
  <c r="C61" i="2"/>
  <c r="C75" i="2"/>
  <c r="C77" i="2"/>
  <c r="C27" i="2"/>
  <c r="C28" i="2"/>
  <c r="C58" i="2"/>
  <c r="C2" i="3"/>
  <c r="E20" i="2"/>
  <c r="B65" i="2"/>
  <c r="B5" i="3"/>
  <c r="B78" i="2"/>
  <c r="B81" i="2"/>
  <c r="B91" i="2"/>
  <c r="C72" i="2"/>
  <c r="C78" i="2"/>
  <c r="C80" i="2"/>
  <c r="C79" i="2"/>
  <c r="C91" i="2"/>
  <c r="D57" i="2"/>
  <c r="D71" i="2"/>
  <c r="D25" i="2"/>
  <c r="C63" i="2"/>
  <c r="E56" i="2"/>
  <c r="E70" i="2"/>
  <c r="C92" i="2"/>
  <c r="C8" i="4"/>
  <c r="B93" i="2"/>
  <c r="B9" i="4"/>
  <c r="C7" i="4"/>
  <c r="C81" i="2"/>
  <c r="D72" i="2"/>
  <c r="D80" i="2"/>
  <c r="D92" i="2"/>
  <c r="D8" i="4"/>
  <c r="E21" i="2"/>
  <c r="D58" i="2"/>
  <c r="D2" i="3"/>
  <c r="C64" i="2"/>
  <c r="C65" i="2"/>
  <c r="C5" i="3"/>
  <c r="C3" i="3"/>
  <c r="D27" i="2"/>
  <c r="D28" i="2"/>
  <c r="D61" i="2"/>
  <c r="D75" i="2"/>
  <c r="F20" i="2"/>
  <c r="C93" i="2"/>
  <c r="C9" i="4"/>
  <c r="D77" i="2"/>
  <c r="D78" i="2"/>
  <c r="D79" i="2"/>
  <c r="D91" i="2"/>
  <c r="E57" i="2"/>
  <c r="E71" i="2"/>
  <c r="E22" i="2"/>
  <c r="D63" i="2"/>
  <c r="E25" i="2"/>
  <c r="F56" i="2"/>
  <c r="D93" i="2"/>
  <c r="D9" i="4"/>
  <c r="D7" i="4"/>
  <c r="D81" i="2"/>
  <c r="E72" i="2"/>
  <c r="E80" i="2"/>
  <c r="E92" i="2"/>
  <c r="E8" i="4"/>
  <c r="F70" i="2"/>
  <c r="F21" i="2"/>
  <c r="E58" i="2"/>
  <c r="E2" i="3"/>
  <c r="D64" i="2"/>
  <c r="D65" i="2"/>
  <c r="D5" i="3"/>
  <c r="D3" i="3"/>
  <c r="E27" i="2"/>
  <c r="E28" i="2"/>
  <c r="E61" i="2"/>
  <c r="E75" i="2"/>
  <c r="E77" i="2"/>
  <c r="E78" i="2"/>
  <c r="E79" i="2"/>
  <c r="E91" i="2"/>
  <c r="F57" i="2"/>
  <c r="F58" i="2"/>
  <c r="F2" i="3"/>
  <c r="F22" i="2"/>
  <c r="F25" i="2"/>
  <c r="E63" i="2"/>
  <c r="E93" i="2"/>
  <c r="E9" i="4"/>
  <c r="E7" i="4"/>
  <c r="E81" i="2"/>
  <c r="F71" i="2"/>
  <c r="E64" i="2"/>
  <c r="E65" i="2"/>
  <c r="E5" i="3"/>
  <c r="E3" i="3"/>
  <c r="F61" i="2"/>
  <c r="F63" i="2"/>
  <c r="F27" i="2"/>
  <c r="F28" i="2"/>
  <c r="F72" i="2"/>
  <c r="F80" i="2"/>
  <c r="F92" i="2"/>
  <c r="F8" i="4"/>
  <c r="F75" i="2"/>
  <c r="F64" i="2"/>
  <c r="F65" i="2"/>
  <c r="F5" i="3"/>
  <c r="F3" i="3"/>
  <c r="F77" i="2"/>
  <c r="F78" i="2"/>
  <c r="F79" i="2"/>
  <c r="F91" i="2"/>
  <c r="F93" i="2"/>
  <c r="F9" i="4"/>
  <c r="F7" i="4"/>
  <c r="F81" i="2"/>
  <c r="B9" i="3"/>
  <c r="B8" i="3"/>
  <c r="B11" i="3"/>
  <c r="B10" i="3"/>
  <c r="F67" i="2" l="1"/>
  <c r="F13" i="4"/>
  <c r="B13" i="4"/>
  <c r="B19" i="4"/>
  <c r="B18" i="4"/>
  <c r="B14" i="4"/>
  <c r="C12" i="4"/>
  <c r="C13" i="4"/>
  <c r="D12" i="4"/>
  <c r="D13" i="4"/>
  <c r="E12" i="4"/>
  <c r="E13" i="4"/>
  <c r="F18" i="4"/>
  <c r="F14" i="4"/>
  <c r="F19" i="4" l="1"/>
  <c r="E18" i="4"/>
  <c r="E14" i="4"/>
  <c r="E19" i="4"/>
  <c r="D18" i="4"/>
  <c r="D19" i="4" s="1"/>
  <c r="D28" i="4" s="1"/>
  <c r="D37" i="4" s="1"/>
  <c r="D14" i="4"/>
  <c r="C18" i="4"/>
  <c r="C19" i="4"/>
  <c r="C14" i="4"/>
  <c r="B27" i="4"/>
  <c r="B22" i="4"/>
  <c r="B31" i="4" s="1"/>
  <c r="B40" i="4" s="1"/>
  <c r="B21" i="4"/>
  <c r="B30" i="4" s="1"/>
  <c r="B39" i="4" s="1"/>
  <c r="E21" i="4"/>
  <c r="E30" i="4" s="1"/>
  <c r="E39" i="4" s="1"/>
  <c r="E22" i="4"/>
  <c r="E31" i="4" s="1"/>
  <c r="E40" i="4" s="1"/>
  <c r="D21" i="4"/>
  <c r="D30" i="4" s="1"/>
  <c r="D39" i="4" s="1"/>
  <c r="D22" i="4"/>
  <c r="D31" i="4" s="1"/>
  <c r="D40" i="4" s="1"/>
  <c r="C21" i="4"/>
  <c r="C30" i="4" s="1"/>
  <c r="C39" i="4" s="1"/>
  <c r="C22" i="4"/>
  <c r="C31" i="4" s="1"/>
  <c r="C40" i="4" s="1"/>
  <c r="B28" i="4"/>
  <c r="B37" i="4" s="1"/>
  <c r="F21" i="4"/>
  <c r="F30" i="4" s="1"/>
  <c r="F39" i="4" s="1"/>
  <c r="B36" i="4" l="1"/>
  <c r="B32" i="4"/>
  <c r="C28" i="4"/>
  <c r="C37" i="4" s="1"/>
  <c r="E28" i="4"/>
  <c r="E37" i="4" s="1"/>
  <c r="E27" i="4"/>
  <c r="E23" i="4"/>
  <c r="F22" i="4"/>
  <c r="F31" i="4" s="1"/>
  <c r="F40" i="4" s="1"/>
  <c r="B23" i="4"/>
  <c r="C27" i="4"/>
  <c r="C23" i="4"/>
  <c r="D23" i="4"/>
  <c r="D27" i="4"/>
  <c r="F27" i="4"/>
  <c r="F28" i="4"/>
  <c r="F37" i="4" s="1"/>
  <c r="E36" i="4" l="1"/>
  <c r="E32" i="4"/>
  <c r="D36" i="4"/>
  <c r="D32" i="4"/>
  <c r="F36" i="4"/>
  <c r="F32" i="4"/>
  <c r="C36" i="4"/>
  <c r="C32" i="4"/>
  <c r="F23" i="4"/>
  <c r="B10" i="2" l="1"/>
  <c r="B9" i="2" l="1"/>
  <c r="B11" i="2" s="1"/>
  <c r="B100" i="2" l="1"/>
  <c r="B101" i="2" s="1"/>
  <c r="B103" i="2"/>
  <c r="B104" i="2" s="1"/>
  <c r="C9" i="2"/>
  <c r="C10" i="2"/>
  <c r="C11" i="2" l="1"/>
  <c r="C103" i="2" s="1"/>
  <c r="C104" i="2" s="1"/>
  <c r="C100" i="2" l="1"/>
  <c r="C101" i="2" s="1"/>
  <c r="D10" i="2" l="1"/>
  <c r="D9" i="2"/>
  <c r="D11" i="2" l="1"/>
  <c r="D100" i="2" s="1"/>
  <c r="D101" i="2" s="1"/>
  <c r="E9" i="2"/>
  <c r="F10" i="2"/>
  <c r="D103" i="2" l="1"/>
  <c r="D104" i="2" s="1"/>
  <c r="E10" i="2"/>
  <c r="E11" i="2" s="1"/>
  <c r="F9" i="2"/>
  <c r="F11" i="2" s="1"/>
  <c r="E100" i="2" l="1"/>
  <c r="E101" i="2" s="1"/>
  <c r="E103" i="2"/>
  <c r="E104" i="2" s="1"/>
  <c r="F103" i="2"/>
  <c r="F104" i="2" s="1"/>
  <c r="F100" i="2"/>
  <c r="F101" i="2" s="1"/>
  <c r="B4" i="2" l="1"/>
  <c r="B6" i="2" l="1"/>
  <c r="B7" i="2" s="1"/>
  <c r="C4" i="2"/>
  <c r="B97" i="2" l="1"/>
  <c r="B12" i="2"/>
  <c r="B14" i="2" s="1"/>
  <c r="B110" i="2" l="1"/>
  <c r="B124" i="2" s="1"/>
  <c r="C124" i="2" s="1"/>
  <c r="D124" i="2" s="1"/>
  <c r="E124" i="2" s="1"/>
  <c r="F124" i="2" s="1"/>
  <c r="B98" i="2"/>
  <c r="B109" i="2"/>
  <c r="B123" i="2" s="1"/>
  <c r="D4" i="2"/>
  <c r="E4" i="2"/>
  <c r="B114" i="2" l="1"/>
  <c r="B128" i="2" s="1"/>
  <c r="C128" i="2" s="1"/>
  <c r="D128" i="2" s="1"/>
  <c r="E128" i="2" s="1"/>
  <c r="F128" i="2" s="1"/>
  <c r="B113" i="2"/>
  <c r="B127" i="2" s="1"/>
  <c r="C127" i="2" s="1"/>
  <c r="D127" i="2" s="1"/>
  <c r="E127" i="2" s="1"/>
  <c r="F127" i="2" s="1"/>
  <c r="C123" i="2"/>
  <c r="B130" i="2"/>
  <c r="C130" i="2" l="1"/>
  <c r="D123" i="2"/>
  <c r="C6" i="2"/>
  <c r="C7" i="2" s="1"/>
  <c r="C97" i="2" l="1"/>
  <c r="C12" i="2"/>
  <c r="C14" i="2" s="1"/>
  <c r="D130" i="2"/>
  <c r="E123" i="2"/>
  <c r="F4" i="2"/>
  <c r="F123" i="2" l="1"/>
  <c r="F130" i="2" s="1"/>
  <c r="E130" i="2"/>
  <c r="B131" i="2"/>
  <c r="C98" i="2"/>
  <c r="C110" i="2"/>
  <c r="C153" i="2" s="1"/>
  <c r="C109" i="2"/>
  <c r="C152" i="2" s="1"/>
  <c r="C165" i="2" l="1"/>
  <c r="C8" i="3" s="1"/>
  <c r="D152" i="2"/>
  <c r="C113" i="2"/>
  <c r="C156" i="2" s="1"/>
  <c r="C114" i="2"/>
  <c r="C157" i="2" s="1"/>
  <c r="D153" i="2"/>
  <c r="C166" i="2"/>
  <c r="C9" i="3" s="1"/>
  <c r="D166" i="2" l="1"/>
  <c r="D9" i="3" s="1"/>
  <c r="E153" i="2"/>
  <c r="D156" i="2"/>
  <c r="C169" i="2"/>
  <c r="C10" i="3" s="1"/>
  <c r="D165" i="2"/>
  <c r="D8" i="3" s="1"/>
  <c r="E152" i="2"/>
  <c r="D159" i="2"/>
  <c r="D157" i="2"/>
  <c r="C170" i="2"/>
  <c r="C11" i="3" s="1"/>
  <c r="C159" i="2"/>
  <c r="E157" i="2" l="1"/>
  <c r="D170" i="2"/>
  <c r="D11" i="3" s="1"/>
  <c r="E165" i="2"/>
  <c r="E8" i="3" s="1"/>
  <c r="F152" i="2"/>
  <c r="F153" i="2"/>
  <c r="F166" i="2" s="1"/>
  <c r="F9" i="3" s="1"/>
  <c r="E166" i="2"/>
  <c r="E9" i="3" s="1"/>
  <c r="D169" i="2"/>
  <c r="D10" i="3" s="1"/>
  <c r="E156" i="2"/>
  <c r="D6" i="2"/>
  <c r="D7" i="2" s="1"/>
  <c r="D12" i="2" l="1"/>
  <c r="D14" i="2" s="1"/>
  <c r="D97" i="2"/>
  <c r="F165" i="2"/>
  <c r="F8" i="3" s="1"/>
  <c r="F156" i="2"/>
  <c r="F169" i="2" s="1"/>
  <c r="F10" i="3" s="1"/>
  <c r="E169" i="2"/>
  <c r="E10" i="3" s="1"/>
  <c r="E159" i="2"/>
  <c r="E170" i="2"/>
  <c r="E11" i="3" s="1"/>
  <c r="F157" i="2"/>
  <c r="F170" i="2" s="1"/>
  <c r="F11" i="3" s="1"/>
  <c r="F159" i="2" l="1"/>
  <c r="B160" i="2" s="1"/>
  <c r="D110" i="2"/>
  <c r="D109" i="2"/>
  <c r="D98" i="2"/>
  <c r="D113" i="2" l="1"/>
  <c r="D114" i="2"/>
  <c r="E6" i="2" l="1"/>
  <c r="E7" i="2" s="1"/>
  <c r="E12" i="2" l="1"/>
  <c r="E14" i="2" s="1"/>
  <c r="E97" i="2"/>
  <c r="E110" i="2" l="1"/>
  <c r="E98" i="2"/>
  <c r="E109" i="2"/>
  <c r="E113" i="2" l="1"/>
  <c r="E114" i="2"/>
  <c r="F6" i="2" l="1"/>
  <c r="F7" i="2" s="1"/>
  <c r="F12" i="2" l="1"/>
  <c r="F14" i="2" s="1"/>
  <c r="B132" i="2" s="1"/>
  <c r="F97" i="2"/>
  <c r="F98" i="2" l="1"/>
  <c r="F110" i="2"/>
  <c r="F109" i="2"/>
  <c r="B161" i="2"/>
  <c r="B162" i="2" s="1"/>
  <c r="B133" i="2"/>
  <c r="F113" i="2" l="1"/>
  <c r="F114" i="2"/>
</calcChain>
</file>

<file path=xl/sharedStrings.xml><?xml version="1.0" encoding="utf-8"?>
<sst xmlns="http://schemas.openxmlformats.org/spreadsheetml/2006/main" count="205" uniqueCount="78">
  <si>
    <t>Total</t>
  </si>
  <si>
    <t>Opening Population Public Lights</t>
  </si>
  <si>
    <t>Ergon Owned &amp; Operated</t>
  </si>
  <si>
    <t>Major</t>
  </si>
  <si>
    <t>Minor</t>
  </si>
  <si>
    <t>Plus Additions</t>
  </si>
  <si>
    <t>Less Disposals</t>
  </si>
  <si>
    <t>Closing Population Public Lights</t>
  </si>
  <si>
    <t>Total Opening Lights</t>
  </si>
  <si>
    <t>Total Additionas</t>
  </si>
  <si>
    <t>Total Disposals</t>
  </si>
  <si>
    <t>Gifted &amp; Ergon Operated</t>
  </si>
  <si>
    <t>Connections</t>
  </si>
  <si>
    <t>Growth</t>
  </si>
  <si>
    <t>Return on capital</t>
  </si>
  <si>
    <t>Return of capital</t>
  </si>
  <si>
    <t>O&amp;M</t>
  </si>
  <si>
    <t>Carry-over amounts</t>
  </si>
  <si>
    <t>Benchmark Tax liability</t>
  </si>
  <si>
    <t>Building Block</t>
  </si>
  <si>
    <t>LED Accelerated Depreciation</t>
  </si>
  <si>
    <t>Adjusted ARR</t>
  </si>
  <si>
    <t>ARR as per PTRM</t>
  </si>
  <si>
    <t>Average Major</t>
  </si>
  <si>
    <t>Average Minor</t>
  </si>
  <si>
    <t>Grand total</t>
  </si>
  <si>
    <t>Pricing Allocators</t>
  </si>
  <si>
    <t>Proportion of asset base related to refurbishment</t>
  </si>
  <si>
    <t>Relativity Major to Minor</t>
  </si>
  <si>
    <t>Opex + tax</t>
  </si>
  <si>
    <t>Asset charge</t>
  </si>
  <si>
    <t>Special allowance</t>
  </si>
  <si>
    <t>Opex Charge</t>
  </si>
  <si>
    <t>Capex Charge</t>
  </si>
  <si>
    <t>Total Opex Charge</t>
  </si>
  <si>
    <t>Total Capex Charge</t>
  </si>
  <si>
    <t>Price Components</t>
  </si>
  <si>
    <t>Refurbishment Charge</t>
  </si>
  <si>
    <t>Major Prices (Real 2014-15 Per Day)</t>
  </si>
  <si>
    <t>Minor Prices (Real 2014-15 Per Day)</t>
  </si>
  <si>
    <t>Opening RAB</t>
  </si>
  <si>
    <t>Closing RAB</t>
  </si>
  <si>
    <t>Average for Year</t>
  </si>
  <si>
    <t>Weighted Average No of Lights</t>
  </si>
  <si>
    <t>Allocation by Weighted Average # Lights</t>
  </si>
  <si>
    <t xml:space="preserve">Allocation of RAB Value </t>
  </si>
  <si>
    <t>Average No of Lights</t>
  </si>
  <si>
    <t>Allocated Asset Value $m</t>
  </si>
  <si>
    <t>Exit Value  $ per Light</t>
  </si>
  <si>
    <t>Street Light Additions by Type</t>
  </si>
  <si>
    <t>Ergon Owned &amp; Operated = Opex + Capex + Refurb</t>
  </si>
  <si>
    <t>Gifted &amp; Ergon Operated = Opex + Refurb</t>
  </si>
  <si>
    <t>RAB $m Nominal</t>
  </si>
  <si>
    <t>Pricing Days in Year</t>
  </si>
  <si>
    <t>Unsmoothed Major Prices (Nominal Per Day)</t>
  </si>
  <si>
    <t>Unsmoothed Minor Prices (Nominal Per Day)</t>
  </si>
  <si>
    <t>Price smoothed by 'normal' method</t>
  </si>
  <si>
    <t>Expected CPI</t>
  </si>
  <si>
    <t>Discount rate for smoothing</t>
  </si>
  <si>
    <t>X factor</t>
  </si>
  <si>
    <t>Z factor</t>
  </si>
  <si>
    <t>Normally Smoothed Major Prices</t>
  </si>
  <si>
    <t>Normally Smoothed Minor Prices</t>
  </si>
  <si>
    <t>Recovered revenue</t>
  </si>
  <si>
    <t>NPV of recovered revenue</t>
  </si>
  <si>
    <t>NPV of revenue requirement</t>
  </si>
  <si>
    <t>Difference</t>
  </si>
  <si>
    <t>Major Prices</t>
  </si>
  <si>
    <t>Minor Prices</t>
  </si>
  <si>
    <t>But Year 1 prices are locked in at Prelim Dec values</t>
  </si>
  <si>
    <t>Therefore weneed to look at years 2 to 5</t>
  </si>
  <si>
    <t>Price smoothed accounting for pre-set Yr 1 prices</t>
  </si>
  <si>
    <t>Custom Smoothed Major Prices</t>
  </si>
  <si>
    <t>Custom Smoothed Minor Prices</t>
  </si>
  <si>
    <t>Single selected value for the 5 years</t>
  </si>
  <si>
    <t>Estimated administrative cost of early  PL exit</t>
  </si>
  <si>
    <t>Proposed exit fees</t>
  </si>
  <si>
    <t>Proposed Administration Exit Fees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</si>
</sst>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_);_(* \(#,##0\);_(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#,##0.0000"/>
    <numFmt numFmtId="168" formatCode="0.00000"/>
    <numFmt numFmtId="169" formatCode="#,##0_);[Red]\(#,##0\);\-"/>
    <numFmt numFmtId="170" formatCode="_-* #,##0.00000_-;\-* #,##0.000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rgb="FF0070C0"/>
      <name val="Arial"/>
      <family val="2"/>
    </font>
    <font>
      <sz val="12"/>
      <color theme="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3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/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3" borderId="0" applyFont="0" applyBorder="0" applyAlignment="0">
      <alignment horizontal="right"/>
      <protection locked="0"/>
    </xf>
    <xf numFmtId="164" fontId="2" fillId="4" borderId="0" applyFont="0" applyBorder="0">
      <alignment horizontal="right"/>
      <protection locked="0"/>
    </xf>
    <xf numFmtId="9" fontId="2" fillId="0" borderId="0" applyFont="0" applyFill="0" applyBorder="0" applyAlignment="0" applyProtection="0"/>
    <xf numFmtId="166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9" fontId="8" fillId="0" borderId="0" applyBorder="0">
      <alignment vertical="center"/>
    </xf>
    <xf numFmtId="166" fontId="7" fillId="0" borderId="0" applyFont="0" applyFill="0" applyBorder="0" applyAlignment="0" applyProtection="0"/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3" borderId="0" applyFont="0" applyBorder="0" applyAlignment="0">
      <alignment horizontal="right"/>
      <protection locked="0"/>
    </xf>
    <xf numFmtId="164" fontId="2" fillId="4" borderId="0" applyFont="0" applyBorder="0">
      <alignment horizontal="right"/>
      <protection locked="0"/>
    </xf>
    <xf numFmtId="166" fontId="7" fillId="0" borderId="0" applyFont="0" applyFill="0" applyBorder="0" applyAlignment="0" applyProtection="0"/>
    <xf numFmtId="166" fontId="7" fillId="0" borderId="0" applyFont="0" applyFill="0" applyBorder="0" applyAlignment="0" applyProtection="0"/>
  </cellStyleXfs>
  <cellXfs count="90">
    <xf numFmtId="0" fontId="0" fillId="0" borderId="0" xfId="0"/>
    <xf numFmtId="0" fontId="3" fillId="0" borderId="0" xfId="0" applyFont="1"/>
    <xf numFmtId="3" fontId="4" fillId="2" borderId="1" xfId="0" applyNumberFormat="1" applyFont="1" applyFill="1" applyBorder="1" applyAlignment="1">
      <alignment horizontal="center" vertical="center" wrapText="1"/>
    </xf>
    <xf numFmtId="3" fontId="4" fillId="2" borderId="2" xfId="0" applyNumberFormat="1" applyFont="1" applyFill="1" applyBorder="1" applyAlignment="1">
      <alignment horizontal="center" vertical="center" wrapText="1"/>
    </xf>
    <xf numFmtId="2" fontId="3" fillId="0" borderId="7" xfId="0" applyNumberFormat="1" applyFont="1" applyBorder="1"/>
    <xf numFmtId="3" fontId="4" fillId="2" borderId="6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3" fillId="0" borderId="0" xfId="0" applyFont="1" applyAlignment="1">
      <alignment horizontal="left" indent="1"/>
    </xf>
    <xf numFmtId="3" fontId="3" fillId="0" borderId="4" xfId="0" applyNumberFormat="1" applyFont="1" applyBorder="1"/>
    <xf numFmtId="3" fontId="3" fillId="0" borderId="5" xfId="0" applyNumberFormat="1" applyFont="1" applyBorder="1"/>
    <xf numFmtId="3" fontId="5" fillId="0" borderId="4" xfId="0" applyNumberFormat="1" applyFont="1" applyBorder="1"/>
    <xf numFmtId="3" fontId="5" fillId="0" borderId="9" xfId="0" applyNumberFormat="1" applyFont="1" applyBorder="1"/>
    <xf numFmtId="3" fontId="6" fillId="0" borderId="4" xfId="0" applyNumberFormat="1" applyFont="1" applyBorder="1"/>
    <xf numFmtId="3" fontId="3" fillId="0" borderId="7" xfId="0" applyNumberFormat="1" applyFont="1" applyBorder="1"/>
    <xf numFmtId="10" fontId="3" fillId="0" borderId="0" xfId="1" applyNumberFormat="1" applyFont="1"/>
    <xf numFmtId="10" fontId="3" fillId="0" borderId="0" xfId="0" applyNumberFormat="1" applyFont="1"/>
    <xf numFmtId="3" fontId="5" fillId="0" borderId="0" xfId="0" applyNumberFormat="1" applyFont="1" applyBorder="1"/>
    <xf numFmtId="2" fontId="3" fillId="0" borderId="4" xfId="0" applyNumberFormat="1" applyFont="1" applyBorder="1"/>
    <xf numFmtId="2" fontId="3" fillId="0" borderId="5" xfId="0" applyNumberFormat="1" applyFont="1" applyBorder="1"/>
    <xf numFmtId="4" fontId="6" fillId="0" borderId="4" xfId="0" applyNumberFormat="1" applyFont="1" applyBorder="1"/>
    <xf numFmtId="2" fontId="3" fillId="0" borderId="0" xfId="0" applyNumberFormat="1" applyFont="1"/>
    <xf numFmtId="0" fontId="3" fillId="0" borderId="0" xfId="0" applyFont="1" applyAlignment="1">
      <alignment horizontal="left"/>
    </xf>
    <xf numFmtId="2" fontId="3" fillId="0" borderId="8" xfId="0" applyNumberFormat="1" applyFont="1" applyBorder="1"/>
    <xf numFmtId="0" fontId="3" fillId="0" borderId="4" xfId="0" applyFont="1" applyBorder="1"/>
    <xf numFmtId="3" fontId="5" fillId="0" borderId="5" xfId="0" applyNumberFormat="1" applyFont="1" applyBorder="1"/>
    <xf numFmtId="167" fontId="3" fillId="0" borderId="11" xfId="0" applyNumberFormat="1" applyFont="1" applyBorder="1"/>
    <xf numFmtId="167" fontId="3" fillId="0" borderId="7" xfId="0" applyNumberFormat="1" applyFont="1" applyBorder="1"/>
    <xf numFmtId="167" fontId="3" fillId="0" borderId="4" xfId="0" applyNumberFormat="1" applyFont="1" applyBorder="1"/>
    <xf numFmtId="3" fontId="3" fillId="0" borderId="11" xfId="0" applyNumberFormat="1" applyFont="1" applyBorder="1"/>
    <xf numFmtId="0" fontId="3" fillId="0" borderId="11" xfId="0" applyFont="1" applyBorder="1"/>
    <xf numFmtId="0" fontId="3" fillId="0" borderId="7" xfId="0" applyFont="1" applyBorder="1"/>
    <xf numFmtId="168" fontId="3" fillId="0" borderId="4" xfId="0" applyNumberFormat="1" applyFont="1" applyBorder="1"/>
    <xf numFmtId="168" fontId="3" fillId="0" borderId="7" xfId="0" applyNumberFormat="1" applyFont="1" applyBorder="1"/>
    <xf numFmtId="3" fontId="2" fillId="0" borderId="4" xfId="0" applyNumberFormat="1" applyFont="1" applyBorder="1"/>
    <xf numFmtId="9" fontId="3" fillId="0" borderId="0" xfId="1" applyFont="1" applyAlignment="1">
      <alignment horizontal="center"/>
    </xf>
    <xf numFmtId="0" fontId="3" fillId="0" borderId="0" xfId="0" applyFont="1" applyAlignment="1">
      <alignment horizontal="center"/>
    </xf>
    <xf numFmtId="2" fontId="5" fillId="0" borderId="5" xfId="0" applyNumberFormat="1" applyFont="1" applyBorder="1"/>
    <xf numFmtId="2" fontId="5" fillId="0" borderId="4" xfId="0" applyNumberFormat="1" applyFont="1" applyBorder="1"/>
    <xf numFmtId="4" fontId="3" fillId="0" borderId="4" xfId="0" applyNumberFormat="1" applyFont="1" applyBorder="1"/>
    <xf numFmtId="2" fontId="5" fillId="0" borderId="9" xfId="0" applyNumberFormat="1" applyFont="1" applyBorder="1"/>
    <xf numFmtId="3" fontId="4" fillId="5" borderId="18" xfId="0" applyNumberFormat="1" applyFont="1" applyFill="1" applyBorder="1" applyAlignment="1">
      <alignment horizontal="center" vertical="center" wrapText="1"/>
    </xf>
    <xf numFmtId="9" fontId="3" fillId="0" borderId="4" xfId="1" applyFont="1" applyBorder="1"/>
    <xf numFmtId="0" fontId="5" fillId="0" borderId="0" xfId="0" applyFont="1"/>
    <xf numFmtId="0" fontId="3" fillId="0" borderId="0" xfId="0" applyFont="1"/>
    <xf numFmtId="10" fontId="3" fillId="0" borderId="4" xfId="1" applyNumberFormat="1" applyFont="1" applyBorder="1"/>
    <xf numFmtId="0" fontId="3" fillId="0" borderId="0" xfId="0" applyFont="1"/>
    <xf numFmtId="168" fontId="3" fillId="0" borderId="4" xfId="0" applyNumberFormat="1" applyFont="1" applyBorder="1"/>
    <xf numFmtId="10" fontId="3" fillId="0" borderId="4" xfId="1" applyNumberFormat="1" applyFont="1" applyBorder="1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left" indent="1"/>
    </xf>
    <xf numFmtId="168" fontId="3" fillId="0" borderId="4" xfId="0" applyNumberFormat="1" applyFont="1" applyBorder="1"/>
    <xf numFmtId="10" fontId="3" fillId="0" borderId="4" xfId="1" applyNumberFormat="1" applyFont="1" applyBorder="1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left" indent="1"/>
    </xf>
    <xf numFmtId="168" fontId="3" fillId="0" borderId="4" xfId="0" applyNumberFormat="1" applyFont="1" applyBorder="1"/>
    <xf numFmtId="0" fontId="3" fillId="0" borderId="0" xfId="0" applyFont="1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left" indent="1"/>
    </xf>
    <xf numFmtId="168" fontId="3" fillId="0" borderId="4" xfId="0" applyNumberFormat="1" applyFont="1" applyBorder="1"/>
    <xf numFmtId="170" fontId="3" fillId="0" borderId="4" xfId="21" applyNumberFormat="1" applyFont="1" applyBorder="1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left" indent="1"/>
    </xf>
    <xf numFmtId="168" fontId="3" fillId="0" borderId="4" xfId="0" applyNumberFormat="1" applyFont="1" applyBorder="1"/>
    <xf numFmtId="170" fontId="3" fillId="0" borderId="4" xfId="21" applyNumberFormat="1" applyFont="1" applyBorder="1"/>
    <xf numFmtId="0" fontId="3" fillId="0" borderId="0" xfId="0" applyFont="1"/>
    <xf numFmtId="0" fontId="5" fillId="0" borderId="0" xfId="0" applyFont="1"/>
    <xf numFmtId="10" fontId="3" fillId="0" borderId="4" xfId="1" applyNumberFormat="1" applyFont="1" applyBorder="1"/>
    <xf numFmtId="0" fontId="3" fillId="0" borderId="0" xfId="0" applyFont="1"/>
    <xf numFmtId="0" fontId="5" fillId="0" borderId="0" xfId="0" applyFont="1"/>
    <xf numFmtId="0" fontId="3" fillId="0" borderId="0" xfId="0" applyFont="1" applyAlignment="1">
      <alignment horizontal="left" indent="1"/>
    </xf>
    <xf numFmtId="2" fontId="3" fillId="0" borderId="4" xfId="0" applyNumberFormat="1" applyFont="1" applyBorder="1"/>
    <xf numFmtId="168" fontId="3" fillId="0" borderId="4" xfId="0" applyNumberFormat="1" applyFont="1" applyBorder="1"/>
    <xf numFmtId="10" fontId="3" fillId="0" borderId="4" xfId="1" applyNumberFormat="1" applyFont="1" applyBorder="1"/>
    <xf numFmtId="170" fontId="3" fillId="0" borderId="4" xfId="21" applyNumberFormat="1" applyFont="1" applyBorder="1"/>
    <xf numFmtId="4" fontId="6" fillId="0" borderId="0" xfId="0" applyNumberFormat="1" applyFont="1" applyBorder="1"/>
    <xf numFmtId="4" fontId="3" fillId="0" borderId="0" xfId="0" applyNumberFormat="1" applyFont="1"/>
    <xf numFmtId="0" fontId="3" fillId="0" borderId="16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4" xfId="0" applyFont="1" applyBorder="1" applyAlignment="1">
      <alignment horizontal="center"/>
    </xf>
  </cellXfs>
  <cellStyles count="33">
    <cellStyle name="Calc 1" xfId="19"/>
    <cellStyle name="Comma" xfId="21" builtinId="3"/>
    <cellStyle name="Comma 2" xfId="10"/>
    <cellStyle name="Comma 2 2" xfId="17"/>
    <cellStyle name="Comma 2 2 2" xfId="31"/>
    <cellStyle name="Comma 2 3" xfId="26"/>
    <cellStyle name="Comma 3" xfId="20"/>
    <cellStyle name="Comma 3 2" xfId="7"/>
    <cellStyle name="Comma 3 2 2" xfId="8"/>
    <cellStyle name="Comma 3 2 2 2" xfId="25"/>
    <cellStyle name="Comma 3 2 3" xfId="24"/>
    <cellStyle name="Comma 3 3" xfId="32"/>
    <cellStyle name="Comma 4" xfId="12"/>
    <cellStyle name="Comma 4 2" xfId="27"/>
    <cellStyle name="Currency 2" xfId="13"/>
    <cellStyle name="Currency 2 2" xfId="6"/>
    <cellStyle name="Currency 2 2 2" xfId="23"/>
    <cellStyle name="Currency 2 3" xfId="28"/>
    <cellStyle name="Currency 4" xfId="5"/>
    <cellStyle name="Currency 4 2" xfId="22"/>
    <cellStyle name="Input1" xfId="14"/>
    <cellStyle name="Input1 2" xfId="29"/>
    <cellStyle name="Input3" xfId="15"/>
    <cellStyle name="Input3 2" xfId="30"/>
    <cellStyle name="Normal" xfId="0" builtinId="0"/>
    <cellStyle name="Normal 2" xfId="11"/>
    <cellStyle name="Normal 2 2" xfId="3"/>
    <cellStyle name="Normal 2 3" xfId="2"/>
    <cellStyle name="Normal 4 3" xfId="4"/>
    <cellStyle name="Percent" xfId="1" builtinId="5"/>
    <cellStyle name="Percent 2" xfId="18"/>
    <cellStyle name="Percent 2 2" xfId="9"/>
    <cellStyle name="Percent 3" xfId="1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LocalData/AER%202015/Revised%20Proposal/Opex%20Data%20Mode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ergon%20-%20FD%20-%20PL%20PTRM%20Data%20Model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PLPTRM%20Data%20Mode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N Format"/>
      <sheetName val="RIN Opex by Category"/>
      <sheetName val="Base Data"/>
      <sheetName val="BSTEY Outputs"/>
      <sheetName val="Percentage Splits"/>
      <sheetName val="2012-13 Base Year Data"/>
      <sheetName val="Base Year Variation"/>
    </sheetNames>
    <sheetDataSet>
      <sheetData sheetId="0">
        <row r="1">
          <cell r="B1" t="str">
            <v>2013-14</v>
          </cell>
          <cell r="C1" t="str">
            <v>2014-15</v>
          </cell>
          <cell r="D1" t="str">
            <v>2015-16</v>
          </cell>
          <cell r="E1" t="str">
            <v>2016-17</v>
          </cell>
          <cell r="F1" t="str">
            <v>2017-18</v>
          </cell>
          <cell r="G1" t="str">
            <v>2018-19</v>
          </cell>
          <cell r="H1" t="str">
            <v>2019-20</v>
          </cell>
        </row>
      </sheetData>
      <sheetData sheetId="1">
        <row r="1">
          <cell r="A1" t="str">
            <v>Category</v>
          </cell>
        </row>
      </sheetData>
      <sheetData sheetId="2">
        <row r="1">
          <cell r="B1" t="str">
            <v>Activity</v>
          </cell>
        </row>
      </sheetData>
      <sheetData sheetId="3">
        <row r="15">
          <cell r="A15" t="str">
            <v>Accounts Payable</v>
          </cell>
        </row>
      </sheetData>
      <sheetData sheetId="4">
        <row r="4">
          <cell r="A4" t="str">
            <v>Reg Network Operations</v>
          </cell>
        </row>
      </sheetData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DMS input"/>
      <sheetName val="PTRM input"/>
      <sheetName val="WACC"/>
      <sheetName val="Assets"/>
      <sheetName val="Analysis"/>
      <sheetName val="X factors"/>
      <sheetName val="Equity raising costs"/>
      <sheetName val="Forecast revenues"/>
      <sheetName val="Revenue summary"/>
      <sheetName val="Chart 1-Revenue"/>
      <sheetName val="Chart 2-Price path"/>
      <sheetName val="Chart 3-Building blocks"/>
    </sheetNames>
    <sheetDataSet>
      <sheetData sheetId="0"/>
      <sheetData sheetId="1"/>
      <sheetData sheetId="2"/>
      <sheetData sheetId="3"/>
      <sheetData sheetId="4"/>
      <sheetData sheetId="5"/>
      <sheetData sheetId="6">
        <row r="30">
          <cell r="G30">
            <v>4.6587317463591917</v>
          </cell>
          <cell r="H30">
            <v>5.0655416002409375</v>
          </cell>
          <cell r="I30">
            <v>5.3381565751969067</v>
          </cell>
          <cell r="J30">
            <v>5.6567817506476068</v>
          </cell>
          <cell r="K30">
            <v>5.9805520070828191</v>
          </cell>
        </row>
        <row r="31">
          <cell r="G31">
            <v>4.9064124602162149</v>
          </cell>
          <cell r="H31">
            <v>6.668914517272702</v>
          </cell>
          <cell r="I31">
            <v>6.0954306145546475</v>
          </cell>
          <cell r="J31">
            <v>6.7550167013300033</v>
          </cell>
          <cell r="K31">
            <v>7.4704606479762319</v>
          </cell>
        </row>
        <row r="32">
          <cell r="G32">
            <v>12.441951452878071</v>
          </cell>
          <cell r="H32">
            <v>13.280771433326514</v>
          </cell>
          <cell r="I32">
            <v>14.098627669985063</v>
          </cell>
          <cell r="J32">
            <v>14.772767182420816</v>
          </cell>
          <cell r="K32">
            <v>15.494367105183839</v>
          </cell>
        </row>
        <row r="33"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</row>
        <row r="34">
          <cell r="G34">
            <v>3.0959544585475216</v>
          </cell>
          <cell r="H34">
            <v>3.1777644106705858</v>
          </cell>
          <cell r="I34">
            <v>3.211396058674187</v>
          </cell>
          <cell r="J34">
            <v>3.1955652236453189</v>
          </cell>
          <cell r="K34">
            <v>3.1608969631448018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DMS input"/>
      <sheetName val="PTRM input"/>
      <sheetName val="WACC"/>
      <sheetName val="Assets"/>
      <sheetName val="Analysis"/>
      <sheetName val="X factors"/>
      <sheetName val="Equity raising costs"/>
      <sheetName val="Forecast revenues"/>
      <sheetName val="Revenue summary"/>
      <sheetName val="Chart 1-Revenue"/>
      <sheetName val="Chart 2-Price path"/>
      <sheetName val="Chart 3-Building blocks"/>
      <sheetName val="PLPTRM Data Model"/>
    </sheetNames>
    <definedNames>
      <definedName name="vanilla01" refersTo="='WACC'!$G$18"/>
    </definedNames>
    <sheetDataSet>
      <sheetData sheetId="0" refreshError="1"/>
      <sheetData sheetId="1" refreshError="1"/>
      <sheetData sheetId="2" refreshError="1"/>
      <sheetData sheetId="3">
        <row r="6">
          <cell r="G6">
            <v>2.5499999999999998E-2</v>
          </cell>
        </row>
        <row r="18">
          <cell r="G18">
            <v>7.4080000000000007E-2</v>
          </cell>
        </row>
      </sheetData>
      <sheetData sheetId="4">
        <row r="7">
          <cell r="G7">
            <v>1.0255000000000001</v>
          </cell>
          <cell r="H7">
            <v>1.0516502500000002</v>
          </cell>
          <cell r="I7">
            <v>1.0784673313750004</v>
          </cell>
          <cell r="J7">
            <v>1.105968248325063</v>
          </cell>
          <cell r="K7">
            <v>1.1341704386573521</v>
          </cell>
        </row>
        <row r="474">
          <cell r="F474">
            <v>77.567961144841689</v>
          </cell>
          <cell r="G474">
            <v>84.497351835960046</v>
          </cell>
          <cell r="H474">
            <v>89.103180975075446</v>
          </cell>
          <cell r="I474">
            <v>94.528229925506139</v>
          </cell>
          <cell r="J474">
            <v>100.04694637538009</v>
          </cell>
          <cell r="K474">
            <v>106.03984884606731</v>
          </cell>
        </row>
      </sheetData>
      <sheetData sheetId="5" refreshError="1"/>
      <sheetData sheetId="6">
        <row r="30">
          <cell r="G30">
            <v>5.7462345616098727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F39"/>
  <sheetViews>
    <sheetView workbookViewId="0">
      <selection activeCell="C27" sqref="C27"/>
    </sheetView>
  </sheetViews>
  <sheetFormatPr defaultRowHeight="12.75" x14ac:dyDescent="0.2"/>
  <cols>
    <col min="1" max="1" width="40.7109375" style="1" customWidth="1"/>
    <col min="2" max="6" width="12.7109375" style="1" customWidth="1"/>
    <col min="7" max="16384" width="9.140625" style="1"/>
  </cols>
  <sheetData>
    <row r="1" spans="1:6" ht="25.5" customHeight="1" thickBot="1" x14ac:dyDescent="0.25">
      <c r="B1" s="41" t="str">
        <f>'[1]RIN Format'!C1</f>
        <v>2014-15</v>
      </c>
      <c r="C1" s="2" t="str">
        <f>'[1]RIN Format'!D1</f>
        <v>2015-16</v>
      </c>
      <c r="D1" s="2" t="str">
        <f>'[1]RIN Format'!E1</f>
        <v>2016-17</v>
      </c>
      <c r="E1" s="2" t="str">
        <f>'[1]RIN Format'!F1</f>
        <v>2017-18</v>
      </c>
      <c r="F1" s="3" t="str">
        <f>'[1]RIN Format'!G1</f>
        <v>2018-19</v>
      </c>
    </row>
    <row r="2" spans="1:6" x14ac:dyDescent="0.2">
      <c r="A2" s="6" t="s">
        <v>1</v>
      </c>
      <c r="B2" s="9"/>
      <c r="C2" s="81"/>
      <c r="D2" s="82"/>
      <c r="E2" s="82"/>
      <c r="F2" s="83"/>
    </row>
    <row r="3" spans="1:6" x14ac:dyDescent="0.2">
      <c r="A3" s="1" t="s">
        <v>2</v>
      </c>
      <c r="B3" s="9"/>
      <c r="C3" s="84"/>
      <c r="D3" s="85"/>
      <c r="E3" s="85"/>
      <c r="F3" s="86"/>
    </row>
    <row r="4" spans="1:6" x14ac:dyDescent="0.2">
      <c r="A4" s="8" t="s">
        <v>3</v>
      </c>
      <c r="B4" s="13">
        <v>23828</v>
      </c>
      <c r="C4" s="84"/>
      <c r="D4" s="85"/>
      <c r="E4" s="85"/>
      <c r="F4" s="86"/>
    </row>
    <row r="5" spans="1:6" x14ac:dyDescent="0.2">
      <c r="A5" s="8" t="s">
        <v>4</v>
      </c>
      <c r="B5" s="13">
        <v>66223</v>
      </c>
      <c r="C5" s="84"/>
      <c r="D5" s="85"/>
      <c r="E5" s="85"/>
      <c r="F5" s="86"/>
    </row>
    <row r="6" spans="1:6" x14ac:dyDescent="0.2">
      <c r="A6" s="1" t="s">
        <v>0</v>
      </c>
      <c r="B6" s="25">
        <f>SUM(B4:B5)</f>
        <v>90051</v>
      </c>
      <c r="C6" s="84"/>
      <c r="D6" s="85"/>
      <c r="E6" s="85"/>
      <c r="F6" s="86"/>
    </row>
    <row r="7" spans="1:6" x14ac:dyDescent="0.2">
      <c r="B7" s="9"/>
      <c r="C7" s="84"/>
      <c r="D7" s="85"/>
      <c r="E7" s="85"/>
      <c r="F7" s="86"/>
    </row>
    <row r="8" spans="1:6" x14ac:dyDescent="0.2">
      <c r="A8" s="1" t="s">
        <v>11</v>
      </c>
      <c r="B8" s="9"/>
      <c r="C8" s="84"/>
      <c r="D8" s="85"/>
      <c r="E8" s="85"/>
      <c r="F8" s="86"/>
    </row>
    <row r="9" spans="1:6" x14ac:dyDescent="0.2">
      <c r="A9" s="8" t="s">
        <v>3</v>
      </c>
      <c r="B9" s="13">
        <v>13371</v>
      </c>
      <c r="C9" s="84"/>
      <c r="D9" s="85"/>
      <c r="E9" s="85"/>
      <c r="F9" s="86"/>
    </row>
    <row r="10" spans="1:6" x14ac:dyDescent="0.2">
      <c r="A10" s="8" t="s">
        <v>4</v>
      </c>
      <c r="B10" s="13">
        <v>37314</v>
      </c>
      <c r="C10" s="84"/>
      <c r="D10" s="85"/>
      <c r="E10" s="85"/>
      <c r="F10" s="86"/>
    </row>
    <row r="11" spans="1:6" x14ac:dyDescent="0.2">
      <c r="A11" s="1" t="s">
        <v>0</v>
      </c>
      <c r="B11" s="25">
        <f>SUM(B9:B10)</f>
        <v>50685</v>
      </c>
      <c r="C11" s="84"/>
      <c r="D11" s="85"/>
      <c r="E11" s="85"/>
      <c r="F11" s="86"/>
    </row>
    <row r="12" spans="1:6" ht="13.5" thickBot="1" x14ac:dyDescent="0.25">
      <c r="A12" s="7" t="s">
        <v>8</v>
      </c>
      <c r="B12" s="12">
        <f>SUM(B6,B11)</f>
        <v>140736</v>
      </c>
      <c r="C12" s="87"/>
      <c r="D12" s="88"/>
      <c r="E12" s="88"/>
      <c r="F12" s="89"/>
    </row>
    <row r="13" spans="1:6" ht="13.5" thickTop="1" x14ac:dyDescent="0.2">
      <c r="B13" s="9"/>
      <c r="C13" s="9"/>
      <c r="D13" s="9"/>
      <c r="E13" s="9"/>
      <c r="F13" s="9"/>
    </row>
    <row r="14" spans="1:6" x14ac:dyDescent="0.2">
      <c r="A14" s="7" t="s">
        <v>49</v>
      </c>
      <c r="B14" s="9"/>
      <c r="C14" s="9"/>
      <c r="D14" s="9"/>
      <c r="E14" s="9"/>
      <c r="F14" s="9"/>
    </row>
    <row r="15" spans="1:6" x14ac:dyDescent="0.2">
      <c r="A15" s="1" t="s">
        <v>2</v>
      </c>
      <c r="B15" s="9"/>
      <c r="C15" s="9"/>
      <c r="D15" s="9"/>
      <c r="E15" s="9"/>
      <c r="F15" s="9"/>
    </row>
    <row r="16" spans="1:6" x14ac:dyDescent="0.2">
      <c r="A16" s="8" t="s">
        <v>3</v>
      </c>
      <c r="B16" s="13">
        <v>739.66666666666663</v>
      </c>
      <c r="C16" s="13">
        <v>739.66666666666663</v>
      </c>
      <c r="D16" s="13">
        <v>739.66666666666663</v>
      </c>
      <c r="E16" s="13">
        <v>739.66666666666663</v>
      </c>
      <c r="F16" s="13">
        <v>739.66666666666663</v>
      </c>
    </row>
    <row r="17" spans="1:6" x14ac:dyDescent="0.2">
      <c r="A17" s="8" t="s">
        <v>4</v>
      </c>
      <c r="B17" s="13">
        <v>677.66666666666663</v>
      </c>
      <c r="C17" s="13">
        <v>677.66666666666663</v>
      </c>
      <c r="D17" s="13">
        <v>677.66666666666663</v>
      </c>
      <c r="E17" s="13">
        <v>677.66666666666663</v>
      </c>
      <c r="F17" s="13">
        <v>677.66666666666663</v>
      </c>
    </row>
    <row r="18" spans="1:6" x14ac:dyDescent="0.2">
      <c r="A18" s="1" t="s">
        <v>0</v>
      </c>
      <c r="B18" s="10">
        <f t="shared" ref="B18" si="0">SUM(B16:B17)</f>
        <v>1417.3333333333333</v>
      </c>
      <c r="C18" s="10">
        <f t="shared" ref="C18:F18" si="1">SUM(C16:C17)</f>
        <v>1417.3333333333333</v>
      </c>
      <c r="D18" s="10">
        <f t="shared" si="1"/>
        <v>1417.3333333333333</v>
      </c>
      <c r="E18" s="10">
        <f t="shared" si="1"/>
        <v>1417.3333333333333</v>
      </c>
      <c r="F18" s="10">
        <f t="shared" si="1"/>
        <v>1417.3333333333333</v>
      </c>
    </row>
    <row r="19" spans="1:6" x14ac:dyDescent="0.2">
      <c r="B19" s="9"/>
      <c r="C19" s="9"/>
      <c r="D19" s="9"/>
      <c r="E19" s="9"/>
      <c r="F19" s="9"/>
    </row>
    <row r="20" spans="1:6" x14ac:dyDescent="0.2">
      <c r="A20" s="1" t="s">
        <v>11</v>
      </c>
      <c r="B20" s="9"/>
      <c r="C20" s="9"/>
      <c r="D20" s="9"/>
      <c r="E20" s="9"/>
      <c r="F20" s="9"/>
    </row>
    <row r="21" spans="1:6" x14ac:dyDescent="0.2">
      <c r="A21" s="8" t="s">
        <v>3</v>
      </c>
      <c r="B21" s="13">
        <v>870</v>
      </c>
      <c r="C21" s="13">
        <v>870</v>
      </c>
      <c r="D21" s="13">
        <v>870</v>
      </c>
      <c r="E21" s="13">
        <v>870</v>
      </c>
      <c r="F21" s="13">
        <v>870</v>
      </c>
    </row>
    <row r="22" spans="1:6" x14ac:dyDescent="0.2">
      <c r="A22" s="8" t="s">
        <v>4</v>
      </c>
      <c r="B22" s="13">
        <v>2210</v>
      </c>
      <c r="C22" s="13">
        <v>2210</v>
      </c>
      <c r="D22" s="13">
        <v>2210</v>
      </c>
      <c r="E22" s="13">
        <v>2210</v>
      </c>
      <c r="F22" s="13">
        <v>2210</v>
      </c>
    </row>
    <row r="23" spans="1:6" x14ac:dyDescent="0.2">
      <c r="A23" s="1" t="s">
        <v>0</v>
      </c>
      <c r="B23" s="10">
        <f t="shared" ref="B23:F23" si="2">SUM(B21:B22)</f>
        <v>3080</v>
      </c>
      <c r="C23" s="10">
        <f t="shared" si="2"/>
        <v>3080</v>
      </c>
      <c r="D23" s="10">
        <f t="shared" si="2"/>
        <v>3080</v>
      </c>
      <c r="E23" s="10">
        <f t="shared" si="2"/>
        <v>3080</v>
      </c>
      <c r="F23" s="10">
        <f t="shared" si="2"/>
        <v>3080</v>
      </c>
    </row>
    <row r="24" spans="1:6" x14ac:dyDescent="0.2">
      <c r="A24" s="7" t="s">
        <v>9</v>
      </c>
      <c r="B24" s="11">
        <f>SUM(B18,B23)</f>
        <v>4497.333333333333</v>
      </c>
      <c r="C24" s="11">
        <f t="shared" ref="C24:F24" si="3">SUM(C18,C23)</f>
        <v>4497.333333333333</v>
      </c>
      <c r="D24" s="11">
        <f t="shared" si="3"/>
        <v>4497.333333333333</v>
      </c>
      <c r="E24" s="11">
        <f t="shared" si="3"/>
        <v>4497.333333333333</v>
      </c>
      <c r="F24" s="11">
        <f t="shared" si="3"/>
        <v>4497.333333333333</v>
      </c>
    </row>
    <row r="25" spans="1:6" x14ac:dyDescent="0.2">
      <c r="B25" s="9"/>
      <c r="C25" s="9"/>
      <c r="D25" s="9"/>
      <c r="E25" s="9"/>
      <c r="F25" s="9"/>
    </row>
    <row r="26" spans="1:6" x14ac:dyDescent="0.2">
      <c r="A26" s="7" t="s">
        <v>6</v>
      </c>
      <c r="B26" s="9"/>
      <c r="C26" s="9"/>
      <c r="D26" s="9"/>
      <c r="E26" s="9"/>
      <c r="F26" s="9"/>
    </row>
    <row r="27" spans="1:6" x14ac:dyDescent="0.2">
      <c r="A27" s="1" t="s">
        <v>2</v>
      </c>
      <c r="B27" s="9"/>
      <c r="C27" s="9"/>
      <c r="D27" s="9"/>
      <c r="E27" s="9"/>
      <c r="F27" s="9"/>
    </row>
    <row r="28" spans="1:6" x14ac:dyDescent="0.2">
      <c r="A28" s="8" t="s">
        <v>3</v>
      </c>
      <c r="B28" s="13">
        <v>530</v>
      </c>
      <c r="C28" s="13">
        <v>530</v>
      </c>
      <c r="D28" s="13">
        <v>530</v>
      </c>
      <c r="E28" s="13">
        <v>530</v>
      </c>
      <c r="F28" s="13">
        <v>530</v>
      </c>
    </row>
    <row r="29" spans="1:6" x14ac:dyDescent="0.2">
      <c r="A29" s="8" t="s">
        <v>4</v>
      </c>
      <c r="B29" s="13">
        <v>205</v>
      </c>
      <c r="C29" s="13">
        <v>205</v>
      </c>
      <c r="D29" s="13">
        <v>205</v>
      </c>
      <c r="E29" s="13">
        <v>205</v>
      </c>
      <c r="F29" s="13">
        <v>205</v>
      </c>
    </row>
    <row r="30" spans="1:6" x14ac:dyDescent="0.2">
      <c r="A30" s="1" t="s">
        <v>0</v>
      </c>
      <c r="B30" s="10">
        <f t="shared" ref="B30" si="4">SUM(B28:B29)</f>
        <v>735</v>
      </c>
      <c r="C30" s="10">
        <f t="shared" ref="C30:F30" si="5">SUM(C28:C29)</f>
        <v>735</v>
      </c>
      <c r="D30" s="10">
        <f t="shared" si="5"/>
        <v>735</v>
      </c>
      <c r="E30" s="10">
        <f t="shared" si="5"/>
        <v>735</v>
      </c>
      <c r="F30" s="10">
        <f t="shared" si="5"/>
        <v>735</v>
      </c>
    </row>
    <row r="31" spans="1:6" x14ac:dyDescent="0.2">
      <c r="B31" s="9"/>
      <c r="C31" s="9"/>
      <c r="D31" s="9"/>
      <c r="E31" s="9"/>
      <c r="F31" s="9"/>
    </row>
    <row r="32" spans="1:6" x14ac:dyDescent="0.2">
      <c r="A32" s="1" t="s">
        <v>11</v>
      </c>
      <c r="B32" s="9"/>
      <c r="C32" s="9"/>
      <c r="D32" s="9"/>
      <c r="E32" s="9"/>
      <c r="F32" s="9"/>
    </row>
    <row r="33" spans="1:6" x14ac:dyDescent="0.2">
      <c r="A33" s="8" t="s">
        <v>3</v>
      </c>
      <c r="B33" s="13">
        <v>510</v>
      </c>
      <c r="C33" s="13">
        <v>510</v>
      </c>
      <c r="D33" s="13">
        <v>510</v>
      </c>
      <c r="E33" s="13">
        <v>510</v>
      </c>
      <c r="F33" s="13">
        <v>510</v>
      </c>
    </row>
    <row r="34" spans="1:6" x14ac:dyDescent="0.2">
      <c r="A34" s="8" t="s">
        <v>4</v>
      </c>
      <c r="B34" s="13">
        <v>920</v>
      </c>
      <c r="C34" s="13">
        <v>920</v>
      </c>
      <c r="D34" s="13">
        <v>920</v>
      </c>
      <c r="E34" s="13">
        <v>920</v>
      </c>
      <c r="F34" s="13">
        <v>920</v>
      </c>
    </row>
    <row r="35" spans="1:6" x14ac:dyDescent="0.2">
      <c r="A35" s="1" t="s">
        <v>0</v>
      </c>
      <c r="B35" s="10">
        <f t="shared" ref="B35:F35" si="6">SUM(B33:B34)</f>
        <v>1430</v>
      </c>
      <c r="C35" s="10">
        <f t="shared" si="6"/>
        <v>1430</v>
      </c>
      <c r="D35" s="10">
        <f t="shared" si="6"/>
        <v>1430</v>
      </c>
      <c r="E35" s="10">
        <f t="shared" si="6"/>
        <v>1430</v>
      </c>
      <c r="F35" s="10">
        <f t="shared" si="6"/>
        <v>1430</v>
      </c>
    </row>
    <row r="36" spans="1:6" x14ac:dyDescent="0.2">
      <c r="A36" s="7" t="s">
        <v>10</v>
      </c>
      <c r="B36" s="25">
        <f>SUM(B30,B35)</f>
        <v>2165</v>
      </c>
      <c r="C36" s="25">
        <f t="shared" ref="C36:F36" si="7">SUM(C30,C35)</f>
        <v>2165</v>
      </c>
      <c r="D36" s="25">
        <f t="shared" si="7"/>
        <v>2165</v>
      </c>
      <c r="E36" s="25">
        <f t="shared" si="7"/>
        <v>2165</v>
      </c>
      <c r="F36" s="25">
        <f t="shared" si="7"/>
        <v>2165</v>
      </c>
    </row>
    <row r="39" spans="1:6" x14ac:dyDescent="0.2">
      <c r="A39" s="1" t="s">
        <v>77</v>
      </c>
      <c r="B39" s="79">
        <v>150</v>
      </c>
    </row>
  </sheetData>
  <mergeCells count="1">
    <mergeCell ref="C2:F1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3" orientation="portrait" r:id="rId1"/>
  <headerFooter>
    <oddHeader>&amp;C&amp;"Arial,Bold"&amp;12Public Lighting
Pricing Inputs&amp;R&amp;"Arial,Bold"&amp;12&amp;D  &amp;T</oddHeader>
    <oddFooter>&amp;R&amp;"Arial,Regular"&amp;Z&amp;F 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H170"/>
  <sheetViews>
    <sheetView workbookViewId="0">
      <pane xSplit="2" ySplit="1" topLeftCell="C2" activePane="bottomRight" state="frozen"/>
      <selection pane="topRight" activeCell="C1" sqref="C1"/>
      <selection pane="bottomLeft" activeCell="A3" sqref="A3"/>
      <selection pane="bottomRight" activeCell="C9" sqref="C9"/>
    </sheetView>
  </sheetViews>
  <sheetFormatPr defaultRowHeight="12.75" x14ac:dyDescent="0.2"/>
  <cols>
    <col min="1" max="1" width="50.7109375" style="1" customWidth="1"/>
    <col min="2" max="7" width="12.7109375" style="1" customWidth="1"/>
    <col min="8" max="16384" width="9.140625" style="1"/>
  </cols>
  <sheetData>
    <row r="1" spans="1:7" customFormat="1" ht="25.5" customHeight="1" thickBot="1" x14ac:dyDescent="0.3">
      <c r="B1" s="5" t="str">
        <f>'[1]RIN Format'!D1</f>
        <v>2015-16</v>
      </c>
      <c r="C1" s="2" t="str">
        <f>'[1]RIN Format'!E1</f>
        <v>2016-17</v>
      </c>
      <c r="D1" s="2" t="str">
        <f>'[1]RIN Format'!F1</f>
        <v>2017-18</v>
      </c>
      <c r="E1" s="2" t="str">
        <f>'[1]RIN Format'!G1</f>
        <v>2018-19</v>
      </c>
      <c r="F1" s="3" t="str">
        <f>'[1]RIN Format'!H1</f>
        <v>2019-20</v>
      </c>
      <c r="G1" s="1"/>
    </row>
    <row r="2" spans="1:7" x14ac:dyDescent="0.2">
      <c r="A2" s="7" t="s">
        <v>19</v>
      </c>
      <c r="B2" s="18"/>
      <c r="C2" s="18"/>
      <c r="D2" s="18"/>
      <c r="E2" s="18"/>
      <c r="F2" s="18"/>
    </row>
    <row r="3" spans="1:7" x14ac:dyDescent="0.2">
      <c r="A3" s="7" t="s">
        <v>32</v>
      </c>
      <c r="B3" s="18"/>
      <c r="C3" s="18"/>
      <c r="D3" s="18"/>
      <c r="E3" s="18"/>
      <c r="F3" s="18"/>
    </row>
    <row r="4" spans="1:7" x14ac:dyDescent="0.2">
      <c r="A4" s="8" t="s">
        <v>16</v>
      </c>
      <c r="B4" s="4">
        <f>'[2]X factors'!G32</f>
        <v>12.441951452878071</v>
      </c>
      <c r="C4" s="4">
        <f>'[2]X factors'!H32</f>
        <v>13.280771433326514</v>
      </c>
      <c r="D4" s="4">
        <f>'[2]X factors'!I32</f>
        <v>14.098627669985063</v>
      </c>
      <c r="E4" s="4">
        <f>'[2]X factors'!J32</f>
        <v>14.772767182420816</v>
      </c>
      <c r="F4" s="4">
        <f>'[2]X factors'!K32</f>
        <v>15.494367105183839</v>
      </c>
    </row>
    <row r="5" spans="1:7" x14ac:dyDescent="0.2">
      <c r="A5" s="8" t="s">
        <v>17</v>
      </c>
      <c r="B5" s="4">
        <f>'[2]X factors'!G33</f>
        <v>0</v>
      </c>
      <c r="C5" s="4">
        <f>'[2]X factors'!H33</f>
        <v>0</v>
      </c>
      <c r="D5" s="4">
        <f>'[2]X factors'!I33</f>
        <v>0</v>
      </c>
      <c r="E5" s="4">
        <f>'[2]X factors'!J33</f>
        <v>0</v>
      </c>
      <c r="F5" s="4">
        <f>'[2]X factors'!K33</f>
        <v>0</v>
      </c>
    </row>
    <row r="6" spans="1:7" x14ac:dyDescent="0.2">
      <c r="A6" s="8" t="s">
        <v>18</v>
      </c>
      <c r="B6" s="4">
        <f>'[2]X factors'!G34</f>
        <v>3.0959544585475216</v>
      </c>
      <c r="C6" s="4">
        <f>'[2]X factors'!H34</f>
        <v>3.1777644106705858</v>
      </c>
      <c r="D6" s="4">
        <f>'[2]X factors'!I34</f>
        <v>3.211396058674187</v>
      </c>
      <c r="E6" s="4">
        <f>'[2]X factors'!J34</f>
        <v>3.1955652236453189</v>
      </c>
      <c r="F6" s="4">
        <f>'[2]X factors'!K34</f>
        <v>3.1608969631448018</v>
      </c>
    </row>
    <row r="7" spans="1:7" x14ac:dyDescent="0.2">
      <c r="A7" s="7" t="s">
        <v>34</v>
      </c>
      <c r="B7" s="37">
        <f>SUM(B4:B6)</f>
        <v>15.537905911425593</v>
      </c>
      <c r="C7" s="37">
        <f t="shared" ref="C7:F7" si="0">SUM(C4:C6)</f>
        <v>16.458535843997101</v>
      </c>
      <c r="D7" s="37">
        <f t="shared" si="0"/>
        <v>17.31002372865925</v>
      </c>
      <c r="E7" s="37">
        <f t="shared" si="0"/>
        <v>17.968332406066136</v>
      </c>
      <c r="F7" s="37">
        <f t="shared" si="0"/>
        <v>18.655264068328641</v>
      </c>
    </row>
    <row r="8" spans="1:7" x14ac:dyDescent="0.2">
      <c r="A8" s="7" t="s">
        <v>33</v>
      </c>
      <c r="B8" s="18"/>
      <c r="C8" s="18"/>
      <c r="D8" s="18"/>
      <c r="E8" s="18"/>
      <c r="F8" s="18"/>
    </row>
    <row r="9" spans="1:7" x14ac:dyDescent="0.2">
      <c r="A9" s="8" t="s">
        <v>14</v>
      </c>
      <c r="B9" s="18">
        <f>'[2]X factors'!G30</f>
        <v>4.6587317463591917</v>
      </c>
      <c r="C9" s="75">
        <f>'[2]X factors'!H30</f>
        <v>5.0655416002409375</v>
      </c>
      <c r="D9" s="75">
        <f>'[2]X factors'!I30</f>
        <v>5.3381565751969067</v>
      </c>
      <c r="E9" s="75">
        <f>'[2]X factors'!J30</f>
        <v>5.6567817506476068</v>
      </c>
      <c r="F9" s="75">
        <f>'[2]X factors'!K30</f>
        <v>5.9805520070828191</v>
      </c>
    </row>
    <row r="10" spans="1:7" x14ac:dyDescent="0.2">
      <c r="A10" s="8" t="s">
        <v>15</v>
      </c>
      <c r="B10" s="75">
        <f>'[2]X factors'!G31</f>
        <v>4.9064124602162149</v>
      </c>
      <c r="C10" s="75">
        <f>'[2]X factors'!H31</f>
        <v>6.668914517272702</v>
      </c>
      <c r="D10" s="75">
        <f>'[2]X factors'!I31</f>
        <v>6.0954306145546475</v>
      </c>
      <c r="E10" s="75">
        <f>'[2]X factors'!J31</f>
        <v>6.7550167013300033</v>
      </c>
      <c r="F10" s="75">
        <f>'[2]X factors'!K31</f>
        <v>7.4704606479762319</v>
      </c>
    </row>
    <row r="11" spans="1:7" x14ac:dyDescent="0.2">
      <c r="A11" s="7" t="s">
        <v>35</v>
      </c>
      <c r="B11" s="37">
        <f t="shared" ref="B11:F11" si="1">SUM(B9:B10)</f>
        <v>9.5651442065754075</v>
      </c>
      <c r="C11" s="37">
        <f t="shared" si="1"/>
        <v>11.734456117513639</v>
      </c>
      <c r="D11" s="37">
        <f t="shared" si="1"/>
        <v>11.433587189751554</v>
      </c>
      <c r="E11" s="37">
        <f t="shared" si="1"/>
        <v>12.41179845197761</v>
      </c>
      <c r="F11" s="37">
        <f t="shared" si="1"/>
        <v>13.451012655059051</v>
      </c>
    </row>
    <row r="12" spans="1:7" x14ac:dyDescent="0.2">
      <c r="A12" s="7" t="s">
        <v>22</v>
      </c>
      <c r="B12" s="38">
        <f>SUM(B7,B11)</f>
        <v>25.103050118001001</v>
      </c>
      <c r="C12" s="38">
        <f t="shared" ref="C12:F12" si="2">SUM(C7,C11)</f>
        <v>28.192991961510742</v>
      </c>
      <c r="D12" s="38">
        <f t="shared" si="2"/>
        <v>28.743610918410802</v>
      </c>
      <c r="E12" s="38">
        <f t="shared" si="2"/>
        <v>30.380130858043746</v>
      </c>
      <c r="F12" s="38">
        <f t="shared" si="2"/>
        <v>32.106276723387694</v>
      </c>
    </row>
    <row r="13" spans="1:7" x14ac:dyDescent="0.2">
      <c r="A13" s="1" t="s">
        <v>20</v>
      </c>
      <c r="B13" s="20">
        <v>1</v>
      </c>
      <c r="C13" s="20">
        <v>1</v>
      </c>
      <c r="D13" s="20">
        <v>1</v>
      </c>
      <c r="E13" s="20">
        <v>1</v>
      </c>
      <c r="F13" s="20">
        <v>1</v>
      </c>
    </row>
    <row r="14" spans="1:7" x14ac:dyDescent="0.2">
      <c r="A14" s="7" t="s">
        <v>21</v>
      </c>
      <c r="B14" s="37">
        <f>SUM(B12:B13)</f>
        <v>26.103050118001001</v>
      </c>
      <c r="C14" s="37">
        <f>SUM(C12:C13)</f>
        <v>29.192991961510742</v>
      </c>
      <c r="D14" s="37">
        <f>SUM(D12:D13)</f>
        <v>29.743610918410802</v>
      </c>
      <c r="E14" s="37">
        <f>SUM(E12:E13)</f>
        <v>31.380130858043746</v>
      </c>
      <c r="F14" s="37">
        <f>SUM(F12:F13)</f>
        <v>33.106276723387694</v>
      </c>
    </row>
    <row r="16" spans="1:7" ht="13.5" thickBot="1" x14ac:dyDescent="0.25"/>
    <row r="17" spans="1:6" ht="25.5" customHeight="1" thickBot="1" x14ac:dyDescent="0.25">
      <c r="B17" s="5" t="str">
        <f>B1</f>
        <v>2015-16</v>
      </c>
      <c r="C17" s="2" t="str">
        <f>C1</f>
        <v>2016-17</v>
      </c>
      <c r="D17" s="2" t="str">
        <f>D1</f>
        <v>2017-18</v>
      </c>
      <c r="E17" s="2" t="str">
        <f>E1</f>
        <v>2018-19</v>
      </c>
      <c r="F17" s="3" t="str">
        <f>F1</f>
        <v>2019-20</v>
      </c>
    </row>
    <row r="18" spans="1:6" ht="12.75" customHeight="1" x14ac:dyDescent="0.2">
      <c r="A18" s="6" t="s">
        <v>1</v>
      </c>
      <c r="B18" s="9"/>
      <c r="C18" s="9"/>
      <c r="D18" s="9"/>
      <c r="E18" s="9"/>
      <c r="F18" s="9"/>
    </row>
    <row r="19" spans="1:6" x14ac:dyDescent="0.2">
      <c r="A19" s="1" t="s">
        <v>2</v>
      </c>
      <c r="B19" s="9"/>
      <c r="C19" s="9"/>
      <c r="D19" s="9"/>
      <c r="E19" s="9"/>
      <c r="F19" s="9"/>
    </row>
    <row r="20" spans="1:6" x14ac:dyDescent="0.2">
      <c r="A20" s="8" t="s">
        <v>3</v>
      </c>
      <c r="B20" s="9">
        <f>'Input Data'!B4</f>
        <v>23828</v>
      </c>
      <c r="C20" s="9">
        <f t="shared" ref="C20:F20" si="3">B56</f>
        <v>24037.666666666668</v>
      </c>
      <c r="D20" s="9">
        <f t="shared" si="3"/>
        <v>24247.333333333336</v>
      </c>
      <c r="E20" s="9">
        <f t="shared" si="3"/>
        <v>24457.000000000004</v>
      </c>
      <c r="F20" s="9">
        <f t="shared" si="3"/>
        <v>24666.666666666672</v>
      </c>
    </row>
    <row r="21" spans="1:6" x14ac:dyDescent="0.2">
      <c r="A21" s="8" t="s">
        <v>4</v>
      </c>
      <c r="B21" s="9">
        <f>'Input Data'!B5</f>
        <v>66223</v>
      </c>
      <c r="C21" s="9">
        <f t="shared" ref="C21:F21" si="4">B57</f>
        <v>66695.666666666672</v>
      </c>
      <c r="D21" s="9">
        <f t="shared" si="4"/>
        <v>67168.333333333343</v>
      </c>
      <c r="E21" s="9">
        <f t="shared" si="4"/>
        <v>67641.000000000015</v>
      </c>
      <c r="F21" s="9">
        <f t="shared" si="4"/>
        <v>68113.666666666686</v>
      </c>
    </row>
    <row r="22" spans="1:6" x14ac:dyDescent="0.2">
      <c r="A22" s="1" t="s">
        <v>0</v>
      </c>
      <c r="B22" s="10">
        <f t="shared" ref="B22:F22" si="5">SUM(B20:B21)</f>
        <v>90051</v>
      </c>
      <c r="C22" s="10">
        <f t="shared" si="5"/>
        <v>90733.333333333343</v>
      </c>
      <c r="D22" s="10">
        <f t="shared" si="5"/>
        <v>91415.666666666686</v>
      </c>
      <c r="E22" s="10">
        <f t="shared" si="5"/>
        <v>92098.000000000015</v>
      </c>
      <c r="F22" s="10">
        <f t="shared" si="5"/>
        <v>92780.333333333358</v>
      </c>
    </row>
    <row r="23" spans="1:6" x14ac:dyDescent="0.2">
      <c r="B23" s="9"/>
      <c r="C23" s="9"/>
      <c r="D23" s="9"/>
      <c r="E23" s="9"/>
      <c r="F23" s="9"/>
    </row>
    <row r="24" spans="1:6" x14ac:dyDescent="0.2">
      <c r="A24" s="1" t="s">
        <v>11</v>
      </c>
      <c r="B24" s="9"/>
      <c r="C24" s="9"/>
      <c r="D24" s="9"/>
      <c r="E24" s="9"/>
      <c r="F24" s="9"/>
    </row>
    <row r="25" spans="1:6" x14ac:dyDescent="0.2">
      <c r="A25" s="8" t="s">
        <v>3</v>
      </c>
      <c r="B25" s="9">
        <f>'Input Data'!B9</f>
        <v>13371</v>
      </c>
      <c r="C25" s="9">
        <f t="shared" ref="C25:F25" si="6">B61</f>
        <v>13731</v>
      </c>
      <c r="D25" s="9">
        <f t="shared" si="6"/>
        <v>14091</v>
      </c>
      <c r="E25" s="9">
        <f t="shared" si="6"/>
        <v>14451</v>
      </c>
      <c r="F25" s="9">
        <f t="shared" si="6"/>
        <v>14811</v>
      </c>
    </row>
    <row r="26" spans="1:6" x14ac:dyDescent="0.2">
      <c r="A26" s="8" t="s">
        <v>4</v>
      </c>
      <c r="B26" s="9">
        <f>'Input Data'!B10</f>
        <v>37314</v>
      </c>
      <c r="C26" s="9">
        <f t="shared" ref="C26:F26" si="7">B62</f>
        <v>38604</v>
      </c>
      <c r="D26" s="9">
        <f t="shared" si="7"/>
        <v>39894</v>
      </c>
      <c r="E26" s="9">
        <f t="shared" si="7"/>
        <v>41184</v>
      </c>
      <c r="F26" s="9">
        <f t="shared" si="7"/>
        <v>42474</v>
      </c>
    </row>
    <row r="27" spans="1:6" x14ac:dyDescent="0.2">
      <c r="A27" s="1" t="s">
        <v>0</v>
      </c>
      <c r="B27" s="10">
        <f t="shared" ref="B27" si="8">SUM(B25:B26)</f>
        <v>50685</v>
      </c>
      <c r="C27" s="10">
        <f t="shared" ref="C27" si="9">SUM(C25:C26)</f>
        <v>52335</v>
      </c>
      <c r="D27" s="10">
        <f t="shared" ref="D27" si="10">SUM(D25:D26)</f>
        <v>53985</v>
      </c>
      <c r="E27" s="10">
        <f t="shared" ref="E27" si="11">SUM(E25:E26)</f>
        <v>55635</v>
      </c>
      <c r="F27" s="10">
        <f t="shared" ref="F27" si="12">SUM(F25:F26)</f>
        <v>57285</v>
      </c>
    </row>
    <row r="28" spans="1:6" x14ac:dyDescent="0.2">
      <c r="A28" s="7" t="s">
        <v>8</v>
      </c>
      <c r="B28" s="11">
        <f>SUM(B22,B27)</f>
        <v>140736</v>
      </c>
      <c r="C28" s="11">
        <f t="shared" ref="C28:F28" si="13">SUM(C22,C27)</f>
        <v>143068.33333333334</v>
      </c>
      <c r="D28" s="11">
        <f t="shared" si="13"/>
        <v>145400.66666666669</v>
      </c>
      <c r="E28" s="11">
        <f t="shared" si="13"/>
        <v>147733</v>
      </c>
      <c r="F28" s="11">
        <f t="shared" si="13"/>
        <v>150065.33333333337</v>
      </c>
    </row>
    <row r="29" spans="1:6" x14ac:dyDescent="0.2">
      <c r="B29" s="9"/>
      <c r="C29" s="9"/>
      <c r="D29" s="9"/>
      <c r="E29" s="9"/>
      <c r="F29" s="9"/>
    </row>
    <row r="30" spans="1:6" x14ac:dyDescent="0.2">
      <c r="A30" s="7" t="s">
        <v>5</v>
      </c>
      <c r="B30" s="9"/>
      <c r="C30" s="9"/>
      <c r="D30" s="9"/>
      <c r="E30" s="9"/>
      <c r="F30" s="9"/>
    </row>
    <row r="31" spans="1:6" x14ac:dyDescent="0.2">
      <c r="A31" s="1" t="s">
        <v>2</v>
      </c>
      <c r="B31" s="9"/>
      <c r="C31" s="9"/>
      <c r="D31" s="9"/>
      <c r="E31" s="9"/>
      <c r="F31" s="9"/>
    </row>
    <row r="32" spans="1:6" x14ac:dyDescent="0.2">
      <c r="A32" s="8" t="s">
        <v>3</v>
      </c>
      <c r="B32" s="34">
        <f>'Input Data'!B16</f>
        <v>739.66666666666663</v>
      </c>
      <c r="C32" s="34">
        <f>'Input Data'!C16</f>
        <v>739.66666666666663</v>
      </c>
      <c r="D32" s="34">
        <f>'Input Data'!D16</f>
        <v>739.66666666666663</v>
      </c>
      <c r="E32" s="34">
        <f>'Input Data'!E16</f>
        <v>739.66666666666663</v>
      </c>
      <c r="F32" s="34">
        <f>'Input Data'!F16</f>
        <v>739.66666666666663</v>
      </c>
    </row>
    <row r="33" spans="1:6" x14ac:dyDescent="0.2">
      <c r="A33" s="8" t="s">
        <v>4</v>
      </c>
      <c r="B33" s="34">
        <f>'Input Data'!B17</f>
        <v>677.66666666666663</v>
      </c>
      <c r="C33" s="34">
        <f>'Input Data'!C17</f>
        <v>677.66666666666663</v>
      </c>
      <c r="D33" s="34">
        <f>'Input Data'!D17</f>
        <v>677.66666666666663</v>
      </c>
      <c r="E33" s="34">
        <f>'Input Data'!E17</f>
        <v>677.66666666666663</v>
      </c>
      <c r="F33" s="34">
        <f>'Input Data'!F17</f>
        <v>677.66666666666663</v>
      </c>
    </row>
    <row r="34" spans="1:6" x14ac:dyDescent="0.2">
      <c r="A34" s="1" t="s">
        <v>0</v>
      </c>
      <c r="B34" s="10">
        <f t="shared" ref="B34" si="14">SUM(B32:B33)</f>
        <v>1417.3333333333333</v>
      </c>
      <c r="C34" s="10">
        <f t="shared" ref="C34" si="15">SUM(C32:C33)</f>
        <v>1417.3333333333333</v>
      </c>
      <c r="D34" s="10">
        <f t="shared" ref="D34" si="16">SUM(D32:D33)</f>
        <v>1417.3333333333333</v>
      </c>
      <c r="E34" s="10">
        <f t="shared" ref="E34" si="17">SUM(E32:E33)</f>
        <v>1417.3333333333333</v>
      </c>
      <c r="F34" s="10">
        <f t="shared" ref="F34" si="18">SUM(F32:F33)</f>
        <v>1417.3333333333333</v>
      </c>
    </row>
    <row r="35" spans="1:6" x14ac:dyDescent="0.2">
      <c r="B35" s="9"/>
      <c r="C35" s="9"/>
      <c r="D35" s="9"/>
      <c r="E35" s="9"/>
      <c r="F35" s="9"/>
    </row>
    <row r="36" spans="1:6" x14ac:dyDescent="0.2">
      <c r="A36" s="1" t="s">
        <v>11</v>
      </c>
      <c r="B36" s="9"/>
      <c r="C36" s="9"/>
      <c r="D36" s="9"/>
      <c r="E36" s="9"/>
      <c r="F36" s="9"/>
    </row>
    <row r="37" spans="1:6" x14ac:dyDescent="0.2">
      <c r="A37" s="8" t="s">
        <v>3</v>
      </c>
      <c r="B37" s="34">
        <f>'Input Data'!B21</f>
        <v>870</v>
      </c>
      <c r="C37" s="34">
        <f>'Input Data'!C21</f>
        <v>870</v>
      </c>
      <c r="D37" s="34">
        <f>'Input Data'!D21</f>
        <v>870</v>
      </c>
      <c r="E37" s="34">
        <f>'Input Data'!E21</f>
        <v>870</v>
      </c>
      <c r="F37" s="34">
        <f>'Input Data'!F21</f>
        <v>870</v>
      </c>
    </row>
    <row r="38" spans="1:6" x14ac:dyDescent="0.2">
      <c r="A38" s="8" t="s">
        <v>4</v>
      </c>
      <c r="B38" s="34">
        <f>'Input Data'!B22</f>
        <v>2210</v>
      </c>
      <c r="C38" s="34">
        <f>'Input Data'!C22</f>
        <v>2210</v>
      </c>
      <c r="D38" s="34">
        <f>'Input Data'!D22</f>
        <v>2210</v>
      </c>
      <c r="E38" s="34">
        <f>'Input Data'!E22</f>
        <v>2210</v>
      </c>
      <c r="F38" s="34">
        <f>'Input Data'!F22</f>
        <v>2210</v>
      </c>
    </row>
    <row r="39" spans="1:6" x14ac:dyDescent="0.2">
      <c r="A39" s="1" t="s">
        <v>0</v>
      </c>
      <c r="B39" s="10">
        <f t="shared" ref="B39" si="19">SUM(B37:B38)</f>
        <v>3080</v>
      </c>
      <c r="C39" s="10">
        <f t="shared" ref="C39" si="20">SUM(C37:C38)</f>
        <v>3080</v>
      </c>
      <c r="D39" s="10">
        <f t="shared" ref="D39" si="21">SUM(D37:D38)</f>
        <v>3080</v>
      </c>
      <c r="E39" s="10">
        <f t="shared" ref="E39" si="22">SUM(E37:E38)</f>
        <v>3080</v>
      </c>
      <c r="F39" s="10">
        <f t="shared" ref="F39" si="23">SUM(F37:F38)</f>
        <v>3080</v>
      </c>
    </row>
    <row r="40" spans="1:6" x14ac:dyDescent="0.2">
      <c r="A40" s="7" t="s">
        <v>9</v>
      </c>
      <c r="B40" s="11">
        <f>SUM(B34,B39)</f>
        <v>4497.333333333333</v>
      </c>
      <c r="C40" s="11">
        <f t="shared" ref="C40" si="24">SUM(C34,C39)</f>
        <v>4497.333333333333</v>
      </c>
      <c r="D40" s="11">
        <f t="shared" ref="D40" si="25">SUM(D34,D39)</f>
        <v>4497.333333333333</v>
      </c>
      <c r="E40" s="11">
        <f t="shared" ref="E40" si="26">SUM(E34,E39)</f>
        <v>4497.333333333333</v>
      </c>
      <c r="F40" s="11">
        <f t="shared" ref="F40" si="27">SUM(F34,F39)</f>
        <v>4497.333333333333</v>
      </c>
    </row>
    <row r="41" spans="1:6" x14ac:dyDescent="0.2">
      <c r="B41" s="9"/>
      <c r="C41" s="9"/>
      <c r="D41" s="9"/>
      <c r="E41" s="9"/>
      <c r="F41" s="9"/>
    </row>
    <row r="42" spans="1:6" x14ac:dyDescent="0.2">
      <c r="A42" s="7" t="s">
        <v>6</v>
      </c>
      <c r="B42" s="9"/>
      <c r="C42" s="9"/>
      <c r="D42" s="9"/>
      <c r="E42" s="9"/>
      <c r="F42" s="9"/>
    </row>
    <row r="43" spans="1:6" x14ac:dyDescent="0.2">
      <c r="A43" s="1" t="s">
        <v>2</v>
      </c>
      <c r="B43" s="9"/>
      <c r="C43" s="9"/>
      <c r="D43" s="9"/>
      <c r="E43" s="9"/>
      <c r="F43" s="9"/>
    </row>
    <row r="44" spans="1:6" x14ac:dyDescent="0.2">
      <c r="A44" s="8" t="s">
        <v>3</v>
      </c>
      <c r="B44" s="34">
        <f>'Input Data'!B28</f>
        <v>530</v>
      </c>
      <c r="C44" s="34">
        <f>'Input Data'!C28</f>
        <v>530</v>
      </c>
      <c r="D44" s="34">
        <f>'Input Data'!D28</f>
        <v>530</v>
      </c>
      <c r="E44" s="34">
        <f>'Input Data'!E28</f>
        <v>530</v>
      </c>
      <c r="F44" s="34">
        <f>'Input Data'!F28</f>
        <v>530</v>
      </c>
    </row>
    <row r="45" spans="1:6" x14ac:dyDescent="0.2">
      <c r="A45" s="8" t="s">
        <v>4</v>
      </c>
      <c r="B45" s="34">
        <f>'Input Data'!B29</f>
        <v>205</v>
      </c>
      <c r="C45" s="34">
        <f>'Input Data'!C29</f>
        <v>205</v>
      </c>
      <c r="D45" s="34">
        <f>'Input Data'!D29</f>
        <v>205</v>
      </c>
      <c r="E45" s="34">
        <f>'Input Data'!E29</f>
        <v>205</v>
      </c>
      <c r="F45" s="34">
        <f>'Input Data'!F29</f>
        <v>205</v>
      </c>
    </row>
    <row r="46" spans="1:6" x14ac:dyDescent="0.2">
      <c r="A46" s="1" t="s">
        <v>0</v>
      </c>
      <c r="B46" s="10">
        <f t="shared" ref="B46" si="28">SUM(B44:B45)</f>
        <v>735</v>
      </c>
      <c r="C46" s="10">
        <f t="shared" ref="C46" si="29">SUM(C44:C45)</f>
        <v>735</v>
      </c>
      <c r="D46" s="10">
        <f t="shared" ref="D46" si="30">SUM(D44:D45)</f>
        <v>735</v>
      </c>
      <c r="E46" s="10">
        <f t="shared" ref="E46" si="31">SUM(E44:E45)</f>
        <v>735</v>
      </c>
      <c r="F46" s="10">
        <f t="shared" ref="F46" si="32">SUM(F44:F45)</f>
        <v>735</v>
      </c>
    </row>
    <row r="47" spans="1:6" x14ac:dyDescent="0.2">
      <c r="B47" s="9"/>
      <c r="C47" s="9"/>
      <c r="D47" s="9"/>
      <c r="E47" s="9"/>
      <c r="F47" s="9"/>
    </row>
    <row r="48" spans="1:6" x14ac:dyDescent="0.2">
      <c r="A48" s="1" t="s">
        <v>11</v>
      </c>
      <c r="B48" s="9"/>
      <c r="C48" s="9"/>
      <c r="D48" s="9"/>
      <c r="E48" s="9"/>
      <c r="F48" s="9"/>
    </row>
    <row r="49" spans="1:6" x14ac:dyDescent="0.2">
      <c r="A49" s="8" t="s">
        <v>3</v>
      </c>
      <c r="B49" s="34">
        <f>'Input Data'!B33</f>
        <v>510</v>
      </c>
      <c r="C49" s="34">
        <f>'Input Data'!C33</f>
        <v>510</v>
      </c>
      <c r="D49" s="34">
        <f>'Input Data'!D33</f>
        <v>510</v>
      </c>
      <c r="E49" s="34">
        <f>'Input Data'!E33</f>
        <v>510</v>
      </c>
      <c r="F49" s="34">
        <f>'Input Data'!F33</f>
        <v>510</v>
      </c>
    </row>
    <row r="50" spans="1:6" x14ac:dyDescent="0.2">
      <c r="A50" s="8" t="s">
        <v>4</v>
      </c>
      <c r="B50" s="34">
        <f>'Input Data'!B34</f>
        <v>920</v>
      </c>
      <c r="C50" s="34">
        <f>'Input Data'!C34</f>
        <v>920</v>
      </c>
      <c r="D50" s="34">
        <f>'Input Data'!D34</f>
        <v>920</v>
      </c>
      <c r="E50" s="34">
        <f>'Input Data'!E34</f>
        <v>920</v>
      </c>
      <c r="F50" s="34">
        <f>'Input Data'!F34</f>
        <v>920</v>
      </c>
    </row>
    <row r="51" spans="1:6" x14ac:dyDescent="0.2">
      <c r="A51" s="1" t="s">
        <v>0</v>
      </c>
      <c r="B51" s="10">
        <f t="shared" ref="B51" si="33">SUM(B49:B50)</f>
        <v>1430</v>
      </c>
      <c r="C51" s="10">
        <f t="shared" ref="C51" si="34">SUM(C49:C50)</f>
        <v>1430</v>
      </c>
      <c r="D51" s="10">
        <f t="shared" ref="D51" si="35">SUM(D49:D50)</f>
        <v>1430</v>
      </c>
      <c r="E51" s="10">
        <f t="shared" ref="E51" si="36">SUM(E49:E50)</f>
        <v>1430</v>
      </c>
      <c r="F51" s="10">
        <f t="shared" ref="F51" si="37">SUM(F49:F50)</f>
        <v>1430</v>
      </c>
    </row>
    <row r="52" spans="1:6" x14ac:dyDescent="0.2">
      <c r="A52" s="7" t="s">
        <v>10</v>
      </c>
      <c r="B52" s="11">
        <f>SUM(B46,B51)</f>
        <v>2165</v>
      </c>
      <c r="C52" s="11">
        <f t="shared" ref="C52" si="38">SUM(C46,C51)</f>
        <v>2165</v>
      </c>
      <c r="D52" s="11">
        <f t="shared" ref="D52" si="39">SUM(D46,D51)</f>
        <v>2165</v>
      </c>
      <c r="E52" s="11">
        <f t="shared" ref="E52" si="40">SUM(E46,E51)</f>
        <v>2165</v>
      </c>
      <c r="F52" s="11">
        <f t="shared" ref="F52" si="41">SUM(F46,F51)</f>
        <v>2165</v>
      </c>
    </row>
    <row r="53" spans="1:6" x14ac:dyDescent="0.2">
      <c r="B53" s="9"/>
      <c r="C53" s="9"/>
      <c r="D53" s="9"/>
      <c r="E53" s="9"/>
      <c r="F53" s="9"/>
    </row>
    <row r="54" spans="1:6" x14ac:dyDescent="0.2">
      <c r="A54" s="6" t="s">
        <v>7</v>
      </c>
      <c r="B54" s="9"/>
      <c r="C54" s="9"/>
      <c r="D54" s="9"/>
      <c r="E54" s="9"/>
      <c r="F54" s="9"/>
    </row>
    <row r="55" spans="1:6" x14ac:dyDescent="0.2">
      <c r="A55" s="1" t="s">
        <v>2</v>
      </c>
      <c r="B55" s="9"/>
      <c r="C55" s="9"/>
      <c r="D55" s="9"/>
      <c r="E55" s="9"/>
      <c r="F55" s="9"/>
    </row>
    <row r="56" spans="1:6" x14ac:dyDescent="0.2">
      <c r="A56" s="8" t="s">
        <v>3</v>
      </c>
      <c r="B56" s="9">
        <f>(B20+B32-B44)</f>
        <v>24037.666666666668</v>
      </c>
      <c r="C56" s="9">
        <f t="shared" ref="C56:F56" si="42">(C20+C32-C44)</f>
        <v>24247.333333333336</v>
      </c>
      <c r="D56" s="9">
        <f t="shared" si="42"/>
        <v>24457.000000000004</v>
      </c>
      <c r="E56" s="9">
        <f t="shared" si="42"/>
        <v>24666.666666666672</v>
      </c>
      <c r="F56" s="9">
        <f t="shared" si="42"/>
        <v>24876.333333333339</v>
      </c>
    </row>
    <row r="57" spans="1:6" x14ac:dyDescent="0.2">
      <c r="A57" s="8" t="s">
        <v>4</v>
      </c>
      <c r="B57" s="9">
        <f>(B21+B33-B45)</f>
        <v>66695.666666666672</v>
      </c>
      <c r="C57" s="9">
        <f t="shared" ref="C57:F57" si="43">(C21+C33-C45)</f>
        <v>67168.333333333343</v>
      </c>
      <c r="D57" s="9">
        <f t="shared" si="43"/>
        <v>67641.000000000015</v>
      </c>
      <c r="E57" s="9">
        <f t="shared" si="43"/>
        <v>68113.666666666686</v>
      </c>
      <c r="F57" s="9">
        <f t="shared" si="43"/>
        <v>68586.333333333358</v>
      </c>
    </row>
    <row r="58" spans="1:6" x14ac:dyDescent="0.2">
      <c r="A58" s="1" t="s">
        <v>0</v>
      </c>
      <c r="B58" s="10">
        <f>SUM(B56:B57)</f>
        <v>90733.333333333343</v>
      </c>
      <c r="C58" s="10">
        <f t="shared" ref="C58" si="44">SUM(C56:C57)</f>
        <v>91415.666666666686</v>
      </c>
      <c r="D58" s="10">
        <f t="shared" ref="D58" si="45">SUM(D56:D57)</f>
        <v>92098.000000000015</v>
      </c>
      <c r="E58" s="10">
        <f t="shared" ref="E58" si="46">SUM(E56:E57)</f>
        <v>92780.333333333358</v>
      </c>
      <c r="F58" s="10">
        <f t="shared" ref="F58" si="47">SUM(F56:F57)</f>
        <v>93462.666666666701</v>
      </c>
    </row>
    <row r="59" spans="1:6" x14ac:dyDescent="0.2">
      <c r="B59" s="9"/>
      <c r="C59" s="9"/>
      <c r="D59" s="9"/>
      <c r="E59" s="9"/>
      <c r="F59" s="9"/>
    </row>
    <row r="60" spans="1:6" x14ac:dyDescent="0.2">
      <c r="A60" s="1" t="s">
        <v>11</v>
      </c>
      <c r="B60" s="9"/>
      <c r="C60" s="9"/>
      <c r="D60" s="9"/>
      <c r="E60" s="9"/>
      <c r="F60" s="9"/>
    </row>
    <row r="61" spans="1:6" x14ac:dyDescent="0.2">
      <c r="A61" s="8" t="s">
        <v>3</v>
      </c>
      <c r="B61" s="9">
        <f>(B25+B37-B49)</f>
        <v>13731</v>
      </c>
      <c r="C61" s="9">
        <f t="shared" ref="C61:F61" si="48">(C25+C37-C49)</f>
        <v>14091</v>
      </c>
      <c r="D61" s="9">
        <f t="shared" si="48"/>
        <v>14451</v>
      </c>
      <c r="E61" s="9">
        <f t="shared" si="48"/>
        <v>14811</v>
      </c>
      <c r="F61" s="9">
        <f t="shared" si="48"/>
        <v>15171</v>
      </c>
    </row>
    <row r="62" spans="1:6" x14ac:dyDescent="0.2">
      <c r="A62" s="8" t="s">
        <v>4</v>
      </c>
      <c r="B62" s="9">
        <f>(B26+B38-B50)</f>
        <v>38604</v>
      </c>
      <c r="C62" s="9">
        <f t="shared" ref="C62:F62" si="49">(C26+C38-C50)</f>
        <v>39894</v>
      </c>
      <c r="D62" s="9">
        <f t="shared" si="49"/>
        <v>41184</v>
      </c>
      <c r="E62" s="9">
        <f t="shared" si="49"/>
        <v>42474</v>
      </c>
      <c r="F62" s="9">
        <f t="shared" si="49"/>
        <v>43764</v>
      </c>
    </row>
    <row r="63" spans="1:6" x14ac:dyDescent="0.2">
      <c r="A63" s="1" t="s">
        <v>0</v>
      </c>
      <c r="B63" s="10">
        <f>SUM(B61:B62)</f>
        <v>52335</v>
      </c>
      <c r="C63" s="10">
        <f t="shared" ref="C63" si="50">SUM(C61:C62)</f>
        <v>53985</v>
      </c>
      <c r="D63" s="10">
        <f t="shared" ref="D63" si="51">SUM(D61:D62)</f>
        <v>55635</v>
      </c>
      <c r="E63" s="10">
        <f t="shared" ref="E63" si="52">SUM(E61:E62)</f>
        <v>57285</v>
      </c>
      <c r="F63" s="10">
        <f t="shared" ref="F63" si="53">SUM(F61:F62)</f>
        <v>58935</v>
      </c>
    </row>
    <row r="64" spans="1:6" ht="13.5" thickBot="1" x14ac:dyDescent="0.25">
      <c r="A64" s="7" t="s">
        <v>10</v>
      </c>
      <c r="B64" s="12">
        <f>SUM(B58,B63)</f>
        <v>143068.33333333334</v>
      </c>
      <c r="C64" s="12">
        <f t="shared" ref="C64" si="54">SUM(C58,C63)</f>
        <v>145400.66666666669</v>
      </c>
      <c r="D64" s="12">
        <f t="shared" ref="D64" si="55">SUM(D58,D63)</f>
        <v>147733</v>
      </c>
      <c r="E64" s="12">
        <f t="shared" ref="E64" si="56">SUM(E58,E63)</f>
        <v>150065.33333333337</v>
      </c>
      <c r="F64" s="12">
        <f t="shared" ref="F64" si="57">SUM(F58,F63)</f>
        <v>152397.66666666669</v>
      </c>
    </row>
    <row r="65" spans="1:7" ht="13.5" thickTop="1" x14ac:dyDescent="0.2">
      <c r="A65" s="1" t="s">
        <v>13</v>
      </c>
      <c r="B65" s="15">
        <f>ROUND((B64/'Input Data'!B12)-1,3)</f>
        <v>1.7000000000000001E-2</v>
      </c>
      <c r="C65" s="15">
        <f>ROUND((C64/B64)-1,3)</f>
        <v>1.6E-2</v>
      </c>
      <c r="D65" s="15">
        <f>ROUND((D64/C64)-1,3)</f>
        <v>1.6E-2</v>
      </c>
      <c r="E65" s="15">
        <f>ROUND((E64/D64)-1,3)</f>
        <v>1.6E-2</v>
      </c>
      <c r="F65" s="15">
        <f>ROUND((F64/E64)-1,3)</f>
        <v>1.6E-2</v>
      </c>
    </row>
    <row r="66" spans="1:7" ht="13.5" thickBot="1" x14ac:dyDescent="0.25">
      <c r="A66" s="7"/>
      <c r="B66" s="17"/>
      <c r="C66" s="17"/>
      <c r="D66" s="17"/>
      <c r="E66" s="17"/>
      <c r="F66" s="17"/>
    </row>
    <row r="67" spans="1:7" customFormat="1" ht="25.5" customHeight="1" thickBot="1" x14ac:dyDescent="0.3">
      <c r="B67" s="5" t="str">
        <f>B1</f>
        <v>2015-16</v>
      </c>
      <c r="C67" s="2" t="str">
        <f>C1</f>
        <v>2016-17</v>
      </c>
      <c r="D67" s="2" t="str">
        <f>D1</f>
        <v>2017-18</v>
      </c>
      <c r="E67" s="2" t="str">
        <f>E1</f>
        <v>2018-19</v>
      </c>
      <c r="F67" s="3" t="str">
        <f>F1</f>
        <v>2019-20</v>
      </c>
      <c r="G67" s="1"/>
    </row>
    <row r="68" spans="1:7" x14ac:dyDescent="0.2">
      <c r="A68" s="7" t="s">
        <v>46</v>
      </c>
      <c r="B68" s="9"/>
      <c r="C68" s="9"/>
      <c r="D68" s="9"/>
      <c r="E68" s="9"/>
      <c r="F68" s="9"/>
    </row>
    <row r="69" spans="1:7" x14ac:dyDescent="0.2">
      <c r="A69" s="1" t="s">
        <v>2</v>
      </c>
      <c r="B69" s="9"/>
      <c r="C69" s="9"/>
      <c r="D69" s="9"/>
      <c r="E69" s="9"/>
      <c r="F69" s="9"/>
    </row>
    <row r="70" spans="1:7" x14ac:dyDescent="0.2">
      <c r="A70" s="8" t="s">
        <v>3</v>
      </c>
      <c r="B70" s="9">
        <f>ROUND((B20+B56)/2,0)</f>
        <v>23933</v>
      </c>
      <c r="C70" s="9">
        <f t="shared" ref="C70:F70" si="58">ROUND((C20+C56)/2,0)</f>
        <v>24143</v>
      </c>
      <c r="D70" s="9">
        <f t="shared" si="58"/>
        <v>24352</v>
      </c>
      <c r="E70" s="9">
        <f t="shared" si="58"/>
        <v>24562</v>
      </c>
      <c r="F70" s="9">
        <f t="shared" si="58"/>
        <v>24772</v>
      </c>
    </row>
    <row r="71" spans="1:7" x14ac:dyDescent="0.2">
      <c r="A71" s="8" t="s">
        <v>4</v>
      </c>
      <c r="B71" s="9">
        <f>ROUND((B21+B57)/2,0)</f>
        <v>66459</v>
      </c>
      <c r="C71" s="9">
        <f t="shared" ref="C71:F71" si="59">ROUND((C21+C57)/2,0)</f>
        <v>66932</v>
      </c>
      <c r="D71" s="9">
        <f t="shared" si="59"/>
        <v>67405</v>
      </c>
      <c r="E71" s="9">
        <f t="shared" si="59"/>
        <v>67877</v>
      </c>
      <c r="F71" s="9">
        <f t="shared" si="59"/>
        <v>68350</v>
      </c>
    </row>
    <row r="72" spans="1:7" x14ac:dyDescent="0.2">
      <c r="A72" s="1" t="s">
        <v>0</v>
      </c>
      <c r="B72" s="10">
        <f>SUM(B70:B71)</f>
        <v>90392</v>
      </c>
      <c r="C72" s="10">
        <f t="shared" ref="C72:F72" si="60">SUM(C70:C71)</f>
        <v>91075</v>
      </c>
      <c r="D72" s="10">
        <f t="shared" si="60"/>
        <v>91757</v>
      </c>
      <c r="E72" s="10">
        <f t="shared" si="60"/>
        <v>92439</v>
      </c>
      <c r="F72" s="10">
        <f t="shared" si="60"/>
        <v>93122</v>
      </c>
    </row>
    <row r="73" spans="1:7" x14ac:dyDescent="0.2">
      <c r="B73" s="9"/>
      <c r="C73" s="9"/>
      <c r="D73" s="9"/>
      <c r="E73" s="9"/>
      <c r="F73" s="9"/>
    </row>
    <row r="74" spans="1:7" x14ac:dyDescent="0.2">
      <c r="A74" s="1" t="s">
        <v>11</v>
      </c>
      <c r="B74" s="9"/>
      <c r="C74" s="9"/>
      <c r="D74" s="9"/>
      <c r="E74" s="9"/>
      <c r="F74" s="9"/>
    </row>
    <row r="75" spans="1:7" x14ac:dyDescent="0.2">
      <c r="A75" s="8" t="s">
        <v>3</v>
      </c>
      <c r="B75" s="9">
        <f>ROUND((B25+B61)/2,0)</f>
        <v>13551</v>
      </c>
      <c r="C75" s="9">
        <f t="shared" ref="C75:F75" si="61">ROUND((C25+C61)/2,0)</f>
        <v>13911</v>
      </c>
      <c r="D75" s="9">
        <f t="shared" si="61"/>
        <v>14271</v>
      </c>
      <c r="E75" s="9">
        <f t="shared" si="61"/>
        <v>14631</v>
      </c>
      <c r="F75" s="9">
        <f t="shared" si="61"/>
        <v>14991</v>
      </c>
    </row>
    <row r="76" spans="1:7" x14ac:dyDescent="0.2">
      <c r="A76" s="8" t="s">
        <v>4</v>
      </c>
      <c r="B76" s="9">
        <f>ROUND((B26+B62)/2,0)</f>
        <v>37959</v>
      </c>
      <c r="C76" s="9">
        <f t="shared" ref="C76:F76" si="62">ROUND((C26+C62)/2,0)</f>
        <v>39249</v>
      </c>
      <c r="D76" s="9">
        <f t="shared" si="62"/>
        <v>40539</v>
      </c>
      <c r="E76" s="9">
        <f t="shared" si="62"/>
        <v>41829</v>
      </c>
      <c r="F76" s="9">
        <f t="shared" si="62"/>
        <v>43119</v>
      </c>
    </row>
    <row r="77" spans="1:7" x14ac:dyDescent="0.2">
      <c r="A77" s="1" t="s">
        <v>0</v>
      </c>
      <c r="B77" s="10">
        <f>SUM(B75:B76)</f>
        <v>51510</v>
      </c>
      <c r="C77" s="10">
        <f t="shared" ref="C77:F77" si="63">SUM(C75:C76)</f>
        <v>53160</v>
      </c>
      <c r="D77" s="10">
        <f t="shared" si="63"/>
        <v>54810</v>
      </c>
      <c r="E77" s="10">
        <f t="shared" si="63"/>
        <v>56460</v>
      </c>
      <c r="F77" s="10">
        <f t="shared" si="63"/>
        <v>58110</v>
      </c>
    </row>
    <row r="78" spans="1:7" ht="13.5" thickBot="1" x14ac:dyDescent="0.25">
      <c r="A78" s="7" t="s">
        <v>25</v>
      </c>
      <c r="B78" s="12">
        <f>SUM(B72,B77)</f>
        <v>141902</v>
      </c>
      <c r="C78" s="12">
        <f t="shared" ref="C78:F78" si="64">SUM(C72,C77)</f>
        <v>144235</v>
      </c>
      <c r="D78" s="12">
        <f t="shared" si="64"/>
        <v>146567</v>
      </c>
      <c r="E78" s="12">
        <f t="shared" si="64"/>
        <v>148899</v>
      </c>
      <c r="F78" s="12">
        <f t="shared" si="64"/>
        <v>151232</v>
      </c>
    </row>
    <row r="79" spans="1:7" ht="13.5" thickTop="1" x14ac:dyDescent="0.2">
      <c r="A79" s="1" t="s">
        <v>23</v>
      </c>
      <c r="B79" s="9">
        <f>SUM(B70+B75)</f>
        <v>37484</v>
      </c>
      <c r="C79" s="9">
        <f t="shared" ref="C79:F79" si="65">SUM(C70+C75)</f>
        <v>38054</v>
      </c>
      <c r="D79" s="9">
        <f t="shared" si="65"/>
        <v>38623</v>
      </c>
      <c r="E79" s="9">
        <f t="shared" si="65"/>
        <v>39193</v>
      </c>
      <c r="F79" s="9">
        <f t="shared" si="65"/>
        <v>39763</v>
      </c>
    </row>
    <row r="80" spans="1:7" x14ac:dyDescent="0.2">
      <c r="A80" s="1" t="s">
        <v>24</v>
      </c>
      <c r="B80" s="9">
        <f>SUM(B71+B76)</f>
        <v>104418</v>
      </c>
      <c r="C80" s="9">
        <f t="shared" ref="C80:F80" si="66">SUM(C71+C76)</f>
        <v>106181</v>
      </c>
      <c r="D80" s="9">
        <f t="shared" si="66"/>
        <v>107944</v>
      </c>
      <c r="E80" s="9">
        <f t="shared" si="66"/>
        <v>109706</v>
      </c>
      <c r="F80" s="9">
        <f t="shared" si="66"/>
        <v>111469</v>
      </c>
    </row>
    <row r="81" spans="1:6" ht="13.5" thickBot="1" x14ac:dyDescent="0.25">
      <c r="A81" s="7" t="s">
        <v>0</v>
      </c>
      <c r="B81" s="12">
        <f>SUM(B79:B80)</f>
        <v>141902</v>
      </c>
      <c r="C81" s="12">
        <f t="shared" ref="C81:F81" si="67">SUM(C79:C80)</f>
        <v>144235</v>
      </c>
      <c r="D81" s="12">
        <f t="shared" si="67"/>
        <v>146567</v>
      </c>
      <c r="E81" s="12">
        <f t="shared" si="67"/>
        <v>148899</v>
      </c>
      <c r="F81" s="12">
        <f t="shared" si="67"/>
        <v>151232</v>
      </c>
    </row>
    <row r="82" spans="1:6" ht="13.5" thickTop="1" x14ac:dyDescent="0.2"/>
    <row r="83" spans="1:6" x14ac:dyDescent="0.2">
      <c r="A83" s="7" t="s">
        <v>26</v>
      </c>
    </row>
    <row r="84" spans="1:6" x14ac:dyDescent="0.2">
      <c r="A84" s="1" t="s">
        <v>27</v>
      </c>
      <c r="B84" s="35">
        <v>0.1</v>
      </c>
    </row>
    <row r="85" spans="1:6" x14ac:dyDescent="0.2">
      <c r="A85" s="1" t="s">
        <v>28</v>
      </c>
      <c r="B85" s="36"/>
    </row>
    <row r="86" spans="1:6" x14ac:dyDescent="0.2">
      <c r="A86" s="8" t="s">
        <v>29</v>
      </c>
      <c r="B86" s="36">
        <v>1.5</v>
      </c>
    </row>
    <row r="87" spans="1:6" x14ac:dyDescent="0.2">
      <c r="A87" s="8" t="s">
        <v>30</v>
      </c>
      <c r="B87" s="36">
        <v>1.8</v>
      </c>
    </row>
    <row r="88" spans="1:6" x14ac:dyDescent="0.2">
      <c r="A88" s="8" t="s">
        <v>31</v>
      </c>
      <c r="B88" s="36">
        <v>1.8</v>
      </c>
    </row>
    <row r="89" spans="1:6" x14ac:dyDescent="0.2">
      <c r="A89" s="8"/>
    </row>
    <row r="90" spans="1:6" x14ac:dyDescent="0.2">
      <c r="A90" s="6" t="s">
        <v>43</v>
      </c>
    </row>
    <row r="91" spans="1:6" x14ac:dyDescent="0.2">
      <c r="A91" s="1" t="s">
        <v>23</v>
      </c>
      <c r="B91" s="29">
        <f>ROUND(B79*$B$87,0)</f>
        <v>67471</v>
      </c>
      <c r="C91" s="29">
        <f>ROUND(C79*$B$87,0)</f>
        <v>68497</v>
      </c>
      <c r="D91" s="29">
        <f>ROUND(D79*$B$87,0)</f>
        <v>69521</v>
      </c>
      <c r="E91" s="29">
        <f>ROUND(E79*$B$87,0)</f>
        <v>70547</v>
      </c>
      <c r="F91" s="29">
        <f>ROUND(F79*$B$87,0)</f>
        <v>71573</v>
      </c>
    </row>
    <row r="92" spans="1:6" x14ac:dyDescent="0.2">
      <c r="A92" s="1" t="s">
        <v>24</v>
      </c>
      <c r="B92" s="9">
        <f>B80</f>
        <v>104418</v>
      </c>
      <c r="C92" s="9">
        <f>C80</f>
        <v>106181</v>
      </c>
      <c r="D92" s="9">
        <f>D80</f>
        <v>107944</v>
      </c>
      <c r="E92" s="9">
        <f>E80</f>
        <v>109706</v>
      </c>
      <c r="F92" s="9">
        <f>F80</f>
        <v>111469</v>
      </c>
    </row>
    <row r="93" spans="1:6" ht="13.5" thickBot="1" x14ac:dyDescent="0.25">
      <c r="A93" s="7" t="s">
        <v>0</v>
      </c>
      <c r="B93" s="12">
        <f>SUM(B91:B92)</f>
        <v>171889</v>
      </c>
      <c r="C93" s="12">
        <f t="shared" ref="C93:F93" si="68">SUM(C91:C92)</f>
        <v>174678</v>
      </c>
      <c r="D93" s="12">
        <f t="shared" si="68"/>
        <v>177465</v>
      </c>
      <c r="E93" s="12">
        <f t="shared" si="68"/>
        <v>180253</v>
      </c>
      <c r="F93" s="12">
        <f t="shared" si="68"/>
        <v>183042</v>
      </c>
    </row>
    <row r="94" spans="1:6" ht="13.5" thickTop="1" x14ac:dyDescent="0.2">
      <c r="B94" s="24"/>
      <c r="C94" s="24"/>
      <c r="D94" s="24"/>
      <c r="E94" s="24"/>
      <c r="F94" s="24"/>
    </row>
    <row r="95" spans="1:6" x14ac:dyDescent="0.2">
      <c r="A95" s="7" t="s">
        <v>36</v>
      </c>
      <c r="B95" s="30"/>
      <c r="C95" s="30"/>
      <c r="D95" s="30"/>
      <c r="E95" s="30"/>
      <c r="F95" s="30"/>
    </row>
    <row r="96" spans="1:6" x14ac:dyDescent="0.2">
      <c r="A96" s="1" t="s">
        <v>32</v>
      </c>
      <c r="B96" s="24"/>
      <c r="C96" s="24"/>
      <c r="D96" s="24"/>
      <c r="E96" s="24"/>
      <c r="F96" s="24"/>
    </row>
    <row r="97" spans="1:8" x14ac:dyDescent="0.2">
      <c r="A97" s="8" t="s">
        <v>3</v>
      </c>
      <c r="B97" s="18">
        <f>(B$7*1000000)/(B79+B80/$B$86)</f>
        <v>145.08390520118019</v>
      </c>
      <c r="C97" s="18">
        <f>(C$7*1000000)/(C79+C80/$B$86)</f>
        <v>151.21586018789216</v>
      </c>
      <c r="D97" s="18">
        <f>(D$7*1000000)/(D79+D80/$B$86)</f>
        <v>156.53044603724337</v>
      </c>
      <c r="E97" s="18">
        <f>(E$7*1000000)/(E79+E80/$B$86)</f>
        <v>159.95975328183366</v>
      </c>
      <c r="F97" s="18">
        <f>(F$7*1000000)/(F79+F80/$B$86)</f>
        <v>163.53412268753172</v>
      </c>
    </row>
    <row r="98" spans="1:8" x14ac:dyDescent="0.2">
      <c r="A98" s="8" t="s">
        <v>4</v>
      </c>
      <c r="B98" s="18">
        <f>B97/$B$86</f>
        <v>96.722603467453453</v>
      </c>
      <c r="C98" s="18">
        <f t="shared" ref="C98:F98" si="69">C97/$B$86</f>
        <v>100.81057345859477</v>
      </c>
      <c r="D98" s="18">
        <f t="shared" si="69"/>
        <v>104.35363069149558</v>
      </c>
      <c r="E98" s="18">
        <f>E97/$B$86</f>
        <v>106.63983552122244</v>
      </c>
      <c r="F98" s="18">
        <f t="shared" si="69"/>
        <v>109.02274845835449</v>
      </c>
    </row>
    <row r="99" spans="1:8" x14ac:dyDescent="0.2">
      <c r="A99" s="1" t="s">
        <v>33</v>
      </c>
      <c r="B99" s="24"/>
      <c r="C99" s="24"/>
      <c r="D99" s="24"/>
      <c r="E99" s="24"/>
      <c r="F99" s="24"/>
    </row>
    <row r="100" spans="1:8" x14ac:dyDescent="0.2">
      <c r="A100" s="8" t="s">
        <v>3</v>
      </c>
      <c r="B100" s="24">
        <f>ROUND(((B11+B13)*1000000)/(B70+B71/$B$87)*(1-$B$84),2)</f>
        <v>156.25</v>
      </c>
      <c r="C100" s="24">
        <f>ROUND(((C11+C13)*1000000)/(C70+C71/$B$87)*(1-$B$84),2)</f>
        <v>186.88</v>
      </c>
      <c r="D100" s="24">
        <f>ROUND(((D11+D13)*1000000)/(D70+D71/$B$87)*(1-$B$84),2)</f>
        <v>181.07</v>
      </c>
      <c r="E100" s="18">
        <f>ROUND(((E11+E13)*1000000)/(E70+E71/$B$87)*(1-$B$84),2)</f>
        <v>193.84</v>
      </c>
      <c r="F100" s="24">
        <f>ROUND(((F11+F13)*1000000)/(F70+F71/$B$87)*(1-$B$84),2)</f>
        <v>207.28</v>
      </c>
    </row>
    <row r="101" spans="1:8" x14ac:dyDescent="0.2">
      <c r="A101" s="8" t="s">
        <v>4</v>
      </c>
      <c r="B101" s="18">
        <f>ROUND(B100/$B$87,2)</f>
        <v>86.81</v>
      </c>
      <c r="C101" s="18">
        <f t="shared" ref="C101:F101" si="70">ROUND(C100/$B$87,2)</f>
        <v>103.82</v>
      </c>
      <c r="D101" s="18">
        <f t="shared" si="70"/>
        <v>100.59</v>
      </c>
      <c r="E101" s="18">
        <f t="shared" si="70"/>
        <v>107.69</v>
      </c>
      <c r="F101" s="18">
        <f t="shared" si="70"/>
        <v>115.16</v>
      </c>
      <c r="H101" s="21"/>
    </row>
    <row r="102" spans="1:8" x14ac:dyDescent="0.2">
      <c r="A102" s="1" t="s">
        <v>37</v>
      </c>
      <c r="B102" s="24"/>
      <c r="C102" s="24"/>
      <c r="D102" s="24"/>
      <c r="E102" s="24"/>
      <c r="F102" s="24"/>
    </row>
    <row r="103" spans="1:8" x14ac:dyDescent="0.2">
      <c r="A103" s="8" t="s">
        <v>3</v>
      </c>
      <c r="B103" s="24">
        <f>ROUND(((B11+B13)*1000000)/(B80/$B$87+B79)*$B$84,2)</f>
        <v>11.06</v>
      </c>
      <c r="C103" s="24">
        <f>ROUND(((C11+C13)*1000000)/(C80/$B$87+C79)*$B$84,2)</f>
        <v>13.12</v>
      </c>
      <c r="D103" s="24">
        <f>ROUND(((D11+D13)*1000000)/(D80/$B$87+D79)*$B$84,2)</f>
        <v>12.61</v>
      </c>
      <c r="E103" s="24">
        <f>ROUND(((E11+E13)*1000000)/(E80/$B$87+E79)*$B$84,2)</f>
        <v>13.39</v>
      </c>
      <c r="F103" s="24">
        <f>ROUND(((F11+F13)*1000000)/(F80/$B$87+F79)*$B$84,2)</f>
        <v>14.21</v>
      </c>
    </row>
    <row r="104" spans="1:8" x14ac:dyDescent="0.2">
      <c r="A104" s="8" t="s">
        <v>4</v>
      </c>
      <c r="B104" s="4">
        <f>B103/$B$87</f>
        <v>6.1444444444444448</v>
      </c>
      <c r="C104" s="4">
        <f t="shared" ref="C104:F104" si="71">C103/$B$87</f>
        <v>7.2888888888888879</v>
      </c>
      <c r="D104" s="4">
        <f t="shared" si="71"/>
        <v>7.0055555555555546</v>
      </c>
      <c r="E104" s="4">
        <f t="shared" si="71"/>
        <v>7.4388888888888891</v>
      </c>
      <c r="F104" s="4">
        <f t="shared" si="71"/>
        <v>7.8944444444444448</v>
      </c>
    </row>
    <row r="105" spans="1:8" x14ac:dyDescent="0.2">
      <c r="A105" s="8"/>
      <c r="B105" s="18"/>
      <c r="C105" s="18"/>
      <c r="D105" s="18"/>
      <c r="E105" s="18"/>
      <c r="F105" s="18"/>
    </row>
    <row r="106" spans="1:8" x14ac:dyDescent="0.2">
      <c r="A106" s="22" t="s">
        <v>53</v>
      </c>
      <c r="B106" s="18">
        <v>365.25</v>
      </c>
      <c r="C106" s="18">
        <v>365.25</v>
      </c>
      <c r="D106" s="18">
        <v>365.25</v>
      </c>
      <c r="E106" s="18">
        <v>365.25</v>
      </c>
      <c r="F106" s="18">
        <v>365.25</v>
      </c>
    </row>
    <row r="107" spans="1:8" x14ac:dyDescent="0.2">
      <c r="B107" s="24"/>
      <c r="C107" s="24"/>
      <c r="D107" s="24"/>
      <c r="E107" s="24"/>
      <c r="F107" s="24"/>
    </row>
    <row r="108" spans="1:8" x14ac:dyDescent="0.2">
      <c r="A108" s="7" t="s">
        <v>54</v>
      </c>
      <c r="B108" s="30"/>
      <c r="C108" s="30"/>
      <c r="D108" s="30"/>
      <c r="E108" s="30"/>
      <c r="F108" s="30"/>
    </row>
    <row r="109" spans="1:8" x14ac:dyDescent="0.2">
      <c r="A109" s="8" t="s">
        <v>50</v>
      </c>
      <c r="B109" s="32">
        <f>SUM(B97,B100,B103)/B106</f>
        <v>0.85528789925032223</v>
      </c>
      <c r="C109" s="32">
        <f t="shared" ref="C109:F109" si="72">SUM(C97,C100,C103)/C106</f>
        <v>0.96157661926869864</v>
      </c>
      <c r="D109" s="32">
        <f t="shared" si="72"/>
        <v>0.95882394534495108</v>
      </c>
      <c r="E109" s="32">
        <f t="shared" si="72"/>
        <v>1.0053107550495104</v>
      </c>
      <c r="F109" s="32">
        <f t="shared" si="72"/>
        <v>1.0541385973649053</v>
      </c>
    </row>
    <row r="110" spans="1:8" x14ac:dyDescent="0.2">
      <c r="A110" s="8" t="s">
        <v>51</v>
      </c>
      <c r="B110" s="32">
        <f>SUM(B97,B103)/B106</f>
        <v>0.4274987137609314</v>
      </c>
      <c r="C110" s="32">
        <f t="shared" ref="C110:F110" si="73">SUM(C97,C103)/C106</f>
        <v>0.4499270641694515</v>
      </c>
      <c r="D110" s="32">
        <f t="shared" si="73"/>
        <v>0.46308130331894143</v>
      </c>
      <c r="E110" s="32">
        <f t="shared" si="73"/>
        <v>0.4746057584718239</v>
      </c>
      <c r="F110" s="32">
        <f t="shared" si="73"/>
        <v>0.48663688620816353</v>
      </c>
    </row>
    <row r="111" spans="1:8" x14ac:dyDescent="0.2">
      <c r="B111" s="32"/>
      <c r="C111" s="32"/>
      <c r="D111" s="32"/>
      <c r="E111" s="32"/>
      <c r="F111" s="32"/>
    </row>
    <row r="112" spans="1:8" x14ac:dyDescent="0.2">
      <c r="A112" s="7" t="s">
        <v>55</v>
      </c>
      <c r="B112" s="32"/>
      <c r="C112" s="32"/>
      <c r="D112" s="32"/>
      <c r="E112" s="32"/>
      <c r="F112" s="32"/>
    </row>
    <row r="113" spans="1:6" x14ac:dyDescent="0.2">
      <c r="A113" s="8" t="s">
        <v>50</v>
      </c>
      <c r="B113" s="32">
        <f>SUM(B98,B101,B104)/B106</f>
        <v>0.51930745492648289</v>
      </c>
      <c r="C113" s="32">
        <f t="shared" ref="C113:F113" si="74">SUM(C98,C101,C104)/C106</f>
        <v>0.5802038667966698</v>
      </c>
      <c r="D113" s="32">
        <f t="shared" si="74"/>
        <v>0.58028524639849732</v>
      </c>
      <c r="E113" s="32">
        <f t="shared" si="74"/>
        <v>0.60716967668750532</v>
      </c>
      <c r="F113" s="32">
        <f t="shared" si="74"/>
        <v>0.63539272526433654</v>
      </c>
    </row>
    <row r="114" spans="1:6" x14ac:dyDescent="0.2">
      <c r="A114" s="8" t="s">
        <v>51</v>
      </c>
      <c r="B114" s="32">
        <f>SUM(B98,B104)/B106</f>
        <v>0.28163462809554524</v>
      </c>
      <c r="C114" s="32">
        <f t="shared" ref="C114:F114" si="75">SUM(C98,C104)/C106</f>
        <v>0.29596019807661511</v>
      </c>
      <c r="D114" s="32">
        <f t="shared" si="75"/>
        <v>0.30488483572087921</v>
      </c>
      <c r="E114" s="32">
        <f t="shared" si="75"/>
        <v>0.31233052542124934</v>
      </c>
      <c r="F114" s="32">
        <f t="shared" si="75"/>
        <v>0.3201018286182038</v>
      </c>
    </row>
    <row r="115" spans="1:6" x14ac:dyDescent="0.2">
      <c r="B115" s="32"/>
      <c r="C115" s="32"/>
      <c r="D115" s="32"/>
      <c r="E115" s="32"/>
      <c r="F115" s="32"/>
    </row>
    <row r="116" spans="1:6" x14ac:dyDescent="0.2">
      <c r="A116" s="43" t="s">
        <v>56</v>
      </c>
      <c r="B116" s="32"/>
      <c r="C116" s="32"/>
      <c r="D116" s="32"/>
      <c r="E116" s="32"/>
      <c r="F116" s="32"/>
    </row>
    <row r="117" spans="1:6" x14ac:dyDescent="0.2">
      <c r="A117" s="44" t="s">
        <v>57</v>
      </c>
      <c r="B117" s="45">
        <f>[3]WACC!$G$6</f>
        <v>2.5499999999999998E-2</v>
      </c>
      <c r="C117" s="32"/>
      <c r="D117" s="32"/>
      <c r="E117" s="32"/>
      <c r="F117" s="32"/>
    </row>
    <row r="118" spans="1:6" x14ac:dyDescent="0.2">
      <c r="A118" s="44" t="s">
        <v>58</v>
      </c>
      <c r="B118" s="45">
        <f>[3]!vanilla01</f>
        <v>7.4080000000000007E-2</v>
      </c>
      <c r="C118" s="32"/>
      <c r="D118" s="32"/>
      <c r="E118" s="32"/>
      <c r="F118" s="32"/>
    </row>
    <row r="119" spans="1:6" x14ac:dyDescent="0.2">
      <c r="A119" s="44" t="s">
        <v>59</v>
      </c>
      <c r="B119" s="48">
        <v>0</v>
      </c>
      <c r="C119" s="32"/>
      <c r="D119" s="32"/>
      <c r="E119" s="32"/>
      <c r="F119" s="32"/>
    </row>
    <row r="120" spans="1:6" x14ac:dyDescent="0.2">
      <c r="A120" s="44" t="s">
        <v>60</v>
      </c>
      <c r="B120" s="53">
        <v>5.5822512157110434E-2</v>
      </c>
      <c r="C120" s="32"/>
      <c r="D120" s="32"/>
      <c r="E120" s="32"/>
      <c r="F120" s="32"/>
    </row>
    <row r="121" spans="1:6" s="46" customFormat="1" x14ac:dyDescent="0.2">
      <c r="B121" s="42"/>
      <c r="C121" s="47"/>
      <c r="D121" s="47"/>
      <c r="E121" s="47"/>
      <c r="F121" s="47"/>
    </row>
    <row r="122" spans="1:6" s="46" customFormat="1" x14ac:dyDescent="0.2">
      <c r="A122" s="50" t="s">
        <v>61</v>
      </c>
      <c r="B122" s="42"/>
      <c r="C122" s="47"/>
      <c r="D122" s="47"/>
      <c r="E122" s="47"/>
      <c r="F122" s="47"/>
    </row>
    <row r="123" spans="1:6" s="46" customFormat="1" x14ac:dyDescent="0.2">
      <c r="A123" s="51" t="str">
        <f>A109</f>
        <v>Ergon Owned &amp; Operated = Opex + Capex + Refurb</v>
      </c>
      <c r="B123" s="52">
        <f>ROUND(B109*(1+$B$120),5)</f>
        <v>0.90303</v>
      </c>
      <c r="C123" s="47">
        <f>ROUND(B123*(1+$B$117)*(1+$B$119),5)</f>
        <v>0.92605999999999999</v>
      </c>
      <c r="D123" s="47">
        <f t="shared" ref="D123:F124" si="76">ROUND(C123*(1+$B$117)*(1+$B$119),5)</f>
        <v>0.94967000000000001</v>
      </c>
      <c r="E123" s="47">
        <f t="shared" si="76"/>
        <v>0.97389000000000003</v>
      </c>
      <c r="F123" s="47">
        <f t="shared" si="76"/>
        <v>0.99872000000000005</v>
      </c>
    </row>
    <row r="124" spans="1:6" s="46" customFormat="1" x14ac:dyDescent="0.2">
      <c r="A124" s="51" t="str">
        <f>A110</f>
        <v>Gifted &amp; Ergon Operated = Opex + Refurb</v>
      </c>
      <c r="B124" s="52">
        <f>ROUND(B110*(1+$B$120),5)</f>
        <v>0.45135999999999998</v>
      </c>
      <c r="C124" s="52">
        <f>ROUND(B124*(1+$B$117)*(1+$B$119),5)</f>
        <v>0.46287</v>
      </c>
      <c r="D124" s="52">
        <f t="shared" si="76"/>
        <v>0.47466999999999998</v>
      </c>
      <c r="E124" s="52">
        <f t="shared" si="76"/>
        <v>0.48676999999999998</v>
      </c>
      <c r="F124" s="52">
        <f t="shared" si="76"/>
        <v>0.49918000000000001</v>
      </c>
    </row>
    <row r="125" spans="1:6" s="46" customFormat="1" x14ac:dyDescent="0.2">
      <c r="B125" s="42"/>
      <c r="C125" s="47"/>
      <c r="D125" s="47"/>
      <c r="E125" s="47"/>
      <c r="F125" s="47"/>
    </row>
    <row r="126" spans="1:6" s="49" customFormat="1" x14ac:dyDescent="0.2">
      <c r="A126" s="55" t="s">
        <v>62</v>
      </c>
      <c r="B126" s="42"/>
      <c r="C126" s="52"/>
      <c r="D126" s="52"/>
      <c r="E126" s="52"/>
      <c r="F126" s="52"/>
    </row>
    <row r="127" spans="1:6" s="49" customFormat="1" x14ac:dyDescent="0.2">
      <c r="A127" s="56" t="str">
        <f>A123</f>
        <v>Ergon Owned &amp; Operated = Opex + Capex + Refurb</v>
      </c>
      <c r="B127" s="57">
        <f>ROUND(B113*(1+$B$120),5)</f>
        <v>0.54830000000000001</v>
      </c>
      <c r="C127" s="57">
        <f>ROUND(B127*(1+$B$117)*(1+$B$119),5)</f>
        <v>0.56228</v>
      </c>
      <c r="D127" s="57">
        <f t="shared" ref="D127:F128" si="77">ROUND(C127*(1+$B$117)*(1+$B$119),5)</f>
        <v>0.57662000000000002</v>
      </c>
      <c r="E127" s="57">
        <f t="shared" si="77"/>
        <v>0.59131999999999996</v>
      </c>
      <c r="F127" s="57">
        <f t="shared" si="77"/>
        <v>0.60640000000000005</v>
      </c>
    </row>
    <row r="128" spans="1:6" s="46" customFormat="1" x14ac:dyDescent="0.2">
      <c r="A128" s="56" t="str">
        <f>A124</f>
        <v>Gifted &amp; Ergon Operated = Opex + Refurb</v>
      </c>
      <c r="B128" s="57">
        <f>ROUND(B114*(1+$B$120),5)</f>
        <v>0.29736000000000001</v>
      </c>
      <c r="C128" s="57">
        <f>ROUND(B128*(1+$B$117)*(1+$B$119),5)</f>
        <v>0.30493999999999999</v>
      </c>
      <c r="D128" s="57">
        <f t="shared" si="77"/>
        <v>0.31272</v>
      </c>
      <c r="E128" s="57">
        <f t="shared" si="77"/>
        <v>0.32068999999999998</v>
      </c>
      <c r="F128" s="57">
        <f t="shared" si="77"/>
        <v>0.32887</v>
      </c>
    </row>
    <row r="129" spans="1:6" s="46" customFormat="1" x14ac:dyDescent="0.2">
      <c r="B129" s="42"/>
      <c r="C129" s="47"/>
      <c r="D129" s="47"/>
      <c r="E129" s="47"/>
      <c r="F129" s="47"/>
    </row>
    <row r="130" spans="1:6" s="54" customFormat="1" x14ac:dyDescent="0.2">
      <c r="A130" s="58" t="s">
        <v>63</v>
      </c>
      <c r="B130" s="75">
        <f>((B123*B70)+(B124*B75)+(B127*B71)+(B128*B76))*B106/1000000</f>
        <v>27.5601412044225</v>
      </c>
      <c r="C130" s="75">
        <f t="shared" ref="C130:F130" si="78">((C123*C70)+(C124*C75)+(C127*C71)+(C128*C76))*C106/1000000</f>
        <v>28.635587643592498</v>
      </c>
      <c r="D130" s="75">
        <f t="shared" si="78"/>
        <v>29.747715606997499</v>
      </c>
      <c r="E130" s="75">
        <f t="shared" si="78"/>
        <v>30.897880957425002</v>
      </c>
      <c r="F130" s="75">
        <f t="shared" si="78"/>
        <v>32.087754804937504</v>
      </c>
    </row>
    <row r="131" spans="1:6" s="54" customFormat="1" x14ac:dyDescent="0.2">
      <c r="A131" s="58" t="s">
        <v>64</v>
      </c>
      <c r="B131" s="75">
        <f>NPV(B118,B130:F130)</f>
        <v>120.15100949623395</v>
      </c>
      <c r="C131" s="57"/>
      <c r="D131" s="57"/>
      <c r="E131" s="57"/>
      <c r="F131" s="57"/>
    </row>
    <row r="132" spans="1:6" s="54" customFormat="1" x14ac:dyDescent="0.2">
      <c r="A132" s="58" t="s">
        <v>65</v>
      </c>
      <c r="B132" s="75">
        <f>NPV(B118,B14:F14)</f>
        <v>120.34912078028117</v>
      </c>
      <c r="C132" s="57"/>
      <c r="D132" s="57"/>
      <c r="E132" s="57"/>
      <c r="F132" s="57"/>
    </row>
    <row r="133" spans="1:6" s="54" customFormat="1" x14ac:dyDescent="0.2">
      <c r="A133" s="58" t="s">
        <v>66</v>
      </c>
      <c r="B133" s="75">
        <f>B131-B132</f>
        <v>-0.19811128404721501</v>
      </c>
      <c r="C133" s="57"/>
      <c r="D133" s="57"/>
      <c r="E133" s="57"/>
      <c r="F133" s="57"/>
    </row>
    <row r="134" spans="1:6" s="54" customFormat="1" x14ac:dyDescent="0.2">
      <c r="B134" s="42"/>
      <c r="C134" s="57"/>
      <c r="D134" s="57"/>
      <c r="E134" s="57"/>
      <c r="F134" s="57"/>
    </row>
    <row r="135" spans="1:6" s="54" customFormat="1" x14ac:dyDescent="0.2">
      <c r="A135" s="65" t="s">
        <v>69</v>
      </c>
      <c r="B135" s="62"/>
      <c r="C135" s="57"/>
      <c r="D135" s="57"/>
      <c r="E135" s="57"/>
      <c r="F135" s="57"/>
    </row>
    <row r="136" spans="1:6" s="54" customFormat="1" x14ac:dyDescent="0.2">
      <c r="A136" s="60" t="s">
        <v>67</v>
      </c>
      <c r="B136" s="62"/>
      <c r="C136" s="57"/>
      <c r="D136" s="57"/>
      <c r="E136" s="57"/>
      <c r="F136" s="57"/>
    </row>
    <row r="137" spans="1:6" s="54" customFormat="1" x14ac:dyDescent="0.2">
      <c r="A137" s="61" t="str">
        <f>A123</f>
        <v>Ergon Owned &amp; Operated = Opex + Capex + Refurb</v>
      </c>
      <c r="B137" s="63">
        <v>1.0251999999999999</v>
      </c>
      <c r="C137" s="57"/>
      <c r="D137" s="57"/>
      <c r="E137" s="57"/>
      <c r="F137" s="57"/>
    </row>
    <row r="138" spans="1:6" s="54" customFormat="1" x14ac:dyDescent="0.2">
      <c r="A138" s="61" t="str">
        <f>A124</f>
        <v>Gifted &amp; Ergon Operated = Opex + Refurb</v>
      </c>
      <c r="B138" s="63">
        <v>0.41399999999999998</v>
      </c>
      <c r="C138" s="57"/>
      <c r="D138" s="57"/>
      <c r="E138" s="57"/>
      <c r="F138" s="57"/>
    </row>
    <row r="139" spans="1:6" s="59" customFormat="1" x14ac:dyDescent="0.2">
      <c r="A139" s="61"/>
      <c r="B139" s="63"/>
      <c r="C139" s="62"/>
      <c r="D139" s="62"/>
      <c r="E139" s="62"/>
      <c r="F139" s="62"/>
    </row>
    <row r="140" spans="1:6" s="59" customFormat="1" x14ac:dyDescent="0.2">
      <c r="A140" s="65" t="s">
        <v>68</v>
      </c>
      <c r="B140" s="68"/>
      <c r="C140" s="62"/>
      <c r="D140" s="62"/>
      <c r="E140" s="62"/>
      <c r="F140" s="62"/>
    </row>
    <row r="141" spans="1:6" s="59" customFormat="1" x14ac:dyDescent="0.2">
      <c r="A141" s="66" t="str">
        <f>A137</f>
        <v>Ergon Owned &amp; Operated = Opex + Capex + Refurb</v>
      </c>
      <c r="B141" s="68">
        <v>0.61080000000000001</v>
      </c>
      <c r="C141" s="62"/>
      <c r="D141" s="62"/>
      <c r="E141" s="62"/>
      <c r="F141" s="62"/>
    </row>
    <row r="142" spans="1:6" s="59" customFormat="1" x14ac:dyDescent="0.2">
      <c r="A142" s="66" t="str">
        <f>A138</f>
        <v>Gifted &amp; Ergon Operated = Opex + Refurb</v>
      </c>
      <c r="B142" s="68">
        <v>0.2712</v>
      </c>
      <c r="C142" s="62"/>
      <c r="D142" s="62"/>
      <c r="E142" s="62"/>
      <c r="F142" s="62"/>
    </row>
    <row r="143" spans="1:6" s="64" customFormat="1" x14ac:dyDescent="0.2">
      <c r="A143" s="66"/>
      <c r="B143" s="68"/>
      <c r="C143" s="67"/>
      <c r="D143" s="67"/>
      <c r="E143" s="67"/>
      <c r="F143" s="67"/>
    </row>
    <row r="144" spans="1:6" s="64" customFormat="1" x14ac:dyDescent="0.2">
      <c r="A144" s="70" t="s">
        <v>70</v>
      </c>
      <c r="B144" s="68"/>
      <c r="C144" s="67"/>
      <c r="D144" s="67"/>
      <c r="E144" s="67"/>
      <c r="F144" s="67"/>
    </row>
    <row r="145" spans="1:6" s="64" customFormat="1" x14ac:dyDescent="0.2">
      <c r="A145" s="70" t="s">
        <v>71</v>
      </c>
      <c r="B145" s="68"/>
      <c r="C145" s="71"/>
      <c r="D145" s="67"/>
      <c r="E145" s="67"/>
      <c r="F145" s="67"/>
    </row>
    <row r="146" spans="1:6" s="64" customFormat="1" x14ac:dyDescent="0.2">
      <c r="A146" s="69" t="s">
        <v>57</v>
      </c>
      <c r="B146" s="68"/>
      <c r="C146" s="71">
        <f>B117</f>
        <v>2.5499999999999998E-2</v>
      </c>
      <c r="D146" s="67"/>
      <c r="E146" s="67"/>
      <c r="F146" s="67"/>
    </row>
    <row r="147" spans="1:6" s="64" customFormat="1" x14ac:dyDescent="0.2">
      <c r="A147" s="69" t="s">
        <v>58</v>
      </c>
      <c r="B147" s="68"/>
      <c r="C147" s="71">
        <f>B118</f>
        <v>7.4080000000000007E-2</v>
      </c>
      <c r="D147" s="67"/>
      <c r="E147" s="67"/>
      <c r="F147" s="67"/>
    </row>
    <row r="148" spans="1:6" s="64" customFormat="1" x14ac:dyDescent="0.2">
      <c r="A148" s="69" t="s">
        <v>59</v>
      </c>
      <c r="B148" s="68"/>
      <c r="C148" s="71">
        <v>0</v>
      </c>
      <c r="D148" s="67"/>
      <c r="E148" s="67"/>
      <c r="F148" s="67"/>
    </row>
    <row r="149" spans="1:6" s="64" customFormat="1" x14ac:dyDescent="0.2">
      <c r="A149" s="69" t="s">
        <v>60</v>
      </c>
      <c r="B149" s="68"/>
      <c r="C149" s="77">
        <v>-1.3367675837189997E-2</v>
      </c>
      <c r="D149" s="67"/>
      <c r="E149" s="67"/>
      <c r="F149" s="67"/>
    </row>
    <row r="150" spans="1:6" s="64" customFormat="1" x14ac:dyDescent="0.2">
      <c r="A150" s="66"/>
      <c r="B150" s="68"/>
      <c r="C150" s="67"/>
      <c r="D150" s="67"/>
      <c r="E150" s="67"/>
      <c r="F150" s="67"/>
    </row>
    <row r="151" spans="1:6" s="64" customFormat="1" x14ac:dyDescent="0.2">
      <c r="A151" s="73" t="s">
        <v>72</v>
      </c>
      <c r="B151" s="68"/>
      <c r="C151" s="67"/>
      <c r="D151" s="67"/>
      <c r="E151" s="67"/>
      <c r="F151" s="67"/>
    </row>
    <row r="152" spans="1:6" s="64" customFormat="1" x14ac:dyDescent="0.2">
      <c r="A152" s="66" t="str">
        <f>A137</f>
        <v>Ergon Owned &amp; Operated = Opex + Capex + Refurb</v>
      </c>
      <c r="B152" s="68">
        <f>B137</f>
        <v>1.0251999999999999</v>
      </c>
      <c r="C152" s="76">
        <f>ROUND(C109*(1+$C$149),5)</f>
        <v>0.94872000000000001</v>
      </c>
      <c r="D152" s="67">
        <f>ROUND(C152*(1+$C$146)*(1+$C$148),5)</f>
        <v>0.97291000000000005</v>
      </c>
      <c r="E152" s="67">
        <f t="shared" ref="E152:F153" si="79">ROUND(D152*(1+$C$146)*(1+$C$148),5)</f>
        <v>0.99772000000000005</v>
      </c>
      <c r="F152" s="67">
        <f t="shared" si="79"/>
        <v>1.0231600000000001</v>
      </c>
    </row>
    <row r="153" spans="1:6" s="64" customFormat="1" x14ac:dyDescent="0.2">
      <c r="A153" s="74" t="str">
        <f>A138</f>
        <v>Gifted &amp; Ergon Operated = Opex + Refurb</v>
      </c>
      <c r="B153" s="78">
        <f>B138</f>
        <v>0.41399999999999998</v>
      </c>
      <c r="C153" s="76">
        <f>ROUND(C110*(1+$C$149),5)</f>
        <v>0.44391000000000003</v>
      </c>
      <c r="D153" s="76">
        <f>ROUND(C153*(1+$C$146)*(1+$C$148),5)</f>
        <v>0.45523000000000002</v>
      </c>
      <c r="E153" s="76">
        <f t="shared" si="79"/>
        <v>0.46683999999999998</v>
      </c>
      <c r="F153" s="76">
        <f t="shared" si="79"/>
        <v>0.47874</v>
      </c>
    </row>
    <row r="154" spans="1:6" s="64" customFormat="1" x14ac:dyDescent="0.2">
      <c r="A154" s="66"/>
      <c r="B154" s="68"/>
      <c r="C154" s="67"/>
      <c r="D154" s="67"/>
      <c r="E154" s="67"/>
      <c r="F154" s="67"/>
    </row>
    <row r="155" spans="1:6" s="64" customFormat="1" x14ac:dyDescent="0.2">
      <c r="A155" s="73" t="s">
        <v>73</v>
      </c>
      <c r="B155" s="68"/>
      <c r="C155" s="67"/>
      <c r="D155" s="67"/>
      <c r="E155" s="67"/>
      <c r="F155" s="67"/>
    </row>
    <row r="156" spans="1:6" s="72" customFormat="1" x14ac:dyDescent="0.2">
      <c r="A156" s="74" t="str">
        <f>A152</f>
        <v>Ergon Owned &amp; Operated = Opex + Capex + Refurb</v>
      </c>
      <c r="B156" s="78">
        <f>B141</f>
        <v>0.61080000000000001</v>
      </c>
      <c r="C156" s="76">
        <f>ROUND(C113*(1+$C$149),5)</f>
        <v>0.57245000000000001</v>
      </c>
      <c r="D156" s="76">
        <f>ROUND(C156*(1+$C$146)*(1+$C$148),5)</f>
        <v>0.58704999999999996</v>
      </c>
      <c r="E156" s="76">
        <f t="shared" ref="E156:F157" si="80">ROUND(D156*(1+$C$146)*(1+$C$148),5)</f>
        <v>0.60202</v>
      </c>
      <c r="F156" s="76">
        <f t="shared" si="80"/>
        <v>0.61736999999999997</v>
      </c>
    </row>
    <row r="157" spans="1:6" s="72" customFormat="1" x14ac:dyDescent="0.2">
      <c r="A157" s="74" t="str">
        <f>A153</f>
        <v>Gifted &amp; Ergon Operated = Opex + Refurb</v>
      </c>
      <c r="B157" s="78">
        <f>B142</f>
        <v>0.2712</v>
      </c>
      <c r="C157" s="76">
        <f>ROUND(C114*(1+$C$149),5)</f>
        <v>0.29199999999999998</v>
      </c>
      <c r="D157" s="76">
        <f>ROUND(C157*(1+$C$146)*(1+$C$148),5)</f>
        <v>0.29944999999999999</v>
      </c>
      <c r="E157" s="76">
        <f t="shared" si="80"/>
        <v>0.30708999999999997</v>
      </c>
      <c r="F157" s="76">
        <f t="shared" si="80"/>
        <v>0.31491999999999998</v>
      </c>
    </row>
    <row r="158" spans="1:6" s="72" customFormat="1" x14ac:dyDescent="0.2">
      <c r="A158" s="73"/>
      <c r="B158" s="78"/>
      <c r="C158" s="76"/>
      <c r="D158" s="76"/>
      <c r="E158" s="76"/>
      <c r="F158" s="76"/>
    </row>
    <row r="159" spans="1:6" s="72" customFormat="1" x14ac:dyDescent="0.2">
      <c r="A159" s="72" t="str">
        <f>A130</f>
        <v>Recovered revenue</v>
      </c>
      <c r="B159" s="75">
        <f>((B152*B70)+(B153*B75)+(B156*B71)+(B157*B76))*B106/1000000</f>
        <v>29.597618679899998</v>
      </c>
      <c r="C159" s="75">
        <f t="shared" ref="C159:F159" si="81">((C152*C70)+(C153*C75)+(C156*C71)+(C157*C76))*C106/1000000</f>
        <v>28.802194312642499</v>
      </c>
      <c r="D159" s="75">
        <f t="shared" si="81"/>
        <v>29.9133907643625</v>
      </c>
      <c r="E159" s="75">
        <f t="shared" si="81"/>
        <v>31.062654776407495</v>
      </c>
      <c r="F159" s="75">
        <f t="shared" si="81"/>
        <v>32.25113152806</v>
      </c>
    </row>
    <row r="160" spans="1:6" s="72" customFormat="1" x14ac:dyDescent="0.2">
      <c r="A160" s="72" t="str">
        <f t="shared" ref="A160:A162" si="82">A131</f>
        <v>NPV of recovered revenue</v>
      </c>
      <c r="B160" s="75">
        <f>NPV(C147,B159:F159)</f>
        <v>122.56417872261022</v>
      </c>
      <c r="C160" s="76"/>
      <c r="D160" s="76"/>
      <c r="E160" s="76"/>
      <c r="F160" s="76"/>
    </row>
    <row r="161" spans="1:6" s="72" customFormat="1" x14ac:dyDescent="0.2">
      <c r="A161" s="72" t="str">
        <f t="shared" si="82"/>
        <v>NPV of revenue requirement</v>
      </c>
      <c r="B161" s="75">
        <f>B132</f>
        <v>120.34912078028117</v>
      </c>
      <c r="C161" s="76"/>
      <c r="D161" s="76"/>
      <c r="E161" s="76"/>
      <c r="F161" s="76"/>
    </row>
    <row r="162" spans="1:6" s="72" customFormat="1" x14ac:dyDescent="0.2">
      <c r="A162" s="72" t="str">
        <f t="shared" si="82"/>
        <v>Difference</v>
      </c>
      <c r="B162" s="75">
        <f>B160-B161</f>
        <v>2.2150579423290537</v>
      </c>
      <c r="C162" s="76"/>
      <c r="D162" s="76"/>
      <c r="E162" s="76"/>
      <c r="F162" s="76"/>
    </row>
    <row r="163" spans="1:6" s="64" customFormat="1" x14ac:dyDescent="0.2">
      <c r="A163" s="66"/>
      <c r="B163" s="68"/>
      <c r="C163" s="67"/>
      <c r="D163" s="67"/>
      <c r="E163" s="67"/>
      <c r="F163" s="67"/>
    </row>
    <row r="164" spans="1:6" x14ac:dyDescent="0.2">
      <c r="A164" s="7" t="s">
        <v>38</v>
      </c>
      <c r="B164" s="32"/>
      <c r="C164" s="32"/>
      <c r="D164" s="32"/>
      <c r="E164" s="32"/>
      <c r="F164" s="32"/>
    </row>
    <row r="165" spans="1:6" x14ac:dyDescent="0.2">
      <c r="A165" s="8" t="s">
        <v>50</v>
      </c>
      <c r="B165" s="32">
        <f>B152/[3]Assets!G7</f>
        <v>0.99970745977571895</v>
      </c>
      <c r="C165" s="32">
        <f>C152/[3]Assets!H7</f>
        <v>0.90212501732396277</v>
      </c>
      <c r="D165" s="32">
        <f>D152/[3]Assets!I7</f>
        <v>0.90212282903329188</v>
      </c>
      <c r="E165" s="32">
        <f>E152/[3]Assets!J7</f>
        <v>0.90212354786043825</v>
      </c>
      <c r="F165" s="32">
        <f>F152/[3]Assets!K7</f>
        <v>0.90212190789528257</v>
      </c>
    </row>
    <row r="166" spans="1:6" x14ac:dyDescent="0.2">
      <c r="A166" s="8" t="s">
        <v>51</v>
      </c>
      <c r="B166" s="32">
        <f>B153/[3]Assets!G7</f>
        <v>0.40370550950755724</v>
      </c>
      <c r="C166" s="32">
        <f>C153/[3]Assets!H7</f>
        <v>0.42210801547377558</v>
      </c>
      <c r="D166" s="32">
        <f>D153/[3]Assets!I7</f>
        <v>0.42210828901010933</v>
      </c>
      <c r="E166" s="32">
        <f>E153/[3]Assets!J7</f>
        <v>0.4221097673527312</v>
      </c>
      <c r="F166" s="32">
        <f>F153/[3]Assets!K7</f>
        <v>0.42210587023123219</v>
      </c>
    </row>
    <row r="167" spans="1:6" x14ac:dyDescent="0.2">
      <c r="B167" s="32"/>
      <c r="C167" s="32"/>
      <c r="D167" s="32"/>
      <c r="E167" s="32"/>
      <c r="F167" s="32"/>
    </row>
    <row r="168" spans="1:6" x14ac:dyDescent="0.2">
      <c r="A168" s="7" t="s">
        <v>39</v>
      </c>
      <c r="B168" s="32"/>
      <c r="C168" s="32"/>
      <c r="D168" s="32"/>
      <c r="E168" s="32"/>
      <c r="F168" s="32"/>
    </row>
    <row r="169" spans="1:6" x14ac:dyDescent="0.2">
      <c r="A169" s="8" t="s">
        <v>50</v>
      </c>
      <c r="B169" s="32">
        <f>B156/[3]Assets!G7</f>
        <v>0.5956118966357874</v>
      </c>
      <c r="C169" s="32">
        <f>C156/[3]Assets!H7</f>
        <v>0.54433496307351226</v>
      </c>
      <c r="D169" s="32">
        <f>D156/[3]Assets!I7</f>
        <v>0.54433730435908145</v>
      </c>
      <c r="E169" s="32">
        <f>E156/[3]Assets!J7</f>
        <v>0.54433750780072665</v>
      </c>
      <c r="F169" s="32">
        <f>F156/[3]Assets!K7</f>
        <v>0.54433617643116483</v>
      </c>
    </row>
    <row r="170" spans="1:6" x14ac:dyDescent="0.2">
      <c r="A170" s="8" t="s">
        <v>51</v>
      </c>
      <c r="B170" s="33">
        <f>B157/[3]Assets!G7</f>
        <v>0.2644563627498781</v>
      </c>
      <c r="C170" s="33">
        <f>C157/[3]Assets!H7</f>
        <v>0.27765885093451925</v>
      </c>
      <c r="D170" s="33">
        <f>D157/[3]Assets!I7</f>
        <v>0.27766255990175787</v>
      </c>
      <c r="E170" s="33">
        <f>E157/[3]Assets!J7</f>
        <v>0.27766619924674452</v>
      </c>
      <c r="F170" s="33">
        <f>F157/[3]Assets!K7</f>
        <v>0.27766549829389575</v>
      </c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5" orientation="portrait" r:id="rId1"/>
  <headerFooter>
    <oddHeader>&amp;C&amp;"Arial,Bold"&amp;12Public Lighting
Pricing Calculations&amp;R&amp;"Arial,Bold"&amp;12&amp;D  &amp;T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I59"/>
  <sheetViews>
    <sheetView workbookViewId="0">
      <pane xSplit="1" ySplit="1" topLeftCell="B41" activePane="bottomRight" state="frozen"/>
      <selection pane="topRight" activeCell="B1" sqref="B1"/>
      <selection pane="bottomLeft" activeCell="A2" sqref="A2"/>
      <selection pane="bottomRight" activeCell="E1" sqref="E1:F1"/>
    </sheetView>
  </sheetViews>
  <sheetFormatPr defaultRowHeight="12.75" x14ac:dyDescent="0.2"/>
  <cols>
    <col min="1" max="1" width="43.5703125" style="1" bestFit="1" customWidth="1"/>
    <col min="2" max="6" width="12.7109375" style="1" customWidth="1"/>
    <col min="7" max="16384" width="9.140625" style="1"/>
  </cols>
  <sheetData>
    <row r="1" spans="1:9" ht="25.5" customHeight="1" thickBot="1" x14ac:dyDescent="0.25">
      <c r="A1" s="7" t="s">
        <v>52</v>
      </c>
      <c r="B1" s="2" t="str">
        <f>'[1]RIN Format'!D1</f>
        <v>2015-16</v>
      </c>
      <c r="C1" s="2" t="str">
        <f>'[1]RIN Format'!E1</f>
        <v>2016-17</v>
      </c>
      <c r="D1" s="2" t="str">
        <f>'[1]RIN Format'!F1</f>
        <v>2017-18</v>
      </c>
      <c r="E1" s="3" t="str">
        <f>'[1]RIN Format'!G1</f>
        <v>2018-19</v>
      </c>
      <c r="F1" s="3" t="str">
        <f>'[1]RIN Format'!H1</f>
        <v>2019-20</v>
      </c>
    </row>
    <row r="2" spans="1:9" x14ac:dyDescent="0.2">
      <c r="A2" s="1" t="s">
        <v>40</v>
      </c>
      <c r="B2" s="23">
        <f>[3]Assets!$F$474</f>
        <v>77.567961144841689</v>
      </c>
      <c r="C2" s="23">
        <f>B3</f>
        <v>84.497351835960046</v>
      </c>
      <c r="D2" s="23">
        <f t="shared" ref="D2:F2" si="0">C3</f>
        <v>89.103180975075446</v>
      </c>
      <c r="E2" s="23">
        <f t="shared" si="0"/>
        <v>94.528229925506139</v>
      </c>
      <c r="F2" s="23">
        <f t="shared" si="0"/>
        <v>100.04694637538009</v>
      </c>
      <c r="I2" s="21"/>
    </row>
    <row r="3" spans="1:9" x14ac:dyDescent="0.2">
      <c r="A3" s="1" t="s">
        <v>41</v>
      </c>
      <c r="B3" s="18">
        <f>[3]Assets!G474</f>
        <v>84.497351835960046</v>
      </c>
      <c r="C3" s="18">
        <f>[3]Assets!H474</f>
        <v>89.103180975075446</v>
      </c>
      <c r="D3" s="18">
        <f>[3]Assets!I474</f>
        <v>94.528229925506139</v>
      </c>
      <c r="E3" s="18">
        <f>[3]Assets!J474</f>
        <v>100.04694637538009</v>
      </c>
      <c r="F3" s="18">
        <f>[3]Assets!K474</f>
        <v>106.03984884606731</v>
      </c>
    </row>
    <row r="4" spans="1:9" x14ac:dyDescent="0.2">
      <c r="A4" s="1" t="s">
        <v>42</v>
      </c>
      <c r="B4" s="19">
        <f>SUM(B2:B3)/2</f>
        <v>81.032656490400868</v>
      </c>
      <c r="C4" s="19">
        <f t="shared" ref="C4:F4" si="1">SUM(C2:C3)/2</f>
        <v>86.800266405517746</v>
      </c>
      <c r="D4" s="19">
        <f t="shared" si="1"/>
        <v>91.815705450290793</v>
      </c>
      <c r="E4" s="19">
        <f t="shared" si="1"/>
        <v>97.287588150443113</v>
      </c>
      <c r="F4" s="19">
        <f t="shared" si="1"/>
        <v>103.0433976107237</v>
      </c>
    </row>
    <row r="5" spans="1:9" x14ac:dyDescent="0.2">
      <c r="B5" s="24"/>
      <c r="C5" s="24"/>
      <c r="D5" s="24"/>
      <c r="E5" s="24"/>
      <c r="F5" s="24"/>
    </row>
    <row r="6" spans="1:9" x14ac:dyDescent="0.2">
      <c r="A6" s="6" t="s">
        <v>43</v>
      </c>
      <c r="B6" s="24"/>
      <c r="C6" s="24"/>
      <c r="D6" s="24"/>
      <c r="E6" s="24"/>
      <c r="F6" s="24"/>
    </row>
    <row r="7" spans="1:9" x14ac:dyDescent="0.2">
      <c r="A7" s="1" t="s">
        <v>23</v>
      </c>
      <c r="B7" s="29">
        <f>'Public Lighting Pricing'!B91</f>
        <v>67471</v>
      </c>
      <c r="C7" s="29">
        <f>'Public Lighting Pricing'!C91</f>
        <v>68497</v>
      </c>
      <c r="D7" s="29">
        <f>'Public Lighting Pricing'!D91</f>
        <v>69521</v>
      </c>
      <c r="E7" s="29">
        <f>'Public Lighting Pricing'!E91</f>
        <v>70547</v>
      </c>
      <c r="F7" s="29">
        <f>'Public Lighting Pricing'!F91</f>
        <v>71573</v>
      </c>
    </row>
    <row r="8" spans="1:9" x14ac:dyDescent="0.2">
      <c r="A8" s="1" t="s">
        <v>24</v>
      </c>
      <c r="B8" s="9">
        <f>'Public Lighting Pricing'!B92</f>
        <v>104418</v>
      </c>
      <c r="C8" s="9">
        <f>'Public Lighting Pricing'!C92</f>
        <v>106181</v>
      </c>
      <c r="D8" s="9">
        <f>'Public Lighting Pricing'!D92</f>
        <v>107944</v>
      </c>
      <c r="E8" s="9">
        <f>'Public Lighting Pricing'!E92</f>
        <v>109706</v>
      </c>
      <c r="F8" s="9">
        <f>'Public Lighting Pricing'!F92</f>
        <v>111469</v>
      </c>
    </row>
    <row r="9" spans="1:9" ht="13.5" thickBot="1" x14ac:dyDescent="0.25">
      <c r="A9" s="7" t="s">
        <v>0</v>
      </c>
      <c r="B9" s="12">
        <f>'Public Lighting Pricing'!B93</f>
        <v>171889</v>
      </c>
      <c r="C9" s="12">
        <f>'Public Lighting Pricing'!C93</f>
        <v>174678</v>
      </c>
      <c r="D9" s="12">
        <f>'Public Lighting Pricing'!D93</f>
        <v>177465</v>
      </c>
      <c r="E9" s="12">
        <f>'Public Lighting Pricing'!E93</f>
        <v>180253</v>
      </c>
      <c r="F9" s="12">
        <f>'Public Lighting Pricing'!F93</f>
        <v>183042</v>
      </c>
    </row>
    <row r="10" spans="1:9" ht="13.5" thickTop="1" x14ac:dyDescent="0.2">
      <c r="B10" s="24"/>
      <c r="C10" s="24"/>
      <c r="D10" s="24"/>
      <c r="E10" s="24"/>
      <c r="F10" s="24"/>
    </row>
    <row r="11" spans="1:9" x14ac:dyDescent="0.2">
      <c r="A11" s="7" t="s">
        <v>45</v>
      </c>
      <c r="B11" s="24"/>
      <c r="C11" s="24"/>
      <c r="D11" s="24"/>
      <c r="E11" s="24"/>
      <c r="F11" s="24"/>
    </row>
    <row r="12" spans="1:9" x14ac:dyDescent="0.2">
      <c r="A12" s="8" t="s">
        <v>33</v>
      </c>
      <c r="B12" s="18">
        <f>B4*(1-'Public Lighting Pricing'!$B$84)</f>
        <v>72.929390841360785</v>
      </c>
      <c r="C12" s="18">
        <f>C4*(1-'Public Lighting Pricing'!$B$84)</f>
        <v>78.120239764965973</v>
      </c>
      <c r="D12" s="18">
        <f>D4*(1-'Public Lighting Pricing'!$B$84)</f>
        <v>82.634134905261718</v>
      </c>
      <c r="E12" s="18">
        <f>E4*(1-'Public Lighting Pricing'!$B$84)</f>
        <v>87.558829335398798</v>
      </c>
      <c r="F12" s="18">
        <f>F4*(1-'Public Lighting Pricing'!$B$84)</f>
        <v>92.739057849651331</v>
      </c>
    </row>
    <row r="13" spans="1:9" x14ac:dyDescent="0.2">
      <c r="A13" s="8" t="s">
        <v>37</v>
      </c>
      <c r="B13" s="18">
        <f>B4-B12</f>
        <v>8.1032656490400825</v>
      </c>
      <c r="C13" s="18">
        <f t="shared" ref="C13:F13" si="2">C4-C12</f>
        <v>8.6800266405517732</v>
      </c>
      <c r="D13" s="18">
        <f t="shared" si="2"/>
        <v>9.181570545029075</v>
      </c>
      <c r="E13" s="18">
        <f t="shared" si="2"/>
        <v>9.7287588150443156</v>
      </c>
      <c r="F13" s="18">
        <f t="shared" si="2"/>
        <v>10.30433976107237</v>
      </c>
    </row>
    <row r="14" spans="1:9" ht="13.5" thickBot="1" x14ac:dyDescent="0.25">
      <c r="A14" s="6" t="s">
        <v>0</v>
      </c>
      <c r="B14" s="40">
        <f t="shared" ref="B14:F14" si="3">SUM(B12:B13)</f>
        <v>81.032656490400868</v>
      </c>
      <c r="C14" s="40">
        <f t="shared" si="3"/>
        <v>86.800266405517746</v>
      </c>
      <c r="D14" s="40">
        <f t="shared" si="3"/>
        <v>91.815705450290793</v>
      </c>
      <c r="E14" s="40">
        <f t="shared" si="3"/>
        <v>97.287588150443113</v>
      </c>
      <c r="F14" s="40">
        <f t="shared" si="3"/>
        <v>103.0433976107237</v>
      </c>
    </row>
    <row r="15" spans="1:9" ht="13.5" thickTop="1" x14ac:dyDescent="0.2">
      <c r="B15" s="24"/>
      <c r="C15" s="24"/>
      <c r="D15" s="24"/>
      <c r="E15" s="24"/>
      <c r="F15" s="24"/>
    </row>
    <row r="16" spans="1:9" x14ac:dyDescent="0.2">
      <c r="A16" s="7" t="s">
        <v>44</v>
      </c>
      <c r="B16" s="24"/>
      <c r="C16" s="24"/>
      <c r="D16" s="24"/>
      <c r="E16" s="24"/>
      <c r="F16" s="24"/>
    </row>
    <row r="17" spans="1:6" x14ac:dyDescent="0.2">
      <c r="A17" s="7" t="s">
        <v>33</v>
      </c>
      <c r="B17" s="24"/>
      <c r="C17" s="24"/>
      <c r="D17" s="24"/>
      <c r="E17" s="24"/>
      <c r="F17" s="24"/>
    </row>
    <row r="18" spans="1:6" x14ac:dyDescent="0.2">
      <c r="A18" s="8" t="s">
        <v>3</v>
      </c>
      <c r="B18" s="18">
        <f>(B$12/B9)*B7</f>
        <v>28.626723812794612</v>
      </c>
      <c r="C18" s="18">
        <f t="shared" ref="C18:F18" si="4">(C$12/C9)*C7</f>
        <v>30.633520324144278</v>
      </c>
      <c r="D18" s="18">
        <f t="shared" si="4"/>
        <v>32.371496874024174</v>
      </c>
      <c r="E18" s="18">
        <f t="shared" si="4"/>
        <v>34.268571025860204</v>
      </c>
      <c r="F18" s="18">
        <f t="shared" si="4"/>
        <v>36.262784429109679</v>
      </c>
    </row>
    <row r="19" spans="1:6" x14ac:dyDescent="0.2">
      <c r="A19" s="8" t="s">
        <v>4</v>
      </c>
      <c r="B19" s="18">
        <f>B12-B18</f>
        <v>44.302667028566177</v>
      </c>
      <c r="C19" s="18">
        <f t="shared" ref="C19:F19" si="5">C12-C18</f>
        <v>47.486719440821695</v>
      </c>
      <c r="D19" s="18">
        <f t="shared" si="5"/>
        <v>50.262638031237543</v>
      </c>
      <c r="E19" s="18">
        <f t="shared" si="5"/>
        <v>53.290258309538594</v>
      </c>
      <c r="F19" s="18">
        <f t="shared" si="5"/>
        <v>56.476273420541652</v>
      </c>
    </row>
    <row r="20" spans="1:6" x14ac:dyDescent="0.2">
      <c r="A20" s="6" t="s">
        <v>37</v>
      </c>
      <c r="B20" s="24"/>
      <c r="C20" s="24"/>
      <c r="D20" s="24"/>
      <c r="E20" s="24"/>
      <c r="F20" s="24"/>
    </row>
    <row r="21" spans="1:6" x14ac:dyDescent="0.2">
      <c r="A21" s="8" t="s">
        <v>3</v>
      </c>
      <c r="B21" s="18">
        <f>B13*(B7/B9)</f>
        <v>3.1807470903105113</v>
      </c>
      <c r="C21" s="18">
        <f t="shared" ref="C21:F21" si="6">C13*(C7/C9)</f>
        <v>3.4037244804604749</v>
      </c>
      <c r="D21" s="18">
        <f t="shared" si="6"/>
        <v>3.596832986002684</v>
      </c>
      <c r="E21" s="18">
        <f t="shared" si="6"/>
        <v>3.8076190028733579</v>
      </c>
      <c r="F21" s="18">
        <f t="shared" si="6"/>
        <v>4.0291982699010758</v>
      </c>
    </row>
    <row r="22" spans="1:6" x14ac:dyDescent="0.2">
      <c r="A22" s="8" t="s">
        <v>4</v>
      </c>
      <c r="B22" s="18">
        <f>B13-B21</f>
        <v>4.9225185587295712</v>
      </c>
      <c r="C22" s="18">
        <f t="shared" ref="C22:F22" si="7">C13-C21</f>
        <v>5.2763021600912978</v>
      </c>
      <c r="D22" s="18">
        <f t="shared" si="7"/>
        <v>5.584737559026391</v>
      </c>
      <c r="E22" s="18">
        <f t="shared" si="7"/>
        <v>5.9211398121709582</v>
      </c>
      <c r="F22" s="18">
        <f t="shared" si="7"/>
        <v>6.2751414911712944</v>
      </c>
    </row>
    <row r="23" spans="1:6" ht="13.5" thickBot="1" x14ac:dyDescent="0.25">
      <c r="A23" s="6" t="s">
        <v>0</v>
      </c>
      <c r="B23" s="40">
        <f>SUM(B18:B22)</f>
        <v>81.032656490400853</v>
      </c>
      <c r="C23" s="40">
        <f t="shared" ref="C23:F23" si="8">SUM(C18:C22)</f>
        <v>86.800266405517732</v>
      </c>
      <c r="D23" s="40">
        <f t="shared" si="8"/>
        <v>91.815705450290793</v>
      </c>
      <c r="E23" s="40">
        <f t="shared" si="8"/>
        <v>97.287588150443113</v>
      </c>
      <c r="F23" s="40">
        <f t="shared" si="8"/>
        <v>103.0433976107237</v>
      </c>
    </row>
    <row r="24" spans="1:6" ht="13.5" thickTop="1" x14ac:dyDescent="0.2">
      <c r="B24" s="24"/>
      <c r="C24" s="24"/>
      <c r="D24" s="24"/>
      <c r="E24" s="24"/>
      <c r="F24" s="24"/>
    </row>
    <row r="25" spans="1:6" x14ac:dyDescent="0.2">
      <c r="A25" s="7" t="s">
        <v>47</v>
      </c>
      <c r="B25" s="24"/>
      <c r="C25" s="24"/>
      <c r="D25" s="24"/>
      <c r="E25" s="24"/>
      <c r="F25" s="24"/>
    </row>
    <row r="26" spans="1:6" x14ac:dyDescent="0.2">
      <c r="A26" s="1" t="s">
        <v>2</v>
      </c>
      <c r="B26" s="24"/>
      <c r="C26" s="24"/>
      <c r="D26" s="24"/>
      <c r="E26" s="24"/>
      <c r="F26" s="24"/>
    </row>
    <row r="27" spans="1:6" x14ac:dyDescent="0.2">
      <c r="A27" s="8" t="s">
        <v>3</v>
      </c>
      <c r="B27" s="18">
        <f>B18+(B21*'Public Lighting Pricing'!B70/'Public Lighting Pricing'!B79)</f>
        <v>30.657585516785687</v>
      </c>
      <c r="C27" s="18">
        <f>C18+(C21*'Public Lighting Pricing'!C70/'Public Lighting Pricing'!C79)</f>
        <v>32.792981093886155</v>
      </c>
      <c r="D27" s="18">
        <f>D18+(D21*'Public Lighting Pricing'!D70/'Public Lighting Pricing'!D79)</f>
        <v>34.639318557351139</v>
      </c>
      <c r="E27" s="18">
        <f>E18+(E21*'Public Lighting Pricing'!E70/'Public Lighting Pricing'!E79)</f>
        <v>36.654781266172897</v>
      </c>
      <c r="F27" s="18">
        <f>F18+(F21*'Public Lighting Pricing'!F70/'Public Lighting Pricing'!F79)</f>
        <v>38.772939586969734</v>
      </c>
    </row>
    <row r="28" spans="1:6" x14ac:dyDescent="0.2">
      <c r="A28" s="8" t="s">
        <v>4</v>
      </c>
      <c r="B28" s="18">
        <f>B19+(B22*'Public Lighting Pricing'!B71/'Public Lighting Pricing'!B80)</f>
        <v>47.43570597678017</v>
      </c>
      <c r="C28" s="18">
        <f>C19+(C22*'Public Lighting Pricing'!C71/'Public Lighting Pricing'!C80)</f>
        <v>50.812676591152083</v>
      </c>
      <c r="D28" s="18">
        <f>D19+(D22*'Public Lighting Pricing'!D71/'Public Lighting Pricing'!D80)</f>
        <v>53.749994764045056</v>
      </c>
      <c r="E28" s="18">
        <f>E19+(E22*'Public Lighting Pricing'!E71/'Public Lighting Pricing'!E80)</f>
        <v>56.95376994090541</v>
      </c>
      <c r="F28" s="18">
        <f>F19+(F22*'Public Lighting Pricing'!F71/'Public Lighting Pricing'!F80)</f>
        <v>60.324033074988698</v>
      </c>
    </row>
    <row r="29" spans="1:6" x14ac:dyDescent="0.2">
      <c r="A29" s="1" t="s">
        <v>11</v>
      </c>
      <c r="B29" s="24"/>
      <c r="C29" s="24"/>
      <c r="D29" s="24"/>
      <c r="E29" s="24"/>
      <c r="F29" s="24"/>
    </row>
    <row r="30" spans="1:6" x14ac:dyDescent="0.2">
      <c r="A30" s="8" t="s">
        <v>3</v>
      </c>
      <c r="B30" s="18">
        <f>B21*('Public Lighting Pricing'!B75/'Public Lighting Pricing'!B79)</f>
        <v>1.149885386319436</v>
      </c>
      <c r="C30" s="18">
        <f>C21*('Public Lighting Pricing'!C75/'Public Lighting Pricing'!C79)</f>
        <v>1.2442637107186016</v>
      </c>
      <c r="D30" s="18">
        <f>D21*('Public Lighting Pricing'!D75/'Public Lighting Pricing'!D79)</f>
        <v>1.3290113026757193</v>
      </c>
      <c r="E30" s="18">
        <f>E21*('Public Lighting Pricing'!E75/'Public Lighting Pricing'!E79)</f>
        <v>1.421408762560664</v>
      </c>
      <c r="F30" s="18">
        <f>F21*('Public Lighting Pricing'!F75/'Public Lighting Pricing'!F79)</f>
        <v>1.5190431120410186</v>
      </c>
    </row>
    <row r="31" spans="1:6" x14ac:dyDescent="0.2">
      <c r="A31" s="8" t="s">
        <v>4</v>
      </c>
      <c r="B31" s="18">
        <f>B22*('Public Lighting Pricing'!B76/'Public Lighting Pricing'!B80)</f>
        <v>1.7894796105155797</v>
      </c>
      <c r="C31" s="18">
        <f>C22*('Public Lighting Pricing'!C76/'Public Lighting Pricing'!C80)</f>
        <v>1.9503450097609116</v>
      </c>
      <c r="D31" s="18">
        <f>D22*('Public Lighting Pricing'!D76/'Public Lighting Pricing'!D80)</f>
        <v>2.0973808262188811</v>
      </c>
      <c r="E31" s="18">
        <f>E22*('Public Lighting Pricing'!E76/'Public Lighting Pricing'!E80)</f>
        <v>2.2576281808041401</v>
      </c>
      <c r="F31" s="18">
        <f>F22*('Public Lighting Pricing'!F76/'Public Lighting Pricing'!F80)</f>
        <v>2.4273818367242463</v>
      </c>
    </row>
    <row r="32" spans="1:6" ht="13.5" thickBot="1" x14ac:dyDescent="0.25">
      <c r="A32" s="6" t="s">
        <v>0</v>
      </c>
      <c r="B32" s="40">
        <f>SUM(B27:B31)</f>
        <v>81.032656490400882</v>
      </c>
      <c r="C32" s="40">
        <f t="shared" ref="C32" si="9">SUM(C27:C31)</f>
        <v>86.800266405517746</v>
      </c>
      <c r="D32" s="40">
        <f t="shared" ref="D32" si="10">SUM(D27:D31)</f>
        <v>91.815705450290807</v>
      </c>
      <c r="E32" s="40">
        <f t="shared" ref="E32" si="11">SUM(E27:E31)</f>
        <v>97.287588150443099</v>
      </c>
      <c r="F32" s="40">
        <f t="shared" ref="F32" si="12">SUM(F27:F31)</f>
        <v>103.0433976107237</v>
      </c>
    </row>
    <row r="33" spans="1:6" ht="13.5" thickTop="1" x14ac:dyDescent="0.2">
      <c r="B33" s="24"/>
      <c r="C33" s="24"/>
      <c r="D33" s="24"/>
      <c r="E33" s="24"/>
      <c r="F33" s="24"/>
    </row>
    <row r="34" spans="1:6" x14ac:dyDescent="0.2">
      <c r="A34" s="7" t="s">
        <v>48</v>
      </c>
      <c r="B34" s="24"/>
      <c r="C34" s="24"/>
      <c r="D34" s="24"/>
      <c r="E34" s="24"/>
      <c r="F34" s="24"/>
    </row>
    <row r="35" spans="1:6" x14ac:dyDescent="0.2">
      <c r="A35" s="1" t="s">
        <v>2</v>
      </c>
      <c r="B35" s="24"/>
      <c r="C35" s="24"/>
      <c r="D35" s="24"/>
      <c r="E35" s="24"/>
      <c r="F35" s="24"/>
    </row>
    <row r="36" spans="1:6" x14ac:dyDescent="0.2">
      <c r="A36" s="8" t="s">
        <v>3</v>
      </c>
      <c r="B36" s="39">
        <f>ROUND(B27*1000000/'Public Lighting Pricing'!B70,2)</f>
        <v>1280.98</v>
      </c>
      <c r="C36" s="39">
        <f>ROUND(C27*1000000/'Public Lighting Pricing'!C70,2)</f>
        <v>1358.28</v>
      </c>
      <c r="D36" s="39">
        <f>ROUND(D27*1000000/'Public Lighting Pricing'!D70,2)</f>
        <v>1422.44</v>
      </c>
      <c r="E36" s="39">
        <f>ROUND(E27*1000000/'Public Lighting Pricing'!E70,2)</f>
        <v>1492.34</v>
      </c>
      <c r="F36" s="39">
        <f>ROUND(F27*1000000/'Public Lighting Pricing'!F70,2)</f>
        <v>1565.19</v>
      </c>
    </row>
    <row r="37" spans="1:6" x14ac:dyDescent="0.2">
      <c r="A37" s="8" t="s">
        <v>4</v>
      </c>
      <c r="B37" s="39">
        <f>ROUND(B28*1000000/'Public Lighting Pricing'!B71,2)</f>
        <v>713.76</v>
      </c>
      <c r="C37" s="39">
        <f>ROUND(C28*1000000/'Public Lighting Pricing'!C71,2)</f>
        <v>759.17</v>
      </c>
      <c r="D37" s="39">
        <f>ROUND(D28*1000000/'Public Lighting Pricing'!D71,2)</f>
        <v>797.42</v>
      </c>
      <c r="E37" s="39">
        <f>ROUND(E28*1000000/'Public Lighting Pricing'!E71,2)</f>
        <v>839.07</v>
      </c>
      <c r="F37" s="39">
        <f>ROUND(F28*1000000/'Public Lighting Pricing'!F71,2)</f>
        <v>882.58</v>
      </c>
    </row>
    <row r="38" spans="1:6" x14ac:dyDescent="0.2">
      <c r="A38" s="1" t="s">
        <v>11</v>
      </c>
      <c r="B38" s="24"/>
      <c r="C38" s="24"/>
      <c r="D38" s="24"/>
      <c r="E38" s="24"/>
      <c r="F38" s="24"/>
    </row>
    <row r="39" spans="1:6" x14ac:dyDescent="0.2">
      <c r="A39" s="8" t="s">
        <v>3</v>
      </c>
      <c r="B39" s="39">
        <f>ROUND(B30*1000000/'Public Lighting Pricing'!B75,2)</f>
        <v>84.86</v>
      </c>
      <c r="C39" s="39">
        <f>ROUND(C30*1000000/'Public Lighting Pricing'!C75,2)</f>
        <v>89.44</v>
      </c>
      <c r="D39" s="39">
        <f>ROUND(D30*1000000/'Public Lighting Pricing'!D75,2)</f>
        <v>93.13</v>
      </c>
      <c r="E39" s="39">
        <f>ROUND(E30*1000000/'Public Lighting Pricing'!E75,2)</f>
        <v>97.15</v>
      </c>
      <c r="F39" s="39">
        <f>ROUND(F30*1000000/'Public Lighting Pricing'!F75,2)</f>
        <v>101.33</v>
      </c>
    </row>
    <row r="40" spans="1:6" x14ac:dyDescent="0.2">
      <c r="A40" s="8" t="s">
        <v>4</v>
      </c>
      <c r="B40" s="39">
        <f>ROUND(B31*1000000/'Public Lighting Pricing'!B76,2)</f>
        <v>47.14</v>
      </c>
      <c r="C40" s="39">
        <f>ROUND(C31*1000000/'Public Lighting Pricing'!C76,2)</f>
        <v>49.69</v>
      </c>
      <c r="D40" s="39">
        <f>ROUND(D31*1000000/'Public Lighting Pricing'!D76,2)</f>
        <v>51.74</v>
      </c>
      <c r="E40" s="39">
        <f>ROUND(E31*1000000/'Public Lighting Pricing'!E76,2)</f>
        <v>53.97</v>
      </c>
      <c r="F40" s="39">
        <f>ROUND(F31*1000000/'Public Lighting Pricing'!F76,2)</f>
        <v>56.29</v>
      </c>
    </row>
    <row r="41" spans="1:6" x14ac:dyDescent="0.2">
      <c r="B41" s="31"/>
      <c r="C41" s="31"/>
      <c r="D41" s="31"/>
      <c r="E41" s="31"/>
      <c r="F41" s="31"/>
    </row>
    <row r="43" spans="1:6" x14ac:dyDescent="0.2">
      <c r="A43" s="73" t="s">
        <v>74</v>
      </c>
    </row>
    <row r="44" spans="1:6" x14ac:dyDescent="0.2">
      <c r="A44" s="1" t="s">
        <v>2</v>
      </c>
    </row>
    <row r="45" spans="1:6" x14ac:dyDescent="0.2">
      <c r="A45" s="74" t="s">
        <v>3</v>
      </c>
      <c r="B45" s="80">
        <v>1240</v>
      </c>
    </row>
    <row r="46" spans="1:6" x14ac:dyDescent="0.2">
      <c r="A46" s="74" t="s">
        <v>4</v>
      </c>
      <c r="B46" s="80">
        <v>690</v>
      </c>
    </row>
    <row r="47" spans="1:6" x14ac:dyDescent="0.2">
      <c r="A47" s="1" t="s">
        <v>11</v>
      </c>
      <c r="B47" s="80"/>
    </row>
    <row r="48" spans="1:6" x14ac:dyDescent="0.2">
      <c r="A48" s="74" t="s">
        <v>3</v>
      </c>
      <c r="B48" s="80">
        <v>80</v>
      </c>
    </row>
    <row r="49" spans="1:2" x14ac:dyDescent="0.2">
      <c r="A49" s="74" t="s">
        <v>4</v>
      </c>
      <c r="B49" s="80">
        <v>45</v>
      </c>
    </row>
    <row r="50" spans="1:2" x14ac:dyDescent="0.2">
      <c r="B50" s="80"/>
    </row>
    <row r="51" spans="1:2" x14ac:dyDescent="0.2">
      <c r="A51" s="73" t="s">
        <v>75</v>
      </c>
      <c r="B51" s="80">
        <f>'Input Data'!B39</f>
        <v>150</v>
      </c>
    </row>
    <row r="52" spans="1:2" x14ac:dyDescent="0.2">
      <c r="B52" s="80"/>
    </row>
    <row r="53" spans="1:2" x14ac:dyDescent="0.2">
      <c r="A53" s="73" t="s">
        <v>76</v>
      </c>
      <c r="B53" s="80"/>
    </row>
    <row r="54" spans="1:2" x14ac:dyDescent="0.2">
      <c r="A54" s="72" t="s">
        <v>2</v>
      </c>
      <c r="B54" s="80"/>
    </row>
    <row r="55" spans="1:2" x14ac:dyDescent="0.2">
      <c r="A55" s="74" t="s">
        <v>3</v>
      </c>
      <c r="B55" s="80">
        <f>B45+$B$51</f>
        <v>1390</v>
      </c>
    </row>
    <row r="56" spans="1:2" x14ac:dyDescent="0.2">
      <c r="A56" s="74" t="s">
        <v>4</v>
      </c>
      <c r="B56" s="80">
        <f>B46+$B$51</f>
        <v>840</v>
      </c>
    </row>
    <row r="57" spans="1:2" x14ac:dyDescent="0.2">
      <c r="A57" s="72" t="s">
        <v>11</v>
      </c>
      <c r="B57" s="80"/>
    </row>
    <row r="58" spans="1:2" x14ac:dyDescent="0.2">
      <c r="A58" s="74" t="s">
        <v>3</v>
      </c>
      <c r="B58" s="80">
        <f t="shared" ref="B58:B59" si="13">B48+$B$51</f>
        <v>230</v>
      </c>
    </row>
    <row r="59" spans="1:2" x14ac:dyDescent="0.2">
      <c r="A59" s="74" t="s">
        <v>4</v>
      </c>
      <c r="B59" s="80">
        <f t="shared" si="13"/>
        <v>195</v>
      </c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3" orientation="portrait" r:id="rId1"/>
  <headerFooter>
    <oddHeader>&amp;C&amp;"Arial,Bold"&amp;12Pulic Lighting
Exit Fees Calculations&amp;R&amp;"Arial,Bold"&amp;12&amp;D  &amp;T</oddHeader>
    <oddFooter>&amp;R&amp;"Arial,Regular"&amp;Z&amp;F 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F1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8" sqref="B8:F11"/>
    </sheetView>
  </sheetViews>
  <sheetFormatPr defaultRowHeight="12.75" x14ac:dyDescent="0.2"/>
  <cols>
    <col min="1" max="1" width="40.7109375" style="1" customWidth="1"/>
    <col min="2" max="16384" width="9.140625" style="1"/>
  </cols>
  <sheetData>
    <row r="1" spans="1:6" ht="25.5" customHeight="1" thickBot="1" x14ac:dyDescent="0.25">
      <c r="A1" s="7" t="s">
        <v>12</v>
      </c>
      <c r="B1" s="2" t="str">
        <f>'[1]RIN Format'!D1</f>
        <v>2015-16</v>
      </c>
      <c r="C1" s="2" t="str">
        <f>'[1]RIN Format'!E1</f>
        <v>2016-17</v>
      </c>
      <c r="D1" s="2" t="str">
        <f>'[1]RIN Format'!F1</f>
        <v>2017-18</v>
      </c>
      <c r="E1" s="3" t="str">
        <f>'[1]RIN Format'!G1</f>
        <v>2018-19</v>
      </c>
      <c r="F1" s="3" t="str">
        <f>'[1]RIN Format'!H1</f>
        <v>2019-20</v>
      </c>
    </row>
    <row r="2" spans="1:6" x14ac:dyDescent="0.2">
      <c r="A2" s="1" t="str">
        <f>'Public Lighting Pricing'!$A$19</f>
        <v>Ergon Owned &amp; Operated</v>
      </c>
      <c r="B2" s="9">
        <f>'Public Lighting Pricing'!B58</f>
        <v>90733.333333333343</v>
      </c>
      <c r="C2" s="9">
        <f>'Public Lighting Pricing'!C58</f>
        <v>91415.666666666686</v>
      </c>
      <c r="D2" s="9">
        <f>'Public Lighting Pricing'!D58</f>
        <v>92098.000000000015</v>
      </c>
      <c r="E2" s="9">
        <f>'Public Lighting Pricing'!E58</f>
        <v>92780.333333333358</v>
      </c>
      <c r="F2" s="9">
        <f>'Public Lighting Pricing'!F58</f>
        <v>93462.666666666701</v>
      </c>
    </row>
    <row r="3" spans="1:6" x14ac:dyDescent="0.2">
      <c r="A3" s="1" t="str">
        <f>'Public Lighting Pricing'!$A$24</f>
        <v>Gifted &amp; Ergon Operated</v>
      </c>
      <c r="B3" s="14">
        <f>'Public Lighting Pricing'!B63</f>
        <v>52335</v>
      </c>
      <c r="C3" s="14">
        <f>'Public Lighting Pricing'!C63</f>
        <v>53985</v>
      </c>
      <c r="D3" s="14">
        <f>'Public Lighting Pricing'!D63</f>
        <v>55635</v>
      </c>
      <c r="E3" s="14">
        <f>'Public Lighting Pricing'!E63</f>
        <v>57285</v>
      </c>
      <c r="F3" s="14">
        <f>'Public Lighting Pricing'!F63</f>
        <v>58935</v>
      </c>
    </row>
    <row r="5" spans="1:6" x14ac:dyDescent="0.2">
      <c r="A5" s="1" t="s">
        <v>13</v>
      </c>
      <c r="B5" s="16">
        <f>'Public Lighting Pricing'!B65</f>
        <v>1.7000000000000001E-2</v>
      </c>
      <c r="C5" s="16">
        <f>'Public Lighting Pricing'!C65</f>
        <v>1.6E-2</v>
      </c>
      <c r="D5" s="16">
        <f>'Public Lighting Pricing'!D65</f>
        <v>1.6E-2</v>
      </c>
      <c r="E5" s="16">
        <f>'Public Lighting Pricing'!E65</f>
        <v>1.6E-2</v>
      </c>
      <c r="F5" s="16">
        <f>'Public Lighting Pricing'!F65</f>
        <v>1.6E-2</v>
      </c>
    </row>
    <row r="7" spans="1:6" x14ac:dyDescent="0.2">
      <c r="A7" s="7" t="e">
        <f>"$/light per day (real "&amp;#REF!&amp;")"</f>
        <v>#REF!</v>
      </c>
    </row>
    <row r="8" spans="1:6" x14ac:dyDescent="0.2">
      <c r="A8" s="1" t="str">
        <f>'Public Lighting Pricing'!$A$19&amp;" - "&amp;'Public Lighting Pricing'!A20</f>
        <v>Ergon Owned &amp; Operated - Major</v>
      </c>
      <c r="B8" s="26">
        <f>ROUND('Public Lighting Pricing'!B165,4)</f>
        <v>0.99970000000000003</v>
      </c>
      <c r="C8" s="26">
        <f>ROUND('Public Lighting Pricing'!C165,4)</f>
        <v>0.90210000000000001</v>
      </c>
      <c r="D8" s="26">
        <f>ROUND('Public Lighting Pricing'!D165,4)</f>
        <v>0.90210000000000001</v>
      </c>
      <c r="E8" s="26">
        <f>ROUND('Public Lighting Pricing'!E165,4)</f>
        <v>0.90210000000000001</v>
      </c>
      <c r="F8" s="26">
        <f>ROUND('Public Lighting Pricing'!F165,4)</f>
        <v>0.90210000000000001</v>
      </c>
    </row>
    <row r="9" spans="1:6" x14ac:dyDescent="0.2">
      <c r="A9" s="1" t="str">
        <f>'Public Lighting Pricing'!$A$19&amp;" - "&amp;'Public Lighting Pricing'!A21</f>
        <v>Ergon Owned &amp; Operated - Minor</v>
      </c>
      <c r="B9" s="28">
        <f>ROUND('Public Lighting Pricing'!B166,4)</f>
        <v>0.4037</v>
      </c>
      <c r="C9" s="28">
        <f>ROUND('Public Lighting Pricing'!C166,4)</f>
        <v>0.42209999999999998</v>
      </c>
      <c r="D9" s="28">
        <f>ROUND('Public Lighting Pricing'!D166,4)</f>
        <v>0.42209999999999998</v>
      </c>
      <c r="E9" s="28">
        <f>ROUND('Public Lighting Pricing'!E166,4)</f>
        <v>0.42209999999999998</v>
      </c>
      <c r="F9" s="28">
        <f>ROUND('Public Lighting Pricing'!F166,4)</f>
        <v>0.42209999999999998</v>
      </c>
    </row>
    <row r="10" spans="1:6" x14ac:dyDescent="0.2">
      <c r="A10" s="1" t="str">
        <f>'Public Lighting Pricing'!$A$24&amp;" - "&amp;'Public Lighting Pricing'!A20</f>
        <v>Gifted &amp; Ergon Operated - Major</v>
      </c>
      <c r="B10" s="28">
        <f>ROUND('Public Lighting Pricing'!B169,4)</f>
        <v>0.59560000000000002</v>
      </c>
      <c r="C10" s="28">
        <f>ROUND('Public Lighting Pricing'!C169,4)</f>
        <v>0.54430000000000001</v>
      </c>
      <c r="D10" s="28">
        <f>ROUND('Public Lighting Pricing'!D169,4)</f>
        <v>0.54430000000000001</v>
      </c>
      <c r="E10" s="28">
        <f>ROUND('Public Lighting Pricing'!E169,4)</f>
        <v>0.54430000000000001</v>
      </c>
      <c r="F10" s="28">
        <f>ROUND('Public Lighting Pricing'!F169,4)</f>
        <v>0.54430000000000001</v>
      </c>
    </row>
    <row r="11" spans="1:6" x14ac:dyDescent="0.2">
      <c r="A11" s="1" t="str">
        <f>'Public Lighting Pricing'!$A$24&amp;" - "&amp;'Public Lighting Pricing'!A21</f>
        <v>Gifted &amp; Ergon Operated - Minor</v>
      </c>
      <c r="B11" s="27">
        <f>ROUND('Public Lighting Pricing'!B170,4)</f>
        <v>0.26450000000000001</v>
      </c>
      <c r="C11" s="27">
        <f>ROUND('Public Lighting Pricing'!C170,4)</f>
        <v>0.2777</v>
      </c>
      <c r="D11" s="27">
        <f>ROUND('Public Lighting Pricing'!D170,4)</f>
        <v>0.2777</v>
      </c>
      <c r="E11" s="27">
        <f>ROUND('Public Lighting Pricing'!E170,4)</f>
        <v>0.2777</v>
      </c>
      <c r="F11" s="27">
        <f>ROUND('Public Lighting Pricing'!F170,4)</f>
        <v>0.2777</v>
      </c>
    </row>
  </sheetData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&amp;C&amp;"Arial,Bold"&amp;12Public Lighting
Proposal Databook Outputs&amp;R&amp;"Arial,Bold"&amp;12&amp;D  &amp;T</oddHeader>
    <oddFooter>&amp;R&amp;"Arial,Regular"&amp;Z&amp;F  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Input Data</vt:lpstr>
      <vt:lpstr>Public Lighting Pricing</vt:lpstr>
      <vt:lpstr>Exit Fees</vt:lpstr>
      <vt:lpstr>Output Tables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2015-10-21T23:13:03Z</dcterms:modified>
</cp:coreProperties>
</file>