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4155" yWindow="-15" windowWidth="17130" windowHeight="12375" tabRatio="699" firstSheet="3" activeTab="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5" r:id="rId7"/>
  </sheets>
  <externalReferences>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5">'Tax value roll forward'!$A$1:$L$491</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S19" i="7944" l="1"/>
  <c r="M19" i="7944"/>
  <c r="S27" i="7944"/>
  <c r="M27" i="7944"/>
  <c r="S28" i="7944"/>
  <c r="M28" i="7944"/>
  <c r="S29" i="7944"/>
  <c r="M29" i="7944"/>
  <c r="S30" i="7944"/>
  <c r="M30" i="7944"/>
  <c r="S31" i="7944"/>
  <c r="M31" i="7944"/>
  <c r="S32" i="7944"/>
  <c r="M32" i="7944"/>
  <c r="M7" i="7944"/>
  <c r="T19" i="7944"/>
  <c r="T27" i="7944"/>
  <c r="T28" i="7944"/>
  <c r="T31" i="7944"/>
  <c r="T32" i="7944"/>
  <c r="T30" i="7944"/>
  <c r="T29" i="7944"/>
  <c r="M33" i="7944"/>
  <c r="M34" i="7944"/>
  <c r="S370" i="7941"/>
  <c r="T370" i="7941"/>
  <c r="S379" i="7941"/>
  <c r="S380" i="7941"/>
  <c r="S381" i="7941"/>
  <c r="S382" i="7941"/>
  <c r="S383" i="7941"/>
  <c r="S378" i="7941"/>
  <c r="T378" i="7941"/>
  <c r="R380" i="7941"/>
  <c r="R382" i="7941"/>
  <c r="H178" i="1"/>
  <c r="I178" i="1"/>
  <c r="J178" i="1"/>
  <c r="K178" i="1"/>
  <c r="L178" i="1"/>
  <c r="M178"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G457" i="18"/>
  <c r="G26" i="7941"/>
  <c r="G353" i="7942"/>
  <c r="H353" i="7942"/>
  <c r="H7" i="18"/>
  <c r="H457" i="18"/>
  <c r="H685" i="18"/>
  <c r="H162" i="1"/>
  <c r="H183" i="1"/>
  <c r="H184" i="1"/>
  <c r="I7" i="18"/>
  <c r="I162" i="1"/>
  <c r="J7" i="18"/>
  <c r="J162" i="1"/>
  <c r="K7" i="18"/>
  <c r="K162" i="1"/>
  <c r="L7" i="18"/>
  <c r="L162" i="1"/>
  <c r="G438" i="18"/>
  <c r="G7" i="7941"/>
  <c r="G334" i="7942"/>
  <c r="H334" i="7942"/>
  <c r="H438" i="18"/>
  <c r="H666" i="18"/>
  <c r="H143" i="1"/>
  <c r="I143" i="1"/>
  <c r="J143" i="1"/>
  <c r="K143" i="1"/>
  <c r="L143" i="1"/>
  <c r="G439" i="18"/>
  <c r="G8" i="7941"/>
  <c r="G335" i="7942"/>
  <c r="H335" i="7942"/>
  <c r="H439" i="18"/>
  <c r="H667" i="18"/>
  <c r="H144" i="1"/>
  <c r="I144" i="1"/>
  <c r="J144" i="1"/>
  <c r="K144" i="1"/>
  <c r="L144" i="1"/>
  <c r="G440" i="18"/>
  <c r="G9" i="7941"/>
  <c r="G336" i="7942"/>
  <c r="H336" i="7942"/>
  <c r="H440" i="18"/>
  <c r="H668" i="18"/>
  <c r="H145" i="1"/>
  <c r="I145" i="1"/>
  <c r="J145" i="1"/>
  <c r="K145" i="1"/>
  <c r="L145" i="1"/>
  <c r="G441" i="18"/>
  <c r="G10" i="7941"/>
  <c r="G337" i="7942"/>
  <c r="H337" i="7942"/>
  <c r="H441" i="18"/>
  <c r="H669" i="18"/>
  <c r="H146" i="1"/>
  <c r="H15" i="18"/>
  <c r="H473" i="18"/>
  <c r="H42" i="7941"/>
  <c r="I146" i="1"/>
  <c r="J146" i="1"/>
  <c r="K146" i="1"/>
  <c r="L146" i="1"/>
  <c r="G442" i="18"/>
  <c r="G11" i="7941"/>
  <c r="G338" i="7942"/>
  <c r="H338" i="7942"/>
  <c r="H442" i="18"/>
  <c r="H670" i="18"/>
  <c r="H147" i="1"/>
  <c r="I147" i="1"/>
  <c r="J147" i="1"/>
  <c r="K147" i="1"/>
  <c r="L147" i="1"/>
  <c r="G443" i="18"/>
  <c r="G12" i="7941"/>
  <c r="G339" i="7942"/>
  <c r="H339" i="7942"/>
  <c r="H443" i="18"/>
  <c r="H671" i="18"/>
  <c r="H148" i="1"/>
  <c r="H17" i="18"/>
  <c r="H475" i="18"/>
  <c r="H44" i="7941"/>
  <c r="I148" i="1"/>
  <c r="J148" i="1"/>
  <c r="K148" i="1"/>
  <c r="L148" i="1"/>
  <c r="G444" i="18"/>
  <c r="G13" i="7941"/>
  <c r="G340" i="7942"/>
  <c r="H340" i="7942"/>
  <c r="H444" i="18"/>
  <c r="H672" i="18"/>
  <c r="H149" i="1"/>
  <c r="H18" i="18"/>
  <c r="H476" i="18"/>
  <c r="H45" i="7941"/>
  <c r="I149" i="1"/>
  <c r="J149" i="1"/>
  <c r="K149" i="1"/>
  <c r="L149" i="1"/>
  <c r="G445" i="18"/>
  <c r="G14" i="7941"/>
  <c r="G341" i="7942"/>
  <c r="H341" i="7942"/>
  <c r="H445" i="18"/>
  <c r="H673" i="18"/>
  <c r="H150" i="1"/>
  <c r="I150" i="1"/>
  <c r="J150" i="1"/>
  <c r="K150" i="1"/>
  <c r="L150" i="1"/>
  <c r="G446" i="18"/>
  <c r="G15" i="7941"/>
  <c r="G342" i="7942"/>
  <c r="H342" i="7942"/>
  <c r="H446" i="18"/>
  <c r="H674" i="18"/>
  <c r="H151" i="1"/>
  <c r="H20" i="18"/>
  <c r="H478" i="18"/>
  <c r="H47" i="7941"/>
  <c r="I151" i="1"/>
  <c r="J151" i="1"/>
  <c r="K151" i="1"/>
  <c r="L151" i="1"/>
  <c r="G447" i="18"/>
  <c r="G16" i="7941"/>
  <c r="G343" i="7942"/>
  <c r="H343" i="7942"/>
  <c r="H447" i="18"/>
  <c r="H675" i="18"/>
  <c r="H152" i="1"/>
  <c r="I152" i="1"/>
  <c r="J152" i="1"/>
  <c r="K152" i="1"/>
  <c r="L152" i="1"/>
  <c r="G448" i="18"/>
  <c r="G17" i="7941"/>
  <c r="G344" i="7942"/>
  <c r="H344" i="7942"/>
  <c r="H448" i="18"/>
  <c r="H676" i="18"/>
  <c r="H153" i="1"/>
  <c r="H22" i="18"/>
  <c r="H480" i="18"/>
  <c r="H49" i="7941"/>
  <c r="I153" i="1"/>
  <c r="J153" i="1"/>
  <c r="K153" i="1"/>
  <c r="L153" i="1"/>
  <c r="G449" i="18"/>
  <c r="G18" i="7941"/>
  <c r="G345" i="7942"/>
  <c r="H345" i="7942"/>
  <c r="H449" i="18"/>
  <c r="H154" i="1"/>
  <c r="I154" i="1"/>
  <c r="J154" i="1"/>
  <c r="K154" i="1"/>
  <c r="L154" i="1"/>
  <c r="G450" i="18"/>
  <c r="G19" i="7941"/>
  <c r="G346" i="7942"/>
  <c r="H346" i="7942"/>
  <c r="H450" i="18"/>
  <c r="H678" i="18"/>
  <c r="H155" i="1"/>
  <c r="H24" i="18"/>
  <c r="H482" i="18"/>
  <c r="H51" i="7941"/>
  <c r="I155" i="1"/>
  <c r="J155" i="1"/>
  <c r="K155" i="1"/>
  <c r="L155" i="1"/>
  <c r="G451" i="18"/>
  <c r="G20" i="7941"/>
  <c r="G347" i="7942"/>
  <c r="H347" i="7942"/>
  <c r="H451" i="18"/>
  <c r="H679" i="18"/>
  <c r="H156" i="1"/>
  <c r="I156" i="1"/>
  <c r="J156" i="1"/>
  <c r="K156" i="1"/>
  <c r="L156" i="1"/>
  <c r="G452" i="18"/>
  <c r="G21" i="7941"/>
  <c r="G348" i="7942"/>
  <c r="H348" i="7942"/>
  <c r="H452" i="18"/>
  <c r="H680" i="18"/>
  <c r="H157" i="1"/>
  <c r="H26" i="18"/>
  <c r="H484" i="18"/>
  <c r="H53" i="7941"/>
  <c r="I157" i="1"/>
  <c r="J157" i="1"/>
  <c r="K157" i="1"/>
  <c r="L157" i="1"/>
  <c r="G453" i="18"/>
  <c r="G22" i="7941"/>
  <c r="G349" i="7942"/>
  <c r="H349" i="7942"/>
  <c r="H453" i="18"/>
  <c r="H681" i="18"/>
  <c r="H158" i="1"/>
  <c r="H27" i="18"/>
  <c r="H485" i="18"/>
  <c r="H54" i="7941"/>
  <c r="I158" i="1"/>
  <c r="J158" i="1"/>
  <c r="K158" i="1"/>
  <c r="L158" i="1"/>
  <c r="G454" i="18"/>
  <c r="G23" i="7941"/>
  <c r="G350" i="7942"/>
  <c r="H350" i="7942"/>
  <c r="H454" i="18"/>
  <c r="H682" i="18"/>
  <c r="H159" i="1"/>
  <c r="H28" i="18"/>
  <c r="H486" i="18"/>
  <c r="H55" i="7941"/>
  <c r="I159" i="1"/>
  <c r="J159" i="1"/>
  <c r="K159" i="1"/>
  <c r="L159" i="1"/>
  <c r="G455" i="18"/>
  <c r="G24" i="7941"/>
  <c r="H455" i="18"/>
  <c r="H160" i="1"/>
  <c r="H29" i="18"/>
  <c r="H487" i="18"/>
  <c r="H56" i="7941"/>
  <c r="I267" i="18"/>
  <c r="I160" i="1"/>
  <c r="J267" i="18"/>
  <c r="J268" i="18"/>
  <c r="J160" i="1"/>
  <c r="K267" i="18"/>
  <c r="K268" i="18"/>
  <c r="K269" i="18"/>
  <c r="K160" i="1"/>
  <c r="L267" i="18"/>
  <c r="L268" i="18"/>
  <c r="L269" i="18"/>
  <c r="L270" i="18"/>
  <c r="L160" i="1"/>
  <c r="G456" i="18"/>
  <c r="G25" i="7941"/>
  <c r="H456" i="18"/>
  <c r="H684" i="18"/>
  <c r="H161" i="1"/>
  <c r="H30" i="18"/>
  <c r="H488" i="18"/>
  <c r="H57" i="7941"/>
  <c r="I161" i="1"/>
  <c r="J161" i="1"/>
  <c r="K161" i="1"/>
  <c r="L161" i="1"/>
  <c r="G458" i="18"/>
  <c r="G27" i="7941"/>
  <c r="G354" i="7942"/>
  <c r="H354" i="7942"/>
  <c r="H458" i="18"/>
  <c r="H686" i="18"/>
  <c r="H163" i="1"/>
  <c r="H32" i="18"/>
  <c r="H490" i="18"/>
  <c r="H59" i="7941"/>
  <c r="I163" i="1"/>
  <c r="J163" i="1"/>
  <c r="K163" i="1"/>
  <c r="L163" i="1"/>
  <c r="G459" i="18"/>
  <c r="G28" i="7941"/>
  <c r="G355" i="7942"/>
  <c r="H355" i="7942"/>
  <c r="H459" i="18"/>
  <c r="H687" i="18"/>
  <c r="H164" i="1"/>
  <c r="H33" i="18"/>
  <c r="H491" i="18"/>
  <c r="H60" i="7941"/>
  <c r="I164" i="1"/>
  <c r="J164" i="1"/>
  <c r="K164" i="1"/>
  <c r="L164" i="1"/>
  <c r="G460" i="18"/>
  <c r="G29" i="7941"/>
  <c r="G356" i="7942"/>
  <c r="H356" i="7942"/>
  <c r="H460" i="18"/>
  <c r="H688" i="18"/>
  <c r="H165" i="1"/>
  <c r="H34" i="18"/>
  <c r="H492" i="18"/>
  <c r="H61" i="7941"/>
  <c r="I165" i="1"/>
  <c r="J165" i="1"/>
  <c r="K165" i="1"/>
  <c r="L165" i="1"/>
  <c r="G461" i="18"/>
  <c r="G30" i="7941"/>
  <c r="G357" i="7942"/>
  <c r="H357" i="7942"/>
  <c r="H461" i="18"/>
  <c r="H689" i="18"/>
  <c r="H166" i="1"/>
  <c r="H35" i="18"/>
  <c r="H493" i="18"/>
  <c r="H62" i="7941"/>
  <c r="I166" i="1"/>
  <c r="J166" i="1"/>
  <c r="K166" i="1"/>
  <c r="L166" i="1"/>
  <c r="G462" i="18"/>
  <c r="G31" i="7941"/>
  <c r="H31" i="7941"/>
  <c r="G358" i="7942"/>
  <c r="H358" i="7942"/>
  <c r="H462" i="18"/>
  <c r="H690" i="18"/>
  <c r="H167" i="1"/>
  <c r="H36" i="18"/>
  <c r="H494" i="18"/>
  <c r="H63" i="7941"/>
  <c r="I167" i="1"/>
  <c r="J167" i="1"/>
  <c r="K167" i="1"/>
  <c r="L167" i="1"/>
  <c r="G463" i="18"/>
  <c r="G32" i="7941"/>
  <c r="H463" i="18"/>
  <c r="H691" i="18"/>
  <c r="H168" i="1"/>
  <c r="H37" i="18"/>
  <c r="H495" i="18"/>
  <c r="H64" i="7941"/>
  <c r="I371" i="18"/>
  <c r="I168" i="1"/>
  <c r="J371" i="18"/>
  <c r="J372" i="18"/>
  <c r="J168" i="1"/>
  <c r="K371" i="18"/>
  <c r="K372" i="18"/>
  <c r="K373" i="18"/>
  <c r="K168" i="1"/>
  <c r="L371" i="18"/>
  <c r="L372" i="18"/>
  <c r="L373" i="18"/>
  <c r="L374" i="18"/>
  <c r="L168" i="1"/>
  <c r="G464" i="18"/>
  <c r="G33" i="7941"/>
  <c r="H33" i="7941"/>
  <c r="G360" i="7942"/>
  <c r="H360" i="7942"/>
  <c r="H464" i="18"/>
  <c r="H692" i="18"/>
  <c r="H169" i="1"/>
  <c r="H38" i="18"/>
  <c r="H496" i="18"/>
  <c r="H65" i="7941"/>
  <c r="I169" i="1"/>
  <c r="J169" i="1"/>
  <c r="K169" i="1"/>
  <c r="L169" i="1"/>
  <c r="G465" i="18"/>
  <c r="G34" i="7941"/>
  <c r="H465" i="18"/>
  <c r="H693" i="18"/>
  <c r="H170" i="1"/>
  <c r="H39" i="18"/>
  <c r="H497" i="18"/>
  <c r="H66" i="7941"/>
  <c r="I170" i="1"/>
  <c r="J170" i="1"/>
  <c r="K170" i="1"/>
  <c r="L170" i="1"/>
  <c r="I410" i="18"/>
  <c r="H171" i="1"/>
  <c r="H40" i="18"/>
  <c r="H498" i="18"/>
  <c r="H67" i="7941"/>
  <c r="I171" i="1"/>
  <c r="J410" i="18"/>
  <c r="J411" i="18"/>
  <c r="J171" i="1"/>
  <c r="K410" i="18"/>
  <c r="K411" i="18"/>
  <c r="K412" i="18"/>
  <c r="K171" i="1"/>
  <c r="L410" i="18"/>
  <c r="L411" i="18"/>
  <c r="L412" i="18"/>
  <c r="L413" i="18"/>
  <c r="L171" i="1"/>
  <c r="I423" i="18"/>
  <c r="H172" i="1"/>
  <c r="H41" i="18"/>
  <c r="H499" i="18"/>
  <c r="H68" i="7941"/>
  <c r="I172" i="1"/>
  <c r="J423" i="18"/>
  <c r="J424" i="18"/>
  <c r="J172" i="1"/>
  <c r="K423" i="18"/>
  <c r="K424" i="18"/>
  <c r="K425" i="18"/>
  <c r="K172" i="1"/>
  <c r="L423" i="18"/>
  <c r="L424" i="18"/>
  <c r="L425" i="18"/>
  <c r="L426" i="18"/>
  <c r="L172" i="1"/>
  <c r="G183" i="1"/>
  <c r="G184" i="1"/>
  <c r="G6" i="7942"/>
  <c r="H7" i="7942"/>
  <c r="M184" i="1"/>
  <c r="M7" i="7942"/>
  <c r="H307" i="7942"/>
  <c r="K148" i="7945"/>
  <c r="K8" i="7945"/>
  <c r="H291" i="7942"/>
  <c r="G32" i="7944"/>
  <c r="G408" i="7944"/>
  <c r="G421" i="7944"/>
  <c r="H32" i="7944"/>
  <c r="H408" i="7944"/>
  <c r="H410" i="7944"/>
  <c r="H421" i="7944"/>
  <c r="I32" i="7944"/>
  <c r="I408" i="7944"/>
  <c r="I410" i="7944"/>
  <c r="I411" i="7944"/>
  <c r="I421" i="7944"/>
  <c r="J32" i="7944"/>
  <c r="J408" i="7944"/>
  <c r="J410" i="7944"/>
  <c r="J411" i="7944"/>
  <c r="J412" i="7944"/>
  <c r="J421" i="7944"/>
  <c r="K32" i="7944"/>
  <c r="K408" i="7944"/>
  <c r="K410" i="7944"/>
  <c r="K411" i="7944"/>
  <c r="K412" i="7944"/>
  <c r="K413" i="7944"/>
  <c r="K421" i="7944"/>
  <c r="L32" i="7944"/>
  <c r="L408" i="7944"/>
  <c r="L410" i="7944"/>
  <c r="L411" i="7944"/>
  <c r="L412" i="7944"/>
  <c r="L413" i="7944"/>
  <c r="L414" i="7944"/>
  <c r="L421" i="7944"/>
  <c r="G31" i="7944"/>
  <c r="G394" i="7944"/>
  <c r="G407" i="7944"/>
  <c r="H31" i="7944"/>
  <c r="H394" i="7944"/>
  <c r="H396" i="7944"/>
  <c r="H407" i="7944"/>
  <c r="I31" i="7944"/>
  <c r="I394" i="7944"/>
  <c r="I396" i="7944"/>
  <c r="I397" i="7944"/>
  <c r="I407" i="7944"/>
  <c r="J31" i="7944"/>
  <c r="J394" i="7944"/>
  <c r="J396" i="7944"/>
  <c r="J397" i="7944"/>
  <c r="J398" i="7944"/>
  <c r="J407" i="7944"/>
  <c r="K31" i="7944"/>
  <c r="K394" i="7944"/>
  <c r="K396" i="7944"/>
  <c r="K397" i="7944"/>
  <c r="K398" i="7944"/>
  <c r="K399" i="7944"/>
  <c r="K407" i="7944"/>
  <c r="L31" i="7944"/>
  <c r="L394" i="7944"/>
  <c r="L396" i="7944"/>
  <c r="L397" i="7944"/>
  <c r="L398" i="7944"/>
  <c r="L399" i="7944"/>
  <c r="L400" i="7944"/>
  <c r="L407" i="7944"/>
  <c r="G30" i="7944"/>
  <c r="G380" i="7944"/>
  <c r="G393" i="7944"/>
  <c r="H30" i="7944"/>
  <c r="H380" i="7944"/>
  <c r="H382" i="7944"/>
  <c r="H393" i="7944"/>
  <c r="I30" i="7944"/>
  <c r="I380" i="7944"/>
  <c r="I382" i="7944"/>
  <c r="I383" i="7944"/>
  <c r="I393" i="7944"/>
  <c r="J30" i="7944"/>
  <c r="J380" i="7944"/>
  <c r="J382" i="7944"/>
  <c r="J383" i="7944"/>
  <c r="J384" i="7944"/>
  <c r="J393" i="7944"/>
  <c r="K30" i="7944"/>
  <c r="K380" i="7944"/>
  <c r="K382" i="7944"/>
  <c r="K383" i="7944"/>
  <c r="K384" i="7944"/>
  <c r="K385" i="7944"/>
  <c r="K393" i="7944"/>
  <c r="L30" i="7944"/>
  <c r="L380" i="7944"/>
  <c r="L382" i="7944"/>
  <c r="L383" i="7944"/>
  <c r="L384" i="7944"/>
  <c r="L385" i="7944"/>
  <c r="L386" i="7944"/>
  <c r="L393" i="7944"/>
  <c r="G29" i="7944"/>
  <c r="G366" i="7944"/>
  <c r="G379" i="7944"/>
  <c r="H29" i="7944"/>
  <c r="H366" i="7944"/>
  <c r="H368" i="7944"/>
  <c r="H379" i="7944"/>
  <c r="I29" i="7944"/>
  <c r="I366" i="7944"/>
  <c r="I368" i="7944"/>
  <c r="I369" i="7944"/>
  <c r="I379" i="7944"/>
  <c r="J29" i="7944"/>
  <c r="J366" i="7944"/>
  <c r="J368" i="7944"/>
  <c r="J369" i="7944"/>
  <c r="J370" i="7944"/>
  <c r="J379" i="7944"/>
  <c r="K29" i="7944"/>
  <c r="K366" i="7944"/>
  <c r="K368" i="7944"/>
  <c r="K369" i="7944"/>
  <c r="K370" i="7944"/>
  <c r="K371" i="7944"/>
  <c r="K379" i="7944"/>
  <c r="L29" i="7944"/>
  <c r="L366" i="7944"/>
  <c r="L368" i="7944"/>
  <c r="L369" i="7944"/>
  <c r="L370" i="7944"/>
  <c r="L371" i="7944"/>
  <c r="L372" i="7944"/>
  <c r="L379" i="7944"/>
  <c r="G28" i="7944"/>
  <c r="G352" i="7944"/>
  <c r="G365" i="7944"/>
  <c r="H28" i="7944"/>
  <c r="H352" i="7944"/>
  <c r="H354" i="7944"/>
  <c r="H365" i="7944"/>
  <c r="I28" i="7944"/>
  <c r="I352" i="7944"/>
  <c r="I354" i="7944"/>
  <c r="I355" i="7944"/>
  <c r="I365" i="7944"/>
  <c r="J28" i="7944"/>
  <c r="J352" i="7944"/>
  <c r="J354" i="7944"/>
  <c r="J355" i="7944"/>
  <c r="J356" i="7944"/>
  <c r="J365" i="7944"/>
  <c r="K28" i="7944"/>
  <c r="K352" i="7944"/>
  <c r="K354" i="7944"/>
  <c r="K355" i="7944"/>
  <c r="K356" i="7944"/>
  <c r="K357" i="7944"/>
  <c r="K365" i="7944"/>
  <c r="L28" i="7944"/>
  <c r="L352" i="7944"/>
  <c r="L354" i="7944"/>
  <c r="L355" i="7944"/>
  <c r="L356" i="7944"/>
  <c r="L357" i="7944"/>
  <c r="L358" i="7944"/>
  <c r="L365" i="7944"/>
  <c r="G27" i="7944"/>
  <c r="G338" i="7944"/>
  <c r="G351" i="7944"/>
  <c r="H27" i="7944"/>
  <c r="H338" i="7944"/>
  <c r="H340" i="7944"/>
  <c r="H351" i="7944"/>
  <c r="I27" i="7944"/>
  <c r="I338" i="7944"/>
  <c r="I340" i="7944"/>
  <c r="I341" i="7944"/>
  <c r="I351" i="7944"/>
  <c r="J27" i="7944"/>
  <c r="J338" i="7944"/>
  <c r="J340" i="7944"/>
  <c r="J341" i="7944"/>
  <c r="J342" i="7944"/>
  <c r="J351" i="7944"/>
  <c r="K27" i="7944"/>
  <c r="K338" i="7944"/>
  <c r="K340" i="7944"/>
  <c r="K341" i="7944"/>
  <c r="K342" i="7944"/>
  <c r="K343" i="7944"/>
  <c r="K351" i="7944"/>
  <c r="L27" i="7944"/>
  <c r="L338" i="7944"/>
  <c r="L340" i="7944"/>
  <c r="L341" i="7944"/>
  <c r="L342" i="7944"/>
  <c r="L343" i="7944"/>
  <c r="L344" i="7944"/>
  <c r="L351" i="7944"/>
  <c r="G19" i="7944"/>
  <c r="G226" i="7944"/>
  <c r="G239" i="7944"/>
  <c r="H19" i="7944"/>
  <c r="H226" i="7944"/>
  <c r="H228" i="7944"/>
  <c r="H239" i="7944"/>
  <c r="I19" i="7944"/>
  <c r="I226" i="7944"/>
  <c r="I228" i="7944"/>
  <c r="I229" i="7944"/>
  <c r="I239" i="7944"/>
  <c r="J19" i="7944"/>
  <c r="J226" i="7944"/>
  <c r="J228" i="7944"/>
  <c r="J229" i="7944"/>
  <c r="J230" i="7944"/>
  <c r="J239" i="7944"/>
  <c r="K19" i="7944"/>
  <c r="K226" i="7944"/>
  <c r="K228" i="7944"/>
  <c r="K229" i="7944"/>
  <c r="K230" i="7944"/>
  <c r="K231" i="7944"/>
  <c r="K239" i="7944"/>
  <c r="L19" i="7944"/>
  <c r="L226" i="7944"/>
  <c r="L228" i="7944"/>
  <c r="L229" i="7944"/>
  <c r="L230" i="7944"/>
  <c r="L231" i="7944"/>
  <c r="L232" i="7944"/>
  <c r="L239" i="7944"/>
  <c r="K257" i="7945"/>
  <c r="K446" i="7945" s="1"/>
  <c r="K369" i="7945"/>
  <c r="K454" i="7945" s="1"/>
  <c r="G51" i="7944"/>
  <c r="H51" i="7944"/>
  <c r="I24" i="7945"/>
  <c r="J24" i="7945" s="1"/>
  <c r="K24" i="7945" s="1"/>
  <c r="I51" i="7944"/>
  <c r="I25" i="7945"/>
  <c r="I39" i="7945" s="1"/>
  <c r="I53" i="7945" s="1"/>
  <c r="J51" i="7944"/>
  <c r="I26" i="7945"/>
  <c r="I40" i="7945" s="1"/>
  <c r="I54" i="7945" s="1"/>
  <c r="K51" i="7944"/>
  <c r="I27" i="7945"/>
  <c r="I41" i="7945"/>
  <c r="L51" i="7944"/>
  <c r="I28" i="7945"/>
  <c r="I29" i="7945"/>
  <c r="J29" i="7945"/>
  <c r="K29" i="7945" s="1"/>
  <c r="I30" i="7945"/>
  <c r="I44" i="7945" s="1"/>
  <c r="J44" i="7945" s="1"/>
  <c r="K44" i="7945" s="1"/>
  <c r="I31" i="7945"/>
  <c r="I45" i="7945" s="1"/>
  <c r="I59" i="7945" s="1"/>
  <c r="J59" i="7945" s="1"/>
  <c r="K59" i="7945" s="1"/>
  <c r="I32" i="7945"/>
  <c r="K162" i="7945"/>
  <c r="H452" i="7944"/>
  <c r="I452" i="7944"/>
  <c r="J452" i="7944"/>
  <c r="K452" i="7944"/>
  <c r="L452" i="7944"/>
  <c r="G67" i="7944"/>
  <c r="I453" i="7944"/>
  <c r="J453" i="7944"/>
  <c r="K453" i="7944"/>
  <c r="L453" i="7944"/>
  <c r="H67" i="7944"/>
  <c r="J454" i="7944"/>
  <c r="K454" i="7944"/>
  <c r="L454" i="7944"/>
  <c r="I67" i="7944"/>
  <c r="K455" i="7944"/>
  <c r="L455" i="7944"/>
  <c r="J67" i="7944"/>
  <c r="L456" i="7944"/>
  <c r="K67" i="7944"/>
  <c r="L67" i="7944"/>
  <c r="G436" i="7944"/>
  <c r="H436" i="7944"/>
  <c r="I436" i="7944"/>
  <c r="J436" i="7944"/>
  <c r="K436" i="7944"/>
  <c r="L436" i="7944"/>
  <c r="I438" i="7944"/>
  <c r="K438" i="7944"/>
  <c r="G66" i="7944"/>
  <c r="I439" i="7944"/>
  <c r="K439" i="7944"/>
  <c r="H66" i="7944"/>
  <c r="J440" i="7944"/>
  <c r="L440" i="7944"/>
  <c r="I66" i="7944"/>
  <c r="K441" i="7944"/>
  <c r="J66" i="7944"/>
  <c r="K66" i="7944"/>
  <c r="L66" i="7944"/>
  <c r="K372" i="7945"/>
  <c r="G61" i="7944"/>
  <c r="H61" i="7944"/>
  <c r="I61" i="7944"/>
  <c r="J61" i="7944"/>
  <c r="K61" i="7944"/>
  <c r="L61" i="7944"/>
  <c r="K302" i="7945"/>
  <c r="G64" i="7944"/>
  <c r="H64" i="7944"/>
  <c r="I64" i="7944"/>
  <c r="J64" i="7944"/>
  <c r="K64" i="7944"/>
  <c r="L64" i="7944"/>
  <c r="K344" i="7945"/>
  <c r="G59" i="7944"/>
  <c r="H59" i="7944"/>
  <c r="I59" i="7944"/>
  <c r="J59" i="7944"/>
  <c r="K59" i="7944"/>
  <c r="L59" i="7944"/>
  <c r="K274" i="7945"/>
  <c r="G62" i="7944"/>
  <c r="H62" i="7944"/>
  <c r="I62" i="7944"/>
  <c r="J62" i="7944"/>
  <c r="K62" i="7944"/>
  <c r="L62" i="7944"/>
  <c r="K316" i="7945"/>
  <c r="H284" i="7944"/>
  <c r="I284" i="7944"/>
  <c r="J284" i="7944"/>
  <c r="K284" i="7944"/>
  <c r="L284" i="7944"/>
  <c r="G55" i="7944"/>
  <c r="I285" i="7944"/>
  <c r="J285" i="7944"/>
  <c r="K285" i="7944"/>
  <c r="L285" i="7944"/>
  <c r="H55" i="7944"/>
  <c r="J286" i="7944"/>
  <c r="K286" i="7944"/>
  <c r="L286" i="7944"/>
  <c r="I55" i="7944"/>
  <c r="K287" i="7944"/>
  <c r="L287" i="7944"/>
  <c r="J55" i="7944"/>
  <c r="L288" i="7944"/>
  <c r="K55" i="7944"/>
  <c r="L55" i="7944"/>
  <c r="K218" i="7945"/>
  <c r="G296" i="7944"/>
  <c r="H296" i="7944"/>
  <c r="I296" i="7944"/>
  <c r="J296" i="7944"/>
  <c r="K296" i="7944"/>
  <c r="L296" i="7944"/>
  <c r="K298" i="7944"/>
  <c r="G56" i="7944"/>
  <c r="I299" i="7944"/>
  <c r="H56" i="7944"/>
  <c r="L300" i="7944"/>
  <c r="I56" i="7944"/>
  <c r="K301" i="7944"/>
  <c r="J56" i="7944"/>
  <c r="K56" i="7944"/>
  <c r="L56" i="7944"/>
  <c r="K232" i="7945"/>
  <c r="G72" i="7944"/>
  <c r="H72" i="7944"/>
  <c r="I72" i="7944"/>
  <c r="J72" i="7944"/>
  <c r="K72" i="7944"/>
  <c r="L72" i="7944"/>
  <c r="G40" i="7944"/>
  <c r="H40" i="7944"/>
  <c r="I40" i="7944"/>
  <c r="J40" i="7944"/>
  <c r="K40" i="7944"/>
  <c r="L40" i="7944"/>
  <c r="J13" i="7945"/>
  <c r="K13" i="7945" s="1"/>
  <c r="J14" i="7945"/>
  <c r="K14" i="7945" s="1"/>
  <c r="J15" i="7945"/>
  <c r="K15" i="7945" s="1"/>
  <c r="J16" i="7945"/>
  <c r="K16" i="7945" s="1"/>
  <c r="J17" i="7945"/>
  <c r="K17" i="7945" s="1"/>
  <c r="J18" i="7945"/>
  <c r="K18" i="7945" s="1"/>
  <c r="H212" i="7944"/>
  <c r="J212" i="7944"/>
  <c r="L212" i="7944"/>
  <c r="H214" i="7944"/>
  <c r="I214" i="7944"/>
  <c r="J214" i="7944"/>
  <c r="K214" i="7944"/>
  <c r="L214" i="7944"/>
  <c r="G50" i="7944"/>
  <c r="I215" i="7944"/>
  <c r="J215" i="7944"/>
  <c r="K215" i="7944"/>
  <c r="L215" i="7944"/>
  <c r="H50" i="7944"/>
  <c r="J216" i="7944"/>
  <c r="K216" i="7944"/>
  <c r="L216" i="7944"/>
  <c r="I50" i="7944"/>
  <c r="K217" i="7944"/>
  <c r="L217" i="7944"/>
  <c r="J50" i="7944"/>
  <c r="L218" i="7944"/>
  <c r="K50" i="7944"/>
  <c r="L50" i="7944"/>
  <c r="G142" i="7944"/>
  <c r="H142" i="7944"/>
  <c r="I142" i="7944"/>
  <c r="J142" i="7944"/>
  <c r="K142" i="7944"/>
  <c r="L142" i="7944"/>
  <c r="I144" i="7944"/>
  <c r="K144" i="7944"/>
  <c r="G45" i="7944"/>
  <c r="I145" i="7944"/>
  <c r="K145" i="7944"/>
  <c r="H45" i="7944"/>
  <c r="J146" i="7944"/>
  <c r="L146" i="7944"/>
  <c r="I45" i="7944"/>
  <c r="L147" i="7944"/>
  <c r="J45" i="7944"/>
  <c r="K45" i="7944"/>
  <c r="L45" i="7944"/>
  <c r="K78" i="7945"/>
  <c r="H88" i="7944"/>
  <c r="I88" i="7944"/>
  <c r="J88" i="7944"/>
  <c r="K88" i="7944"/>
  <c r="L88" i="7944"/>
  <c r="G41" i="7944"/>
  <c r="I89" i="7944"/>
  <c r="J89" i="7944"/>
  <c r="K89" i="7944"/>
  <c r="L89" i="7944"/>
  <c r="H41" i="7944"/>
  <c r="J90" i="7944"/>
  <c r="K90" i="7944"/>
  <c r="L90" i="7944"/>
  <c r="I41" i="7944"/>
  <c r="K91" i="7944"/>
  <c r="L91" i="7944"/>
  <c r="J25" i="7945"/>
  <c r="K25" i="7945" s="1"/>
  <c r="J41" i="7944"/>
  <c r="L92" i="7944"/>
  <c r="K41" i="7944"/>
  <c r="L41" i="7944"/>
  <c r="J31" i="7945"/>
  <c r="K31" i="7945" s="1"/>
  <c r="K22" i="7945"/>
  <c r="G240" i="7944"/>
  <c r="H240" i="7944"/>
  <c r="I240" i="7944"/>
  <c r="J240" i="7944"/>
  <c r="K240" i="7944"/>
  <c r="L240" i="7944"/>
  <c r="I242" i="7944"/>
  <c r="K242" i="7944"/>
  <c r="G52" i="7944"/>
  <c r="I243" i="7944"/>
  <c r="K243" i="7944"/>
  <c r="H52" i="7944"/>
  <c r="J244" i="7944"/>
  <c r="L244" i="7944"/>
  <c r="I52" i="7944"/>
  <c r="K245" i="7944"/>
  <c r="J52" i="7944"/>
  <c r="K52" i="7944"/>
  <c r="L52" i="7944"/>
  <c r="K176" i="7945"/>
  <c r="K186" i="7945"/>
  <c r="G170" i="7944"/>
  <c r="H170" i="7944"/>
  <c r="I170" i="7944"/>
  <c r="J170" i="7944"/>
  <c r="K170" i="7944"/>
  <c r="L170" i="7944"/>
  <c r="I172" i="7944"/>
  <c r="K172" i="7944"/>
  <c r="G47" i="7944"/>
  <c r="I173" i="7944"/>
  <c r="K173" i="7944"/>
  <c r="H47" i="7944"/>
  <c r="J174" i="7944"/>
  <c r="L174" i="7944"/>
  <c r="I47" i="7944"/>
  <c r="L175" i="7944"/>
  <c r="J47" i="7944"/>
  <c r="K47" i="7944"/>
  <c r="L47" i="7944"/>
  <c r="K106" i="7945"/>
  <c r="G114" i="7944"/>
  <c r="H114" i="7944"/>
  <c r="I114" i="7944"/>
  <c r="J114" i="7944"/>
  <c r="K114" i="7944"/>
  <c r="L114" i="7944"/>
  <c r="G43" i="7944"/>
  <c r="H43" i="7944"/>
  <c r="I43" i="7944"/>
  <c r="J43" i="7944"/>
  <c r="K43" i="7944"/>
  <c r="L43" i="7944"/>
  <c r="K50" i="7945"/>
  <c r="G100" i="7944"/>
  <c r="H100" i="7944"/>
  <c r="I100" i="7944"/>
  <c r="J100" i="7944"/>
  <c r="K100" i="7944"/>
  <c r="L100" i="7944"/>
  <c r="I102" i="7944"/>
  <c r="K102" i="7944"/>
  <c r="G42" i="7944"/>
  <c r="I103" i="7944"/>
  <c r="K103" i="7944"/>
  <c r="H42" i="7944"/>
  <c r="J104" i="7944"/>
  <c r="L104" i="7944"/>
  <c r="I42" i="7944"/>
  <c r="L105" i="7944"/>
  <c r="J42" i="7944"/>
  <c r="K42" i="7944"/>
  <c r="L42" i="7944"/>
  <c r="K36" i="7945"/>
  <c r="G198" i="7944"/>
  <c r="H198" i="7944"/>
  <c r="I198" i="7944"/>
  <c r="J198" i="7944"/>
  <c r="K198" i="7944"/>
  <c r="L198" i="7944"/>
  <c r="K200" i="7944"/>
  <c r="G49" i="7944"/>
  <c r="I201" i="7944"/>
  <c r="H49" i="7944"/>
  <c r="L202" i="7944"/>
  <c r="I49" i="7944"/>
  <c r="J49" i="7944"/>
  <c r="K49" i="7944"/>
  <c r="L49" i="7944"/>
  <c r="K134" i="7945"/>
  <c r="G128" i="7944"/>
  <c r="H128" i="7944"/>
  <c r="I128" i="7944"/>
  <c r="J128" i="7944"/>
  <c r="K128" i="7944"/>
  <c r="L128" i="7944"/>
  <c r="I130" i="7944"/>
  <c r="I131" i="7944"/>
  <c r="I141" i="7944"/>
  <c r="K130" i="7944"/>
  <c r="G44" i="7944"/>
  <c r="K131" i="7944"/>
  <c r="H44" i="7944"/>
  <c r="J132" i="7944"/>
  <c r="K132" i="7944"/>
  <c r="L132" i="7944"/>
  <c r="I44" i="7944"/>
  <c r="K133" i="7944"/>
  <c r="L133" i="7944"/>
  <c r="J44" i="7944"/>
  <c r="L134" i="7944"/>
  <c r="K44" i="7944"/>
  <c r="L44" i="7944"/>
  <c r="K64" i="7945"/>
  <c r="H156" i="7944"/>
  <c r="J156" i="7944"/>
  <c r="L156" i="7944"/>
  <c r="H158" i="7944"/>
  <c r="I158" i="7944"/>
  <c r="J158" i="7944"/>
  <c r="K158" i="7944"/>
  <c r="L158" i="7944"/>
  <c r="G46" i="7944"/>
  <c r="I159" i="7944"/>
  <c r="J159" i="7944"/>
  <c r="K159" i="7944"/>
  <c r="L159" i="7944"/>
  <c r="H46" i="7944"/>
  <c r="J160" i="7944"/>
  <c r="K160" i="7944"/>
  <c r="L160" i="7944"/>
  <c r="I46" i="7944"/>
  <c r="K161" i="7944"/>
  <c r="L161" i="7944"/>
  <c r="J46" i="7944"/>
  <c r="L162" i="7944"/>
  <c r="K46" i="7944"/>
  <c r="L46" i="7944"/>
  <c r="K92" i="7945"/>
  <c r="H184" i="7944"/>
  <c r="J184" i="7944"/>
  <c r="L184" i="7944"/>
  <c r="H186" i="7944"/>
  <c r="I186" i="7944"/>
  <c r="J186" i="7944"/>
  <c r="K186" i="7944"/>
  <c r="L186" i="7944"/>
  <c r="G48" i="7944"/>
  <c r="I187" i="7944"/>
  <c r="J187" i="7944"/>
  <c r="K187" i="7944"/>
  <c r="L187" i="7944"/>
  <c r="H48" i="7944"/>
  <c r="J188" i="7944"/>
  <c r="K188" i="7944"/>
  <c r="L188" i="7944"/>
  <c r="I48" i="7944"/>
  <c r="K189" i="7944"/>
  <c r="L189" i="7944"/>
  <c r="J48" i="7944"/>
  <c r="L190" i="7944"/>
  <c r="K48" i="7944"/>
  <c r="L48" i="7944"/>
  <c r="K120" i="7945"/>
  <c r="G392" i="7942"/>
  <c r="G424" i="7942"/>
  <c r="I182" i="1"/>
  <c r="J182" i="1"/>
  <c r="K182" i="1"/>
  <c r="L182" i="1"/>
  <c r="M182" i="1"/>
  <c r="N182" i="1"/>
  <c r="O182" i="1"/>
  <c r="P182" i="1"/>
  <c r="Q182" i="1"/>
  <c r="D24" i="7945"/>
  <c r="D38" i="7945" s="1"/>
  <c r="D52" i="7945" s="1"/>
  <c r="D66" i="7945" s="1"/>
  <c r="D80" i="7945" s="1"/>
  <c r="D94" i="7945" s="1"/>
  <c r="D108" i="7945" s="1"/>
  <c r="D122" i="7945" s="1"/>
  <c r="D136" i="7945" s="1"/>
  <c r="D150" i="7945" s="1"/>
  <c r="D164" i="7945" s="1"/>
  <c r="D178" i="7945" s="1"/>
  <c r="D192" i="7945" s="1"/>
  <c r="D206" i="7945" s="1"/>
  <c r="D25" i="7945"/>
  <c r="D26" i="7945"/>
  <c r="D40" i="7945" s="1"/>
  <c r="D54" i="7945" s="1"/>
  <c r="E54" i="7945" s="1"/>
  <c r="F54" i="7945" s="1"/>
  <c r="D27" i="7945"/>
  <c r="D28" i="7945"/>
  <c r="D42" i="7945" s="1"/>
  <c r="D29" i="7945"/>
  <c r="E29" i="7945" s="1"/>
  <c r="F29" i="7945" s="1"/>
  <c r="N184" i="1"/>
  <c r="N7" i="7942"/>
  <c r="D30" i="7945"/>
  <c r="D44" i="7945"/>
  <c r="D58" i="7945" s="1"/>
  <c r="O184" i="1"/>
  <c r="D31" i="7945"/>
  <c r="D45" i="7945"/>
  <c r="D59" i="7945"/>
  <c r="D73" i="7945" s="1"/>
  <c r="P184" i="1"/>
  <c r="P7" i="7942"/>
  <c r="D32" i="7945"/>
  <c r="Q184" i="1"/>
  <c r="F372" i="7945"/>
  <c r="G388" i="7942"/>
  <c r="G420" i="7942"/>
  <c r="F316" i="7945"/>
  <c r="G390" i="7942"/>
  <c r="G422" i="7942"/>
  <c r="F344" i="7945"/>
  <c r="G389" i="7942"/>
  <c r="G421" i="7942"/>
  <c r="F330" i="7945"/>
  <c r="G385" i="7942"/>
  <c r="G417" i="7942"/>
  <c r="F274" i="7945"/>
  <c r="G387" i="7942"/>
  <c r="G419" i="7942"/>
  <c r="F302" i="7945"/>
  <c r="G381" i="7942"/>
  <c r="G413" i="7942"/>
  <c r="F218" i="7945"/>
  <c r="G379" i="7942"/>
  <c r="G411" i="7942"/>
  <c r="F190" i="7945"/>
  <c r="G366" i="7942"/>
  <c r="G398" i="7942"/>
  <c r="F8" i="7945"/>
  <c r="G378" i="7942"/>
  <c r="G410" i="7942"/>
  <c r="F176" i="7945"/>
  <c r="G370" i="7942"/>
  <c r="G402" i="7942"/>
  <c r="F64" i="7945"/>
  <c r="G367" i="7942"/>
  <c r="G399" i="7942"/>
  <c r="F22" i="7945"/>
  <c r="G373" i="7942"/>
  <c r="G405" i="7942"/>
  <c r="F106" i="7945"/>
  <c r="G372" i="7942"/>
  <c r="G404" i="7942"/>
  <c r="F92" i="7945"/>
  <c r="G368" i="7942"/>
  <c r="G400" i="7942"/>
  <c r="F36" i="7945"/>
  <c r="G374" i="7942"/>
  <c r="G406" i="7942"/>
  <c r="F120" i="7945"/>
  <c r="G369" i="7942"/>
  <c r="G401" i="7942"/>
  <c r="F50" i="7945"/>
  <c r="G375" i="7942"/>
  <c r="G407" i="7942"/>
  <c r="F134" i="7945"/>
  <c r="G371" i="7942"/>
  <c r="G403" i="7942"/>
  <c r="F78" i="7945"/>
  <c r="H254" i="7944"/>
  <c r="J254" i="7944"/>
  <c r="L254" i="7944"/>
  <c r="H256" i="7944"/>
  <c r="I256" i="7944"/>
  <c r="J256" i="7944"/>
  <c r="K256" i="7944"/>
  <c r="L256" i="7944"/>
  <c r="G53" i="7944"/>
  <c r="I257" i="7944"/>
  <c r="J257" i="7944"/>
  <c r="K257" i="7944"/>
  <c r="L257" i="7944"/>
  <c r="H53" i="7944"/>
  <c r="J258" i="7944"/>
  <c r="K258" i="7944"/>
  <c r="L258" i="7944"/>
  <c r="I53" i="7944"/>
  <c r="K259" i="7944"/>
  <c r="L259" i="7944"/>
  <c r="J53" i="7944"/>
  <c r="L260" i="7944"/>
  <c r="K53" i="7944"/>
  <c r="L53" i="7944"/>
  <c r="K190" i="7945"/>
  <c r="G382" i="7942"/>
  <c r="G414" i="7942"/>
  <c r="F232" i="7945"/>
  <c r="G377" i="7942"/>
  <c r="G409" i="7942"/>
  <c r="G63" i="7944"/>
  <c r="H63" i="7944"/>
  <c r="I63" i="7944"/>
  <c r="J63" i="7944"/>
  <c r="K63" i="7944"/>
  <c r="L63" i="7944"/>
  <c r="K330" i="7945"/>
  <c r="G376" i="7942"/>
  <c r="G408" i="7942"/>
  <c r="G386" i="7942"/>
  <c r="G418" i="7942"/>
  <c r="F288" i="7945"/>
  <c r="G60" i="7944"/>
  <c r="H60" i="7944"/>
  <c r="I60" i="7944"/>
  <c r="J60" i="7944"/>
  <c r="K60" i="7944"/>
  <c r="L60" i="7944"/>
  <c r="K288" i="7945"/>
  <c r="I179" i="1"/>
  <c r="J179" i="1"/>
  <c r="K179" i="1"/>
  <c r="L179" i="1"/>
  <c r="M179" i="1"/>
  <c r="N179" i="1"/>
  <c r="O179" i="1"/>
  <c r="P179" i="1"/>
  <c r="Q179" i="1"/>
  <c r="F425" i="7945"/>
  <c r="F411" i="7945"/>
  <c r="K414" i="7945"/>
  <c r="F414" i="7945"/>
  <c r="K400" i="7945"/>
  <c r="F400" i="7945"/>
  <c r="K204" i="7945"/>
  <c r="F204" i="7945"/>
  <c r="B413" i="7945"/>
  <c r="C425" i="7945"/>
  <c r="B399" i="7945"/>
  <c r="C411" i="7945"/>
  <c r="B385" i="7945"/>
  <c r="C397" i="7945"/>
  <c r="I23" i="7945"/>
  <c r="J23" i="7945"/>
  <c r="K23" i="7945" s="1"/>
  <c r="H23" i="7945"/>
  <c r="H37" i="7945"/>
  <c r="H51" i="7945" s="1"/>
  <c r="H65" i="7945" s="1"/>
  <c r="H79" i="7945" s="1"/>
  <c r="H93" i="7945" s="1"/>
  <c r="H107" i="7945" s="1"/>
  <c r="H121" i="7945" s="1"/>
  <c r="H135" i="7945" s="1"/>
  <c r="H149" i="7945" s="1"/>
  <c r="H163" i="7945" s="1"/>
  <c r="H177" i="7945" s="1"/>
  <c r="H191" i="7945" s="1"/>
  <c r="H205" i="7945" s="1"/>
  <c r="H219" i="7945" s="1"/>
  <c r="H233" i="7945" s="1"/>
  <c r="H247" i="7945" s="1"/>
  <c r="H261" i="7945" s="1"/>
  <c r="H275" i="7945" s="1"/>
  <c r="H289" i="7945" s="1"/>
  <c r="H303" i="7945" s="1"/>
  <c r="H317" i="7945" s="1"/>
  <c r="H331" i="7945" s="1"/>
  <c r="H345" i="7945" s="1"/>
  <c r="H359" i="7945" s="1"/>
  <c r="H373" i="7945" s="1"/>
  <c r="H387" i="7945" s="1"/>
  <c r="H401" i="7945" s="1"/>
  <c r="H415" i="7945" s="1"/>
  <c r="D23" i="7945"/>
  <c r="C23" i="7945"/>
  <c r="C37" i="7945"/>
  <c r="C51" i="7945"/>
  <c r="C65" i="7945"/>
  <c r="C79" i="7945"/>
  <c r="C93" i="7945"/>
  <c r="C107" i="7945"/>
  <c r="C121" i="7945"/>
  <c r="C135" i="7945"/>
  <c r="C149" i="7945"/>
  <c r="C163" i="7945"/>
  <c r="C177" i="7945"/>
  <c r="C191" i="7945"/>
  <c r="C205" i="7945"/>
  <c r="C219" i="7945"/>
  <c r="C233" i="7945"/>
  <c r="C247" i="7945"/>
  <c r="C261" i="7945"/>
  <c r="C275" i="7945"/>
  <c r="C289" i="7945"/>
  <c r="C303" i="7945"/>
  <c r="C317" i="7945"/>
  <c r="C331" i="7945"/>
  <c r="C345" i="7945"/>
  <c r="C359" i="7945"/>
  <c r="C373" i="7945"/>
  <c r="C387" i="7945"/>
  <c r="C401" i="7945"/>
  <c r="C415" i="7945"/>
  <c r="H22" i="7945"/>
  <c r="H36" i="7945"/>
  <c r="H50" i="7945"/>
  <c r="H64" i="7945"/>
  <c r="H78" i="7945"/>
  <c r="H92" i="7945"/>
  <c r="H106" i="7945"/>
  <c r="H120" i="7945"/>
  <c r="H134" i="7945"/>
  <c r="H148" i="7945"/>
  <c r="H162" i="7945"/>
  <c r="H176" i="7945"/>
  <c r="H190" i="7945"/>
  <c r="H204" i="7945"/>
  <c r="H218" i="7945"/>
  <c r="H232" i="7945"/>
  <c r="H246" i="7945"/>
  <c r="H260" i="7945"/>
  <c r="H274" i="7945"/>
  <c r="H288" i="7945"/>
  <c r="H302" i="7945"/>
  <c r="H316" i="7945"/>
  <c r="H330" i="7945"/>
  <c r="H344" i="7945"/>
  <c r="H358" i="7945"/>
  <c r="H372" i="7945"/>
  <c r="H386" i="7945"/>
  <c r="H400" i="7945"/>
  <c r="H414" i="7945"/>
  <c r="C22" i="7945"/>
  <c r="C36" i="7945"/>
  <c r="C50" i="7945"/>
  <c r="C64" i="7945"/>
  <c r="C78" i="7945"/>
  <c r="C92" i="7945"/>
  <c r="C106" i="7945"/>
  <c r="C120" i="7945"/>
  <c r="C134" i="7945"/>
  <c r="C148" i="7945"/>
  <c r="C162" i="7945"/>
  <c r="C176" i="7945"/>
  <c r="C190" i="7945"/>
  <c r="C204" i="7945"/>
  <c r="C218" i="7945"/>
  <c r="C232" i="7945"/>
  <c r="C246" i="7945"/>
  <c r="C260" i="7945"/>
  <c r="C274" i="7945"/>
  <c r="C288" i="7945"/>
  <c r="C302" i="7945"/>
  <c r="C316" i="7945"/>
  <c r="C330" i="7945"/>
  <c r="C344" i="7945"/>
  <c r="C358" i="7945"/>
  <c r="C372" i="7945"/>
  <c r="C386" i="7945"/>
  <c r="C400" i="7945"/>
  <c r="C414" i="7945"/>
  <c r="D37" i="7945"/>
  <c r="I37" i="7945"/>
  <c r="D51" i="7945"/>
  <c r="I51" i="7945"/>
  <c r="I65" i="7945"/>
  <c r="I79" i="7945"/>
  <c r="I93" i="7945"/>
  <c r="D65" i="7945"/>
  <c r="D79" i="7945"/>
  <c r="D93" i="7945"/>
  <c r="D107" i="7945"/>
  <c r="D121" i="7945"/>
  <c r="D135" i="7945"/>
  <c r="D149" i="7945"/>
  <c r="D163" i="7945"/>
  <c r="D177" i="7945"/>
  <c r="D191" i="7945"/>
  <c r="D205" i="7945"/>
  <c r="D219" i="7945"/>
  <c r="D233" i="7945"/>
  <c r="D247" i="7945"/>
  <c r="D261" i="7945"/>
  <c r="D275" i="7945"/>
  <c r="D289" i="7945"/>
  <c r="D303" i="7945"/>
  <c r="D317" i="7945"/>
  <c r="D331" i="7945"/>
  <c r="D345" i="7945"/>
  <c r="D359" i="7945"/>
  <c r="D373" i="7945"/>
  <c r="D387" i="7945"/>
  <c r="D401" i="7945"/>
  <c r="D415" i="7945"/>
  <c r="L54" i="7944"/>
  <c r="L57" i="7944"/>
  <c r="L58" i="7944"/>
  <c r="L65" i="7944"/>
  <c r="L68" i="7944"/>
  <c r="L69" i="7944"/>
  <c r="H6" i="18"/>
  <c r="I6" i="18"/>
  <c r="J6" i="18"/>
  <c r="H3" i="18"/>
  <c r="G430" i="7942"/>
  <c r="G534" i="18"/>
  <c r="G103" i="7941"/>
  <c r="G462" i="7942"/>
  <c r="G566" i="18"/>
  <c r="G135" i="7941"/>
  <c r="G494" i="7942"/>
  <c r="G598" i="18"/>
  <c r="G167" i="7941"/>
  <c r="G431" i="7942"/>
  <c r="G535" i="18"/>
  <c r="G104" i="7941"/>
  <c r="G463" i="7942"/>
  <c r="G567" i="18"/>
  <c r="G136" i="7941"/>
  <c r="G495" i="7942"/>
  <c r="G599" i="18"/>
  <c r="G168" i="7941"/>
  <c r="G432" i="7942"/>
  <c r="G536" i="18"/>
  <c r="G105" i="7941"/>
  <c r="G464" i="7942"/>
  <c r="G568" i="18"/>
  <c r="G137" i="7941"/>
  <c r="G496" i="7942"/>
  <c r="G600" i="18"/>
  <c r="G169" i="7941"/>
  <c r="G433" i="7942"/>
  <c r="G537" i="18"/>
  <c r="G106" i="7941"/>
  <c r="G465" i="7942"/>
  <c r="G569" i="18"/>
  <c r="G138" i="7941"/>
  <c r="G497" i="7942"/>
  <c r="G601" i="18"/>
  <c r="G170" i="7941"/>
  <c r="G434" i="7942"/>
  <c r="G538" i="18"/>
  <c r="G107" i="7941"/>
  <c r="G466" i="7942"/>
  <c r="G570" i="18"/>
  <c r="G139" i="7941"/>
  <c r="G498" i="7942"/>
  <c r="G602" i="18"/>
  <c r="G171" i="7941"/>
  <c r="G435" i="7942"/>
  <c r="G539" i="18"/>
  <c r="G108" i="7941"/>
  <c r="G467" i="7942"/>
  <c r="G571" i="18"/>
  <c r="G140" i="7941"/>
  <c r="G499" i="7942"/>
  <c r="G603" i="18"/>
  <c r="G172" i="7941"/>
  <c r="G436" i="7942"/>
  <c r="G540" i="18"/>
  <c r="G109" i="7941"/>
  <c r="G468" i="7942"/>
  <c r="G572" i="18"/>
  <c r="G141" i="7941"/>
  <c r="G500" i="7942"/>
  <c r="G604" i="18"/>
  <c r="G173" i="7941"/>
  <c r="G437" i="7942"/>
  <c r="G541" i="18"/>
  <c r="G110" i="7941"/>
  <c r="G469" i="7942"/>
  <c r="G573" i="18"/>
  <c r="G142" i="7941"/>
  <c r="G501" i="7942"/>
  <c r="G605" i="18"/>
  <c r="G174" i="7941"/>
  <c r="G438" i="7942"/>
  <c r="G542" i="18"/>
  <c r="G111" i="7941"/>
  <c r="G470" i="7942"/>
  <c r="G574" i="18"/>
  <c r="G143" i="7941"/>
  <c r="G502" i="7942"/>
  <c r="G606" i="18"/>
  <c r="G175" i="7941"/>
  <c r="G439" i="7942"/>
  <c r="G543" i="18"/>
  <c r="G112" i="7941"/>
  <c r="G471" i="7942"/>
  <c r="G575" i="18"/>
  <c r="G144" i="7941"/>
  <c r="G503" i="7942"/>
  <c r="G607" i="18"/>
  <c r="G176" i="7941"/>
  <c r="G440" i="7942"/>
  <c r="G544" i="18"/>
  <c r="G113" i="7941"/>
  <c r="G472" i="7942"/>
  <c r="G576" i="18"/>
  <c r="G145" i="7941"/>
  <c r="G504" i="7942"/>
  <c r="G608" i="18"/>
  <c r="G177" i="7941"/>
  <c r="G441" i="7942"/>
  <c r="G545" i="18"/>
  <c r="G114" i="7941"/>
  <c r="G473" i="7942"/>
  <c r="G577" i="18"/>
  <c r="G146" i="7941"/>
  <c r="G505" i="7942"/>
  <c r="G609" i="18"/>
  <c r="G178" i="7941"/>
  <c r="G442" i="7942"/>
  <c r="G546" i="18"/>
  <c r="G115" i="7941"/>
  <c r="G474" i="7942"/>
  <c r="G578" i="18"/>
  <c r="G147" i="7941"/>
  <c r="G506" i="7942"/>
  <c r="G610" i="18"/>
  <c r="G179" i="7941"/>
  <c r="G443" i="7942"/>
  <c r="G547" i="18"/>
  <c r="G116" i="7941"/>
  <c r="G475" i="7942"/>
  <c r="G579" i="18"/>
  <c r="G148" i="7941"/>
  <c r="G507" i="7942"/>
  <c r="G611" i="18"/>
  <c r="G180" i="7941"/>
  <c r="G380" i="7942"/>
  <c r="G484" i="18"/>
  <c r="G53" i="7941"/>
  <c r="G412" i="7942"/>
  <c r="G516" i="18"/>
  <c r="G444" i="7942"/>
  <c r="G548" i="18"/>
  <c r="G117" i="7941"/>
  <c r="G476" i="7942"/>
  <c r="G580" i="18"/>
  <c r="G149" i="7941"/>
  <c r="G508" i="7942"/>
  <c r="G612" i="18"/>
  <c r="G181" i="7941"/>
  <c r="G445" i="7942"/>
  <c r="G549" i="18"/>
  <c r="G118" i="7941"/>
  <c r="G477" i="7942"/>
  <c r="G581" i="18"/>
  <c r="G150" i="7941"/>
  <c r="G509" i="7942"/>
  <c r="G613" i="18"/>
  <c r="G182" i="7941"/>
  <c r="G446" i="7942"/>
  <c r="G550" i="18"/>
  <c r="G119" i="7941"/>
  <c r="G478" i="7942"/>
  <c r="G582" i="18"/>
  <c r="G151" i="7941"/>
  <c r="G510" i="7942"/>
  <c r="G614" i="18"/>
  <c r="G183" i="7941"/>
  <c r="G447" i="7942"/>
  <c r="G551" i="18"/>
  <c r="G120" i="7941"/>
  <c r="G479" i="7942"/>
  <c r="G583" i="18"/>
  <c r="G152" i="7941"/>
  <c r="G511" i="7942"/>
  <c r="G615" i="18"/>
  <c r="G184" i="7941"/>
  <c r="G448" i="7942"/>
  <c r="G552" i="18"/>
  <c r="G121" i="7941"/>
  <c r="G480" i="7942"/>
  <c r="G584" i="18"/>
  <c r="G153" i="7941"/>
  <c r="G512" i="7942"/>
  <c r="G616" i="18"/>
  <c r="G185" i="7941"/>
  <c r="G449" i="7942"/>
  <c r="G553" i="18"/>
  <c r="G122" i="7941"/>
  <c r="G481" i="7942"/>
  <c r="G585" i="18"/>
  <c r="G154" i="7941"/>
  <c r="G513" i="7942"/>
  <c r="G617" i="18"/>
  <c r="G186" i="7941"/>
  <c r="G450" i="7942"/>
  <c r="G554" i="18"/>
  <c r="G123" i="7941"/>
  <c r="G482" i="7942"/>
  <c r="G586" i="18"/>
  <c r="G155" i="7941"/>
  <c r="G514" i="7942"/>
  <c r="G618" i="18"/>
  <c r="G187" i="7941"/>
  <c r="G451" i="7942"/>
  <c r="G555" i="18"/>
  <c r="G124" i="7941"/>
  <c r="G483" i="7942"/>
  <c r="G587" i="18"/>
  <c r="G156" i="7941"/>
  <c r="G515" i="7942"/>
  <c r="G619" i="18"/>
  <c r="G188" i="7941"/>
  <c r="G452" i="7942"/>
  <c r="G556" i="18"/>
  <c r="G125" i="7941"/>
  <c r="G484" i="7942"/>
  <c r="G588" i="18"/>
  <c r="G157" i="7941"/>
  <c r="G516" i="7942"/>
  <c r="G620" i="18"/>
  <c r="G189" i="7941"/>
  <c r="G453" i="7942"/>
  <c r="G557" i="18"/>
  <c r="G126" i="7941"/>
  <c r="G485" i="7942"/>
  <c r="G589" i="18"/>
  <c r="G158" i="7941"/>
  <c r="G517" i="7942"/>
  <c r="G621" i="18"/>
  <c r="G190" i="7941"/>
  <c r="G454" i="7942"/>
  <c r="G558" i="18"/>
  <c r="G127" i="7941"/>
  <c r="G102" i="7941"/>
  <c r="G486" i="7942"/>
  <c r="G590" i="18"/>
  <c r="G159" i="7941"/>
  <c r="G518" i="7942"/>
  <c r="G622" i="18"/>
  <c r="G191" i="7941"/>
  <c r="G455" i="7942"/>
  <c r="G559" i="18"/>
  <c r="G128" i="7941"/>
  <c r="G487" i="7942"/>
  <c r="G591" i="18"/>
  <c r="G160" i="7941"/>
  <c r="G519" i="7942"/>
  <c r="G623" i="18"/>
  <c r="G192" i="7941"/>
  <c r="G456" i="7942"/>
  <c r="G560" i="18"/>
  <c r="G129" i="7941"/>
  <c r="G488" i="7942"/>
  <c r="G592" i="18"/>
  <c r="G161" i="7941"/>
  <c r="G520" i="7942"/>
  <c r="G624" i="18"/>
  <c r="G193" i="7941"/>
  <c r="G457" i="7942"/>
  <c r="G561" i="18"/>
  <c r="G130" i="7941"/>
  <c r="G489" i="7942"/>
  <c r="G593" i="18"/>
  <c r="G162" i="7941"/>
  <c r="G521" i="7942"/>
  <c r="G625" i="18"/>
  <c r="G194" i="7941"/>
  <c r="G466" i="18"/>
  <c r="G35" i="7941"/>
  <c r="G394" i="7942"/>
  <c r="G426" i="7942"/>
  <c r="H362" i="7942"/>
  <c r="G498" i="18"/>
  <c r="G67" i="7941"/>
  <c r="H35" i="7941"/>
  <c r="G530" i="18"/>
  <c r="G99" i="7941"/>
  <c r="G458" i="7942"/>
  <c r="G562" i="18"/>
  <c r="G131" i="7941"/>
  <c r="G490" i="7942"/>
  <c r="G594" i="18"/>
  <c r="G163" i="7941"/>
  <c r="G522" i="7942"/>
  <c r="G626" i="18"/>
  <c r="G195" i="7941"/>
  <c r="G362" i="7942"/>
  <c r="G467" i="18"/>
  <c r="G36" i="7941"/>
  <c r="G228" i="7941"/>
  <c r="G198" i="7941"/>
  <c r="G395" i="7942"/>
  <c r="G499" i="18"/>
  <c r="G68" i="7941"/>
  <c r="G427" i="7942"/>
  <c r="G531" i="18"/>
  <c r="G100" i="7941"/>
  <c r="G459" i="7942"/>
  <c r="G563" i="18"/>
  <c r="G132" i="7941"/>
  <c r="G491" i="7942"/>
  <c r="G595" i="18"/>
  <c r="G164" i="7941"/>
  <c r="G523" i="7942"/>
  <c r="G627" i="18"/>
  <c r="G196" i="7941"/>
  <c r="G363" i="7942"/>
  <c r="G205" i="7942"/>
  <c r="G173" i="7942"/>
  <c r="G237" i="7942"/>
  <c r="G206" i="7942"/>
  <c r="G174" i="7942"/>
  <c r="G238" i="7942"/>
  <c r="G207" i="7942"/>
  <c r="G175" i="7942"/>
  <c r="G239" i="7942"/>
  <c r="G208" i="7942"/>
  <c r="G176" i="7942"/>
  <c r="G240" i="7942"/>
  <c r="G209" i="7942"/>
  <c r="G177" i="7942"/>
  <c r="G241" i="7942"/>
  <c r="G210" i="7942"/>
  <c r="G178" i="7942"/>
  <c r="G242" i="7942"/>
  <c r="G211" i="7942"/>
  <c r="G179" i="7942"/>
  <c r="G243" i="7942"/>
  <c r="G212" i="7942"/>
  <c r="G180" i="7942"/>
  <c r="G244" i="7942"/>
  <c r="G213" i="7942"/>
  <c r="G181" i="7942"/>
  <c r="G245" i="7942"/>
  <c r="G214" i="7942"/>
  <c r="G182" i="7942"/>
  <c r="G246" i="7942"/>
  <c r="G215" i="7942"/>
  <c r="G183" i="7942"/>
  <c r="G247" i="7942"/>
  <c r="G216" i="7942"/>
  <c r="G184" i="7942"/>
  <c r="G248" i="7942"/>
  <c r="G217" i="7942"/>
  <c r="G185" i="7942"/>
  <c r="G249" i="7942"/>
  <c r="G218" i="7942"/>
  <c r="G186" i="7942"/>
  <c r="G250" i="7942"/>
  <c r="G220" i="7942"/>
  <c r="G188" i="7942"/>
  <c r="G252" i="7942"/>
  <c r="G221" i="7942"/>
  <c r="G189" i="7942"/>
  <c r="G253" i="7942"/>
  <c r="G222" i="7942"/>
  <c r="G190" i="7942"/>
  <c r="G254" i="7942"/>
  <c r="G223" i="7942"/>
  <c r="G191" i="7942"/>
  <c r="G255" i="7942"/>
  <c r="G224" i="7942"/>
  <c r="G192" i="7942"/>
  <c r="G256" i="7942"/>
  <c r="G225" i="7942"/>
  <c r="G193" i="7942"/>
  <c r="G257" i="7942"/>
  <c r="G226" i="7942"/>
  <c r="G194" i="7942"/>
  <c r="G258" i="7942"/>
  <c r="G227" i="7942"/>
  <c r="G195" i="7942"/>
  <c r="G259" i="7942"/>
  <c r="G228" i="7942"/>
  <c r="G196" i="7942"/>
  <c r="G260" i="7942"/>
  <c r="G229" i="7942"/>
  <c r="G197" i="7942"/>
  <c r="G261" i="7942"/>
  <c r="G230" i="7942"/>
  <c r="G198" i="7942"/>
  <c r="G262" i="7942"/>
  <c r="G231" i="7942"/>
  <c r="G199" i="7942"/>
  <c r="G263" i="7942"/>
  <c r="G3" i="7944"/>
  <c r="K68" i="7944"/>
  <c r="K69" i="7944"/>
  <c r="J68" i="7944"/>
  <c r="J69" i="7944"/>
  <c r="I68" i="7944"/>
  <c r="I69" i="7944"/>
  <c r="H68" i="7944"/>
  <c r="H69" i="7944"/>
  <c r="G22" i="7944"/>
  <c r="G36" i="7944"/>
  <c r="G68" i="7944"/>
  <c r="G37" i="7944"/>
  <c r="G69" i="7944"/>
  <c r="Q40" i="7944"/>
  <c r="Q41" i="7944"/>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19" i="7942"/>
  <c r="G187" i="7942"/>
  <c r="G251" i="7942"/>
  <c r="G232" i="7942"/>
  <c r="G200" i="7942"/>
  <c r="G264" i="7942"/>
  <c r="G233" i="7942"/>
  <c r="G201" i="7942"/>
  <c r="G265" i="7942"/>
  <c r="G234" i="7942"/>
  <c r="G202" i="7942"/>
  <c r="G266" i="7942"/>
  <c r="G26" i="7942"/>
  <c r="H40" i="1"/>
  <c r="G40" i="1"/>
  <c r="C35" i="7944"/>
  <c r="C36" i="7944"/>
  <c r="C37" i="7944"/>
  <c r="C67" i="7944"/>
  <c r="C68" i="7944"/>
  <c r="C69" i="7944"/>
  <c r="B450" i="7944"/>
  <c r="C463" i="7944"/>
  <c r="B464" i="7944"/>
  <c r="C477" i="7944"/>
  <c r="B478" i="7944"/>
  <c r="C491" i="7944"/>
  <c r="H3" i="7941"/>
  <c r="I3" i="7941"/>
  <c r="J3" i="7941"/>
  <c r="K3" i="7941"/>
  <c r="L3" i="7941"/>
  <c r="M3" i="7941"/>
  <c r="D34" i="7941"/>
  <c r="D35" i="7941"/>
  <c r="D36" i="7941"/>
  <c r="D66" i="7941"/>
  <c r="D67" i="7941"/>
  <c r="D68" i="7941"/>
  <c r="D98" i="7941"/>
  <c r="D99" i="7941"/>
  <c r="D100" i="7941"/>
  <c r="D130" i="7941"/>
  <c r="D131" i="7941"/>
  <c r="D132" i="7941"/>
  <c r="D162" i="7941"/>
  <c r="D163" i="7941"/>
  <c r="D164" i="7941"/>
  <c r="D194" i="7941"/>
  <c r="D195" i="7941"/>
  <c r="D196" i="7941"/>
  <c r="D226" i="7941"/>
  <c r="D227" i="7941"/>
  <c r="D228" i="7941"/>
  <c r="D258" i="7941"/>
  <c r="D259" i="7941"/>
  <c r="D260" i="7941"/>
  <c r="G171" i="1"/>
  <c r="G40" i="7942"/>
  <c r="G172" i="1"/>
  <c r="G41" i="7942"/>
  <c r="D290" i="7941"/>
  <c r="D291" i="7941"/>
  <c r="D292" i="7941"/>
  <c r="D322" i="7941"/>
  <c r="D323" i="7941"/>
  <c r="D324" i="7941"/>
  <c r="D354" i="7941"/>
  <c r="D355" i="7941"/>
  <c r="D356" i="7941"/>
  <c r="D386" i="7941"/>
  <c r="D387" i="7941"/>
  <c r="D388" i="7941"/>
  <c r="G7" i="18"/>
  <c r="D39" i="18"/>
  <c r="D40" i="18"/>
  <c r="D41" i="18"/>
  <c r="C395" i="18"/>
  <c r="D407" i="18"/>
  <c r="C408" i="18"/>
  <c r="D420" i="18"/>
  <c r="C421" i="18"/>
  <c r="D433" i="18"/>
  <c r="D465" i="18"/>
  <c r="D466" i="18"/>
  <c r="D467" i="18"/>
  <c r="D497" i="18"/>
  <c r="D498" i="18"/>
  <c r="D499" i="18"/>
  <c r="D529" i="18"/>
  <c r="D530" i="18"/>
  <c r="D531" i="18"/>
  <c r="G533" i="18"/>
  <c r="D561" i="18"/>
  <c r="D562" i="18"/>
  <c r="D563" i="18"/>
  <c r="G565" i="18"/>
  <c r="D593" i="18"/>
  <c r="D594" i="18"/>
  <c r="D595" i="18"/>
  <c r="G597" i="18"/>
  <c r="D625" i="18"/>
  <c r="D626" i="18"/>
  <c r="D627" i="18"/>
  <c r="D659" i="18"/>
  <c r="D660" i="18"/>
  <c r="D661" i="18"/>
  <c r="D693" i="18"/>
  <c r="D694" i="18"/>
  <c r="D695" i="18"/>
  <c r="C39" i="7942"/>
  <c r="C40" i="7942"/>
  <c r="C41" i="7942"/>
  <c r="C71" i="7942"/>
  <c r="C72" i="7942"/>
  <c r="C73" i="7942"/>
  <c r="C103" i="7942"/>
  <c r="C104" i="7942"/>
  <c r="C105" i="7942"/>
  <c r="C162" i="7942"/>
  <c r="C164" i="7942"/>
  <c r="C166" i="7942"/>
  <c r="G172" i="7942"/>
  <c r="C200" i="7942"/>
  <c r="C201" i="7942"/>
  <c r="C202" i="7942"/>
  <c r="G204" i="7942"/>
  <c r="C232" i="7942"/>
  <c r="C233" i="7942"/>
  <c r="C234" i="7942"/>
  <c r="G236" i="7942"/>
  <c r="C264" i="7942"/>
  <c r="C265" i="7942"/>
  <c r="C266" i="7942"/>
  <c r="C323" i="7942"/>
  <c r="C325" i="7942"/>
  <c r="C327" i="7942"/>
  <c r="C361" i="7942"/>
  <c r="C362" i="7942"/>
  <c r="C363" i="7942"/>
  <c r="C393" i="7942"/>
  <c r="C394" i="7942"/>
  <c r="C395" i="7942"/>
  <c r="C425" i="7942"/>
  <c r="C426" i="7942"/>
  <c r="C427" i="7942"/>
  <c r="G429" i="7942"/>
  <c r="C457" i="7942"/>
  <c r="C458" i="7942"/>
  <c r="C459" i="7942"/>
  <c r="G461" i="7942"/>
  <c r="C489" i="7942"/>
  <c r="C490" i="7942"/>
  <c r="C491" i="7942"/>
  <c r="G493" i="7942"/>
  <c r="C521" i="7942"/>
  <c r="C522" i="7942"/>
  <c r="C523" i="7942"/>
  <c r="F5" i="1"/>
  <c r="O37" i="1"/>
  <c r="P37" i="1"/>
  <c r="Q37" i="1"/>
  <c r="R37" i="1"/>
  <c r="F68" i="1"/>
  <c r="F69" i="1"/>
  <c r="F70" i="1"/>
  <c r="M71" i="1"/>
  <c r="N71" i="1"/>
  <c r="O71" i="1"/>
  <c r="P71" i="1"/>
  <c r="Q71" i="1"/>
  <c r="F102" i="1"/>
  <c r="F103" i="1"/>
  <c r="F104" i="1"/>
  <c r="M105" i="1"/>
  <c r="N105" i="1"/>
  <c r="O105" i="1"/>
  <c r="P105" i="1"/>
  <c r="Q105" i="1"/>
  <c r="F136" i="1"/>
  <c r="F137" i="1"/>
  <c r="F138" i="1"/>
  <c r="G139" i="1"/>
  <c r="H139" i="1"/>
  <c r="I139" i="1"/>
  <c r="J139" i="1"/>
  <c r="K139" i="1"/>
  <c r="L139" i="1"/>
  <c r="M139" i="1"/>
  <c r="R140" i="1"/>
  <c r="N139" i="1"/>
  <c r="O139" i="1"/>
  <c r="P139" i="1"/>
  <c r="Q139" i="1"/>
  <c r="F141" i="1"/>
  <c r="F170" i="1"/>
  <c r="F171" i="1"/>
  <c r="F172" i="1"/>
  <c r="G227" i="7941"/>
  <c r="H74" i="1"/>
  <c r="H108" i="1"/>
  <c r="H142" i="1"/>
  <c r="H176" i="1"/>
  <c r="H3" i="7944"/>
  <c r="G478" i="7944"/>
  <c r="G464" i="7944"/>
  <c r="G268" i="7944"/>
  <c r="G85" i="7941"/>
  <c r="H4" i="7942"/>
  <c r="H4" i="18"/>
  <c r="H4" i="7941"/>
  <c r="H4" i="7944"/>
  <c r="G4" i="7944"/>
  <c r="G4" i="18"/>
  <c r="G4" i="7941"/>
  <c r="G4" i="7942"/>
  <c r="F4" i="7942"/>
  <c r="F4" i="18"/>
  <c r="G142" i="1"/>
  <c r="G176" i="1"/>
  <c r="G74" i="1"/>
  <c r="G108" i="1"/>
  <c r="I40" i="1"/>
  <c r="G166" i="7941"/>
  <c r="G134" i="7941"/>
  <c r="M39" i="7944"/>
  <c r="Q39" i="7944"/>
  <c r="H478" i="7944"/>
  <c r="H466" i="7944"/>
  <c r="H363" i="7942"/>
  <c r="H36" i="7941"/>
  <c r="O39" i="7944"/>
  <c r="I3" i="7944"/>
  <c r="H464" i="7944"/>
  <c r="H480" i="7944"/>
  <c r="H466" i="18"/>
  <c r="H467" i="18"/>
  <c r="I3" i="18"/>
  <c r="I343" i="18"/>
  <c r="I355" i="18"/>
  <c r="I655" i="18"/>
  <c r="G281" i="7944"/>
  <c r="G491" i="7944"/>
  <c r="H37" i="7944"/>
  <c r="G477" i="7944"/>
  <c r="H36" i="7944"/>
  <c r="H477" i="7944"/>
  <c r="I36" i="7944"/>
  <c r="H268" i="7944"/>
  <c r="I4" i="7944"/>
  <c r="I4" i="18"/>
  <c r="J40" i="1"/>
  <c r="I4" i="7941"/>
  <c r="I4" i="7942"/>
  <c r="I142" i="1"/>
  <c r="I176" i="1"/>
  <c r="I74" i="1"/>
  <c r="I108" i="1"/>
  <c r="J3" i="18"/>
  <c r="J252" i="18"/>
  <c r="J264" i="18"/>
  <c r="J648" i="18"/>
  <c r="I466" i="7944"/>
  <c r="I467" i="7944"/>
  <c r="I478" i="7944"/>
  <c r="I480" i="7944"/>
  <c r="I481" i="7944"/>
  <c r="J3" i="7944"/>
  <c r="I268" i="7944"/>
  <c r="I464" i="7944"/>
  <c r="H491" i="7944"/>
  <c r="I37" i="7944"/>
  <c r="H695" i="18"/>
  <c r="H694" i="18"/>
  <c r="I477" i="7944"/>
  <c r="J36" i="7944"/>
  <c r="J4" i="7944"/>
  <c r="K40" i="1"/>
  <c r="J4" i="7941"/>
  <c r="J4" i="7942"/>
  <c r="J142" i="1"/>
  <c r="J176" i="1"/>
  <c r="J4" i="18"/>
  <c r="J74" i="1"/>
  <c r="J108" i="1"/>
  <c r="K3" i="7944"/>
  <c r="J268" i="7944"/>
  <c r="J464" i="7944"/>
  <c r="J468" i="7944"/>
  <c r="J480" i="7944"/>
  <c r="J481" i="7944"/>
  <c r="J466" i="7944"/>
  <c r="J467" i="7944"/>
  <c r="J478" i="7944"/>
  <c r="J482" i="7944"/>
  <c r="I491" i="7944"/>
  <c r="J37" i="7944"/>
  <c r="K3" i="18"/>
  <c r="K4" i="7944"/>
  <c r="K4" i="18"/>
  <c r="L40" i="1"/>
  <c r="K4" i="7941"/>
  <c r="K4" i="7942"/>
  <c r="K142" i="1"/>
  <c r="K176" i="1"/>
  <c r="K74" i="1"/>
  <c r="K108" i="1"/>
  <c r="L3" i="18"/>
  <c r="J491" i="7944"/>
  <c r="K37" i="7944"/>
  <c r="J477" i="7944"/>
  <c r="K36" i="7944"/>
  <c r="K466" i="7944"/>
  <c r="K467" i="7944"/>
  <c r="K478" i="7944"/>
  <c r="K482" i="7944"/>
  <c r="K483" i="7944"/>
  <c r="L3" i="7944"/>
  <c r="K268" i="7944"/>
  <c r="K464" i="7944"/>
  <c r="K468" i="7944"/>
  <c r="K469" i="7944"/>
  <c r="K480" i="7944"/>
  <c r="K481" i="7944"/>
  <c r="L482" i="7944"/>
  <c r="K477" i="7944"/>
  <c r="L4" i="7944"/>
  <c r="M40" i="1"/>
  <c r="L4" i="7941"/>
  <c r="L4" i="7942"/>
  <c r="L176" i="1"/>
  <c r="L4" i="18"/>
  <c r="L74" i="1"/>
  <c r="L108" i="1"/>
  <c r="L142" i="1"/>
  <c r="K491" i="7944"/>
  <c r="L37" i="7944"/>
  <c r="L268" i="7944"/>
  <c r="L464" i="7944"/>
  <c r="L468" i="7944"/>
  <c r="L469" i="7944"/>
  <c r="L480" i="7944"/>
  <c r="J414" i="7945"/>
  <c r="L481" i="7944"/>
  <c r="L484" i="7944"/>
  <c r="L470" i="7944"/>
  <c r="L483" i="7944"/>
  <c r="L466" i="7944"/>
  <c r="J400" i="7945"/>
  <c r="L467" i="7944"/>
  <c r="L478" i="7944"/>
  <c r="M3" i="7944"/>
  <c r="L36" i="7944"/>
  <c r="M3" i="18"/>
  <c r="M59" i="18"/>
  <c r="L491" i="7944"/>
  <c r="M37" i="7944"/>
  <c r="M4" i="7944"/>
  <c r="M4" i="18"/>
  <c r="N40" i="1"/>
  <c r="M4" i="7941"/>
  <c r="M4" i="7942"/>
  <c r="M142" i="1"/>
  <c r="M176" i="1"/>
  <c r="M74" i="1"/>
  <c r="M108" i="1"/>
  <c r="N3" i="7944"/>
  <c r="M464" i="7944"/>
  <c r="M467" i="7944"/>
  <c r="M469" i="7944"/>
  <c r="M471" i="7944"/>
  <c r="M480" i="7944"/>
  <c r="M482" i="7944"/>
  <c r="M484" i="7944"/>
  <c r="M268" i="7944"/>
  <c r="M466" i="7944"/>
  <c r="M468" i="7944"/>
  <c r="M470" i="7944"/>
  <c r="M478" i="7944"/>
  <c r="M481" i="7944"/>
  <c r="M483" i="7944"/>
  <c r="M485" i="7944"/>
  <c r="L477" i="7944"/>
  <c r="M36" i="7944"/>
  <c r="M408" i="18"/>
  <c r="M421" i="18"/>
  <c r="N3" i="18"/>
  <c r="N4" i="7944"/>
  <c r="O40" i="1"/>
  <c r="N4" i="7941"/>
  <c r="N4" i="7942"/>
  <c r="N176" i="1"/>
  <c r="N4" i="18"/>
  <c r="N74" i="1"/>
  <c r="N108" i="1"/>
  <c r="N142" i="1"/>
  <c r="N408" i="18"/>
  <c r="O3" i="18"/>
  <c r="O421" i="18"/>
  <c r="N421" i="18"/>
  <c r="N268" i="7944"/>
  <c r="N466" i="7944"/>
  <c r="N468" i="7944"/>
  <c r="N470" i="7944"/>
  <c r="N478" i="7944"/>
  <c r="N481" i="7944"/>
  <c r="N483" i="7944"/>
  <c r="N485" i="7944"/>
  <c r="N486" i="7944"/>
  <c r="O3" i="7944"/>
  <c r="N276" i="7944"/>
  <c r="N464" i="7944"/>
  <c r="N467" i="7944"/>
  <c r="N469" i="7944"/>
  <c r="N471" i="7944"/>
  <c r="N472" i="7944"/>
  <c r="N480" i="7944"/>
  <c r="N482" i="7944"/>
  <c r="N484" i="7944"/>
  <c r="O4" i="7944"/>
  <c r="O4" i="18"/>
  <c r="P40" i="1"/>
  <c r="O4" i="7941"/>
  <c r="O4" i="7942"/>
  <c r="O142" i="1"/>
  <c r="O176" i="1"/>
  <c r="O74" i="1"/>
  <c r="O108" i="1"/>
  <c r="P3" i="7944"/>
  <c r="O276" i="7944"/>
  <c r="O464" i="7944"/>
  <c r="O467" i="7944"/>
  <c r="O469" i="7944"/>
  <c r="O471" i="7944"/>
  <c r="O472" i="7944"/>
  <c r="O480" i="7944"/>
  <c r="O482" i="7944"/>
  <c r="O484" i="7944"/>
  <c r="O487" i="7944"/>
  <c r="O268" i="7944"/>
  <c r="O277" i="7944"/>
  <c r="O466" i="7944"/>
  <c r="O468" i="7944"/>
  <c r="O470" i="7944"/>
  <c r="O473" i="7944"/>
  <c r="O478" i="7944"/>
  <c r="O481" i="7944"/>
  <c r="O483" i="7944"/>
  <c r="O485" i="7944"/>
  <c r="O486" i="7944"/>
  <c r="P3" i="18"/>
  <c r="P408" i="18"/>
  <c r="O408" i="18"/>
  <c r="P4" i="7944"/>
  <c r="Q40" i="1"/>
  <c r="P4" i="7941"/>
  <c r="P4" i="7942"/>
  <c r="P142" i="1"/>
  <c r="P176" i="1"/>
  <c r="P4" i="18"/>
  <c r="P74" i="1"/>
  <c r="P108" i="1"/>
  <c r="P268" i="7944"/>
  <c r="P277" i="7944"/>
  <c r="P278" i="7944"/>
  <c r="P466" i="7944"/>
  <c r="P468" i="7944"/>
  <c r="P470" i="7944"/>
  <c r="P473" i="7944"/>
  <c r="P474" i="7944"/>
  <c r="P478" i="7944"/>
  <c r="P481" i="7944"/>
  <c r="P483" i="7944"/>
  <c r="P485" i="7944"/>
  <c r="P486" i="7944"/>
  <c r="Q3" i="7944"/>
  <c r="P276" i="7944"/>
  <c r="P464" i="7944"/>
  <c r="P467" i="7944"/>
  <c r="P469" i="7944"/>
  <c r="P471" i="7944"/>
  <c r="P472" i="7944"/>
  <c r="P480" i="7944"/>
  <c r="P482" i="7944"/>
  <c r="P484" i="7944"/>
  <c r="P487" i="7944"/>
  <c r="P488" i="7944"/>
  <c r="Q3" i="18"/>
  <c r="Q421" i="18"/>
  <c r="Q4" i="7944"/>
  <c r="R4" i="7944"/>
  <c r="Q4" i="18"/>
  <c r="R4" i="18"/>
  <c r="Q4" i="7941"/>
  <c r="Q4" i="7942"/>
  <c r="Q142" i="1"/>
  <c r="Q176" i="1"/>
  <c r="Q74" i="1"/>
  <c r="Q108" i="1"/>
  <c r="R3" i="18"/>
  <c r="Q408" i="18"/>
  <c r="R3" i="7944"/>
  <c r="Q276" i="7944"/>
  <c r="Q279" i="7944"/>
  <c r="Q464" i="7944"/>
  <c r="Q467" i="7944"/>
  <c r="Q469" i="7944"/>
  <c r="Q471" i="7944"/>
  <c r="Q472" i="7944"/>
  <c r="Q475" i="7944"/>
  <c r="Q480" i="7944"/>
  <c r="Q482" i="7944"/>
  <c r="Q484" i="7944"/>
  <c r="Q487" i="7944"/>
  <c r="Q488" i="7944"/>
  <c r="Q268" i="7944"/>
  <c r="Q277" i="7944"/>
  <c r="Q278" i="7944"/>
  <c r="Q466" i="7944"/>
  <c r="Q468" i="7944"/>
  <c r="Q470" i="7944"/>
  <c r="Q473" i="7944"/>
  <c r="Q474" i="7944"/>
  <c r="Q478" i="7944"/>
  <c r="Q481" i="7944"/>
  <c r="Q483" i="7944"/>
  <c r="Q485" i="7944"/>
  <c r="Q486" i="7944"/>
  <c r="Q489" i="7944"/>
  <c r="G54" i="7944"/>
  <c r="H22" i="7944"/>
  <c r="G157" i="1"/>
  <c r="H270" i="7944"/>
  <c r="H281" i="7944"/>
  <c r="I270" i="7944"/>
  <c r="J270" i="7944"/>
  <c r="K270" i="7944"/>
  <c r="L270" i="7944"/>
  <c r="M270" i="7944"/>
  <c r="J204" i="7945"/>
  <c r="N270" i="7944"/>
  <c r="O270" i="7944"/>
  <c r="P270" i="7944"/>
  <c r="Q270" i="7944"/>
  <c r="L274" i="7944"/>
  <c r="K54" i="7944"/>
  <c r="M275" i="7944"/>
  <c r="M274" i="7944"/>
  <c r="N274" i="7944"/>
  <c r="O274" i="7944"/>
  <c r="P274" i="7944"/>
  <c r="Q274" i="7944"/>
  <c r="N275" i="7944"/>
  <c r="O275" i="7944"/>
  <c r="P275" i="7944"/>
  <c r="Q275" i="7944"/>
  <c r="J54" i="7944"/>
  <c r="K273" i="7944"/>
  <c r="L273" i="7944"/>
  <c r="M273" i="7944"/>
  <c r="N273" i="7944"/>
  <c r="O273" i="7944"/>
  <c r="P273" i="7944"/>
  <c r="Q273" i="7944"/>
  <c r="G213" i="7941"/>
  <c r="I54" i="7944"/>
  <c r="J272" i="7944"/>
  <c r="I271" i="7944"/>
  <c r="H54" i="7944"/>
  <c r="I281" i="7944"/>
  <c r="K272" i="7944"/>
  <c r="L272" i="7944"/>
  <c r="J271" i="7944"/>
  <c r="I22" i="7944"/>
  <c r="M272" i="7944"/>
  <c r="N272" i="7944"/>
  <c r="J281" i="7944"/>
  <c r="K271" i="7944"/>
  <c r="L271" i="7944"/>
  <c r="L281" i="7944"/>
  <c r="J22" i="7944"/>
  <c r="O272" i="7944"/>
  <c r="P272" i="7944"/>
  <c r="Q272" i="7944"/>
  <c r="K281" i="7944"/>
  <c r="M271" i="7944"/>
  <c r="N271" i="7944"/>
  <c r="K22" i="7944"/>
  <c r="O271" i="7944"/>
  <c r="P271" i="7944"/>
  <c r="Q271" i="7944"/>
  <c r="L22" i="7944"/>
  <c r="M22" i="7944"/>
  <c r="K6" i="18"/>
  <c r="O6" i="18"/>
  <c r="N6" i="18"/>
  <c r="M6" i="18"/>
  <c r="P6" i="18"/>
  <c r="Q6" i="18"/>
  <c r="O7" i="7942"/>
  <c r="J105" i="1"/>
  <c r="G146" i="1"/>
  <c r="G150" i="1"/>
  <c r="G154" i="1"/>
  <c r="G160" i="1"/>
  <c r="G57" i="7944"/>
  <c r="K57" i="7944"/>
  <c r="H58" i="7944"/>
  <c r="G168" i="1"/>
  <c r="G65" i="7944"/>
  <c r="K65" i="7944"/>
  <c r="I71" i="1"/>
  <c r="G145" i="1"/>
  <c r="G149" i="1"/>
  <c r="G153" i="1"/>
  <c r="G159" i="1"/>
  <c r="H57" i="7944"/>
  <c r="I58" i="7944"/>
  <c r="H65" i="7944"/>
  <c r="G105" i="1"/>
  <c r="K105" i="1"/>
  <c r="J71" i="1"/>
  <c r="G144" i="1"/>
  <c r="G148" i="1"/>
  <c r="G152" i="1"/>
  <c r="G156" i="1"/>
  <c r="G158" i="1"/>
  <c r="I57" i="7944"/>
  <c r="J58" i="7944"/>
  <c r="G162" i="1"/>
  <c r="G166" i="1"/>
  <c r="I65" i="7944"/>
  <c r="G170" i="1"/>
  <c r="H105" i="1"/>
  <c r="G164" i="1"/>
  <c r="G143" i="1"/>
  <c r="G71" i="1"/>
  <c r="K71" i="1"/>
  <c r="G147" i="1"/>
  <c r="G151" i="1"/>
  <c r="G155" i="1"/>
  <c r="J57" i="7944"/>
  <c r="G161" i="1"/>
  <c r="G58" i="7944"/>
  <c r="K58" i="7944"/>
  <c r="G163" i="1"/>
  <c r="G165" i="1"/>
  <c r="G167" i="1"/>
  <c r="J65" i="7944"/>
  <c r="G169" i="1"/>
  <c r="I105" i="1"/>
  <c r="L105" i="1"/>
  <c r="I39" i="7944"/>
  <c r="K39" i="7944"/>
  <c r="G173" i="1"/>
  <c r="G39" i="7944"/>
  <c r="J39" i="7944"/>
  <c r="R106" i="1"/>
  <c r="L6" i="18"/>
  <c r="G6" i="18"/>
  <c r="G694" i="18"/>
  <c r="G660" i="18"/>
  <c r="G680" i="18"/>
  <c r="G646" i="18"/>
  <c r="G695" i="18"/>
  <c r="G661" i="18"/>
  <c r="N428" i="18"/>
  <c r="O428" i="18"/>
  <c r="P428" i="18"/>
  <c r="Q428" i="18"/>
  <c r="N415" i="18"/>
  <c r="O415" i="18"/>
  <c r="P415" i="18"/>
  <c r="Q415" i="18"/>
  <c r="F420" i="7945"/>
  <c r="F406" i="7945"/>
  <c r="O429" i="18"/>
  <c r="O416" i="18"/>
  <c r="F421" i="7945"/>
  <c r="F407" i="7945"/>
  <c r="P417" i="18"/>
  <c r="Q417" i="18"/>
  <c r="P416" i="18"/>
  <c r="P430" i="18"/>
  <c r="Q430" i="18"/>
  <c r="P429" i="18"/>
  <c r="F422" i="7945"/>
  <c r="F408" i="7945"/>
  <c r="Q431" i="18"/>
  <c r="Q429" i="18"/>
  <c r="Q418" i="18"/>
  <c r="Q416" i="18"/>
  <c r="F423" i="7945"/>
  <c r="F409" i="7945"/>
  <c r="H180" i="1"/>
  <c r="I180" i="1"/>
  <c r="J180" i="1"/>
  <c r="K180" i="1"/>
  <c r="L180" i="1"/>
  <c r="M180" i="1"/>
  <c r="N180" i="1"/>
  <c r="O180" i="1"/>
  <c r="P180" i="1"/>
  <c r="Q180" i="1"/>
  <c r="M411" i="18"/>
  <c r="N411" i="18"/>
  <c r="O411" i="18"/>
  <c r="P411" i="18"/>
  <c r="Q411" i="18"/>
  <c r="M424" i="18"/>
  <c r="N424" i="18"/>
  <c r="O424" i="18"/>
  <c r="P424" i="18"/>
  <c r="Q424" i="18"/>
  <c r="F416" i="7945"/>
  <c r="F402" i="7945"/>
  <c r="M410" i="18"/>
  <c r="N410" i="18"/>
  <c r="O410" i="18"/>
  <c r="P410" i="18"/>
  <c r="Q410" i="18"/>
  <c r="M412" i="18"/>
  <c r="N412" i="18"/>
  <c r="O412" i="18"/>
  <c r="P412" i="18"/>
  <c r="Q412" i="18"/>
  <c r="M423" i="18"/>
  <c r="N423" i="18"/>
  <c r="O423" i="18"/>
  <c r="P423" i="18"/>
  <c r="Q423" i="18"/>
  <c r="F415" i="7945"/>
  <c r="F403" i="7945"/>
  <c r="M425" i="18"/>
  <c r="N425" i="18"/>
  <c r="O425" i="18"/>
  <c r="P425" i="18"/>
  <c r="Q425" i="18"/>
  <c r="M426" i="18"/>
  <c r="N426" i="18"/>
  <c r="O426" i="18"/>
  <c r="P426" i="18"/>
  <c r="Q426" i="18"/>
  <c r="M413" i="18"/>
  <c r="N413" i="18"/>
  <c r="O413" i="18"/>
  <c r="P413" i="18"/>
  <c r="Q413" i="18"/>
  <c r="F418" i="7945"/>
  <c r="F404" i="7945"/>
  <c r="F417" i="7945"/>
  <c r="F401" i="7945"/>
  <c r="M414" i="18"/>
  <c r="N414" i="18"/>
  <c r="O414" i="18"/>
  <c r="P414" i="18"/>
  <c r="Q414" i="18"/>
  <c r="M427" i="18"/>
  <c r="N427" i="18"/>
  <c r="O427" i="18"/>
  <c r="P427" i="18"/>
  <c r="Q427" i="18"/>
  <c r="Q7" i="7942"/>
  <c r="F424" i="7945"/>
  <c r="F419" i="7945"/>
  <c r="F410" i="7945"/>
  <c r="F405" i="7945"/>
  <c r="G416" i="7942"/>
  <c r="G520" i="18"/>
  <c r="G89" i="7941"/>
  <c r="G522" i="18"/>
  <c r="G91" i="7941"/>
  <c r="G524" i="18"/>
  <c r="G93" i="7941"/>
  <c r="G526" i="18"/>
  <c r="G95" i="7941"/>
  <c r="G528" i="18"/>
  <c r="G97" i="7941"/>
  <c r="G504" i="18"/>
  <c r="G73" i="7941"/>
  <c r="G506" i="18"/>
  <c r="G75" i="7941"/>
  <c r="G508" i="18"/>
  <c r="G77" i="7941"/>
  <c r="G510" i="18"/>
  <c r="G79" i="7941"/>
  <c r="G512" i="18"/>
  <c r="G81" i="7941"/>
  <c r="G514" i="18"/>
  <c r="G83" i="7941"/>
  <c r="G518" i="18"/>
  <c r="G87" i="7941"/>
  <c r="G523" i="18"/>
  <c r="G92" i="7941"/>
  <c r="G525" i="18"/>
  <c r="G94" i="7941"/>
  <c r="G423" i="7942"/>
  <c r="G527" i="18"/>
  <c r="G96" i="7941"/>
  <c r="G425" i="7942"/>
  <c r="G529" i="18"/>
  <c r="G98" i="7941"/>
  <c r="G503" i="18"/>
  <c r="G72" i="7941"/>
  <c r="G505" i="18"/>
  <c r="G74" i="7941"/>
  <c r="G507" i="18"/>
  <c r="G76" i="7941"/>
  <c r="G509" i="18"/>
  <c r="G78" i="7941"/>
  <c r="G511" i="18"/>
  <c r="G80" i="7941"/>
  <c r="G513" i="18"/>
  <c r="G82" i="7941"/>
  <c r="G515" i="18"/>
  <c r="G84" i="7941"/>
  <c r="G517" i="18"/>
  <c r="G86" i="7941"/>
  <c r="G415" i="7942"/>
  <c r="G519" i="18"/>
  <c r="G88" i="7941"/>
  <c r="G521" i="18"/>
  <c r="G90" i="7941"/>
  <c r="G38" i="7942"/>
  <c r="G496" i="18"/>
  <c r="G65" i="7941"/>
  <c r="G494" i="18"/>
  <c r="G63" i="7941"/>
  <c r="G36" i="7942"/>
  <c r="G492" i="18"/>
  <c r="G61" i="7941"/>
  <c r="H29" i="7941"/>
  <c r="G34" i="7942"/>
  <c r="G490" i="18"/>
  <c r="G59" i="7941"/>
  <c r="H27" i="7941"/>
  <c r="G32" i="7942"/>
  <c r="G383" i="7942"/>
  <c r="G487" i="18"/>
  <c r="G56" i="7941"/>
  <c r="H24" i="7941"/>
  <c r="G29" i="7942"/>
  <c r="G27" i="7942"/>
  <c r="G485" i="18"/>
  <c r="G54" i="7941"/>
  <c r="H22" i="7941"/>
  <c r="G482" i="18"/>
  <c r="G51" i="7941"/>
  <c r="G24" i="7942"/>
  <c r="G480" i="18"/>
  <c r="G49" i="7941"/>
  <c r="G22" i="7942"/>
  <c r="G478" i="18"/>
  <c r="G47" i="7941"/>
  <c r="G20" i="7942"/>
  <c r="G476" i="18"/>
  <c r="G45" i="7941"/>
  <c r="G18" i="7942"/>
  <c r="G474" i="18"/>
  <c r="G43" i="7941"/>
  <c r="H11" i="7941"/>
  <c r="G16" i="7942"/>
  <c r="G472" i="18"/>
  <c r="G41" i="7941"/>
  <c r="G14" i="7942"/>
  <c r="G30" i="7942"/>
  <c r="G384" i="7942"/>
  <c r="G488" i="18"/>
  <c r="G57" i="7941"/>
  <c r="G393" i="7942"/>
  <c r="G497" i="18"/>
  <c r="G66" i="7941"/>
  <c r="H34" i="7941"/>
  <c r="G39" i="7942"/>
  <c r="G37" i="7942"/>
  <c r="G391" i="7942"/>
  <c r="G495" i="18"/>
  <c r="G64" i="7941"/>
  <c r="H32" i="7941"/>
  <c r="G493" i="18"/>
  <c r="G62" i="7941"/>
  <c r="H30" i="7941"/>
  <c r="G35" i="7942"/>
  <c r="G33" i="7942"/>
  <c r="G491" i="18"/>
  <c r="G60" i="7941"/>
  <c r="G28" i="7942"/>
  <c r="G486" i="18"/>
  <c r="G55" i="7941"/>
  <c r="G25" i="7942"/>
  <c r="G483" i="18"/>
  <c r="G52" i="7941"/>
  <c r="H20" i="7941"/>
  <c r="G23" i="7942"/>
  <c r="G481" i="18"/>
  <c r="G50" i="7941"/>
  <c r="G21" i="7942"/>
  <c r="G479" i="18"/>
  <c r="G48" i="7941"/>
  <c r="H16" i="7941"/>
  <c r="G477" i="18"/>
  <c r="G46" i="7941"/>
  <c r="H14" i="7941"/>
  <c r="G19" i="7942"/>
  <c r="G17" i="7942"/>
  <c r="G475" i="18"/>
  <c r="G44" i="7941"/>
  <c r="G473" i="18"/>
  <c r="G42" i="7941"/>
  <c r="G15" i="7942"/>
  <c r="G13" i="7942"/>
  <c r="G471" i="18"/>
  <c r="G40" i="7941"/>
  <c r="N37" i="1"/>
  <c r="G489" i="18"/>
  <c r="G58" i="7941"/>
  <c r="G31" i="7942"/>
  <c r="G502" i="18"/>
  <c r="G397" i="7942"/>
  <c r="M37" i="1"/>
  <c r="G12" i="7942"/>
  <c r="G11" i="7942"/>
  <c r="G501" i="18"/>
  <c r="G71" i="7941"/>
  <c r="G70" i="7941"/>
  <c r="G365" i="7942"/>
  <c r="G470" i="18"/>
  <c r="G39" i="7941"/>
  <c r="H7" i="7941"/>
  <c r="G38" i="7941"/>
  <c r="G469" i="18"/>
  <c r="H71" i="1"/>
  <c r="H39" i="7944"/>
  <c r="L71" i="1"/>
  <c r="R72" i="1"/>
  <c r="L39" i="7944"/>
  <c r="Q334" i="7944"/>
  <c r="Q327" i="7944"/>
  <c r="Q333" i="7944"/>
  <c r="J327" i="7944"/>
  <c r="P330" i="7944"/>
  <c r="K327" i="7944"/>
  <c r="O328" i="7944"/>
  <c r="Q328" i="7944"/>
  <c r="P327" i="7944"/>
  <c r="P332" i="7944"/>
  <c r="L326" i="7944"/>
  <c r="M328" i="7944"/>
  <c r="P326" i="7944"/>
  <c r="I326" i="7944"/>
  <c r="M327" i="7944"/>
  <c r="Q330" i="7944"/>
  <c r="O329" i="7944"/>
  <c r="O330" i="7944"/>
  <c r="N327" i="7944"/>
  <c r="O326" i="7944"/>
  <c r="P329" i="7944"/>
  <c r="Q335" i="7944"/>
  <c r="J326" i="7944"/>
  <c r="N328" i="7944"/>
  <c r="N326" i="7944"/>
  <c r="Q326" i="7944"/>
  <c r="L329" i="7944"/>
  <c r="K326" i="7944"/>
  <c r="P262" i="7944"/>
  <c r="P259" i="7944"/>
  <c r="M256" i="7944"/>
  <c r="P263" i="7944"/>
  <c r="O258" i="7944"/>
  <c r="O257" i="7944"/>
  <c r="O256" i="7944"/>
  <c r="Q265" i="7944"/>
  <c r="Q257" i="7944"/>
  <c r="M258" i="7944"/>
  <c r="Q261" i="7944"/>
  <c r="O261" i="7944"/>
  <c r="P257" i="7944"/>
  <c r="O260" i="7944"/>
  <c r="O259" i="7944"/>
  <c r="Q258" i="7944"/>
  <c r="Q259" i="7944"/>
  <c r="P261" i="7944"/>
  <c r="N262" i="7944"/>
  <c r="N256" i="7944"/>
  <c r="N258" i="7944"/>
  <c r="M260" i="7944"/>
  <c r="M257" i="7944"/>
  <c r="Q260" i="7944"/>
  <c r="M259" i="7944"/>
  <c r="Q256" i="7944"/>
  <c r="P260" i="7944"/>
  <c r="N261" i="7944"/>
  <c r="P258" i="7944"/>
  <c r="P256" i="7944"/>
  <c r="M261" i="7944"/>
  <c r="Q264" i="7944"/>
  <c r="N260" i="7944"/>
  <c r="N257" i="7944"/>
  <c r="N259" i="7944"/>
  <c r="P264" i="7944"/>
  <c r="Q263" i="7944"/>
  <c r="O263" i="7944"/>
  <c r="Q262" i="7944"/>
  <c r="O262" i="7944"/>
  <c r="P163" i="18"/>
  <c r="P111" i="18"/>
  <c r="Q59" i="18"/>
  <c r="P173" i="7944"/>
  <c r="O176" i="7944"/>
  <c r="P175" i="7944"/>
  <c r="M176" i="7944"/>
  <c r="N172" i="7944"/>
  <c r="P172" i="7944"/>
  <c r="N173" i="7944"/>
  <c r="M177" i="7944"/>
  <c r="Q181" i="7944"/>
  <c r="O172" i="7944"/>
  <c r="P174" i="7944"/>
  <c r="Q176" i="7944"/>
  <c r="P180" i="7944"/>
  <c r="P178" i="7944"/>
  <c r="M172" i="7944"/>
  <c r="P176" i="7944"/>
  <c r="M174" i="7944"/>
  <c r="N177" i="7944"/>
  <c r="P179" i="7944"/>
  <c r="O173" i="7944"/>
  <c r="Q179" i="7944"/>
  <c r="O179" i="7944"/>
  <c r="O175" i="7944"/>
  <c r="O178" i="7944"/>
  <c r="Q172" i="7944"/>
  <c r="N174" i="7944"/>
  <c r="N178" i="7944"/>
  <c r="O174" i="7944"/>
  <c r="N176" i="7944"/>
  <c r="P177" i="7944"/>
  <c r="Q180" i="7944"/>
  <c r="M175" i="7944"/>
  <c r="Q177" i="7944"/>
  <c r="N175" i="7944"/>
  <c r="Q174" i="7944"/>
  <c r="Q175" i="7944"/>
  <c r="O177" i="7944"/>
  <c r="M173" i="7944"/>
  <c r="Q178" i="7944"/>
  <c r="Q173" i="7944"/>
  <c r="P108" i="7944"/>
  <c r="P106" i="7944"/>
  <c r="N106" i="7944"/>
  <c r="M106" i="7944"/>
  <c r="O106" i="7944"/>
  <c r="P102" i="7944"/>
  <c r="M104" i="7944"/>
  <c r="Q106" i="7944"/>
  <c r="N103" i="7944"/>
  <c r="Q107" i="7944"/>
  <c r="P104" i="7944"/>
  <c r="P105" i="7944"/>
  <c r="Q111" i="7944"/>
  <c r="O104" i="7944"/>
  <c r="Q104" i="7944"/>
  <c r="P110" i="7944"/>
  <c r="O109" i="7944"/>
  <c r="P103" i="7944"/>
  <c r="P109" i="7944"/>
  <c r="O108" i="7944"/>
  <c r="Q102" i="7944"/>
  <c r="Q108" i="7944"/>
  <c r="M107" i="7944"/>
  <c r="M102" i="7944"/>
  <c r="M103" i="7944"/>
  <c r="M105" i="7944"/>
  <c r="N102" i="7944"/>
  <c r="O103" i="7944"/>
  <c r="Q110" i="7944"/>
  <c r="O105" i="7944"/>
  <c r="N108" i="7944"/>
  <c r="N104" i="7944"/>
  <c r="Q109" i="7944"/>
  <c r="Q103" i="7944"/>
  <c r="P107" i="7944"/>
  <c r="N107" i="7944"/>
  <c r="O102" i="7944"/>
  <c r="Q105" i="7944"/>
  <c r="N105" i="7944"/>
  <c r="O107" i="7944"/>
  <c r="M442" i="7944"/>
  <c r="Q445" i="7944"/>
  <c r="Q438" i="7944"/>
  <c r="M440" i="7944"/>
  <c r="N442" i="7944"/>
  <c r="N443" i="7944"/>
  <c r="M443" i="7944"/>
  <c r="P441" i="7944"/>
  <c r="O445" i="7944"/>
  <c r="N439" i="7944"/>
  <c r="N440" i="7944"/>
  <c r="M441" i="7944"/>
  <c r="Q447" i="7944"/>
  <c r="P443" i="7944"/>
  <c r="O440" i="7944"/>
  <c r="Q442" i="7944"/>
  <c r="P446" i="7944"/>
  <c r="M438" i="7944"/>
  <c r="N441" i="7944"/>
  <c r="P440" i="7944"/>
  <c r="P438" i="7944"/>
  <c r="Q443" i="7944"/>
  <c r="P444" i="7944"/>
  <c r="O438" i="7944"/>
  <c r="M439" i="7944"/>
  <c r="N444" i="7944"/>
  <c r="O439" i="7944"/>
  <c r="Q440" i="7944"/>
  <c r="O444" i="7944"/>
  <c r="O441" i="7944"/>
  <c r="Q441" i="7944"/>
  <c r="P439" i="7944"/>
  <c r="O442" i="7944"/>
  <c r="P442" i="7944"/>
  <c r="P445" i="7944"/>
  <c r="Q444" i="7944"/>
  <c r="O443" i="7944"/>
  <c r="N438" i="7944"/>
  <c r="Q439" i="7944"/>
  <c r="Q446" i="7944"/>
  <c r="Q280" i="18"/>
  <c r="O220" i="18"/>
  <c r="P220" i="18"/>
  <c r="Q220" i="18"/>
  <c r="Q426" i="7944"/>
  <c r="P427" i="7944"/>
  <c r="L425" i="7944"/>
  <c r="K425" i="7944"/>
  <c r="K422" i="7944"/>
  <c r="K424" i="7944"/>
  <c r="K426" i="7944"/>
  <c r="K427" i="7944"/>
  <c r="K435" i="7944"/>
  <c r="Q430" i="7944"/>
  <c r="P429" i="7944"/>
  <c r="O430" i="7944"/>
  <c r="K359" i="7945"/>
  <c r="J424" i="7944"/>
  <c r="N426" i="7944"/>
  <c r="P430" i="7944"/>
  <c r="P424" i="7944"/>
  <c r="L426" i="7944"/>
  <c r="P431" i="7944"/>
  <c r="O427" i="7944"/>
  <c r="I424" i="7944"/>
  <c r="I422" i="7944"/>
  <c r="I425" i="7944"/>
  <c r="I435" i="7944"/>
  <c r="K368" i="7945"/>
  <c r="P426" i="7944"/>
  <c r="O426" i="7944"/>
  <c r="L424" i="7944"/>
  <c r="N428" i="7944"/>
  <c r="L427" i="7944"/>
  <c r="M428" i="7944"/>
  <c r="Q429" i="7944"/>
  <c r="M424" i="7944"/>
  <c r="Q427" i="7944"/>
  <c r="K366" i="7945"/>
  <c r="Q432" i="7944"/>
  <c r="M425" i="7944"/>
  <c r="O431" i="7944"/>
  <c r="K365" i="7945"/>
  <c r="N429" i="7944"/>
  <c r="K364" i="7945"/>
  <c r="L428" i="7944"/>
  <c r="O428" i="7944"/>
  <c r="M429" i="7944"/>
  <c r="O424" i="7944"/>
  <c r="Q428" i="7944"/>
  <c r="P428" i="7944"/>
  <c r="K367" i="7945"/>
  <c r="N427" i="7944"/>
  <c r="J426" i="7944"/>
  <c r="Q424" i="7944"/>
  <c r="K362" i="7945"/>
  <c r="O429" i="7944"/>
  <c r="Q425" i="7944"/>
  <c r="M427" i="7944"/>
  <c r="O425" i="7944"/>
  <c r="N424" i="7944"/>
  <c r="K363" i="7945"/>
  <c r="N430" i="7944"/>
  <c r="K360" i="7945"/>
  <c r="M426" i="7944"/>
  <c r="J425" i="7944"/>
  <c r="P425" i="7944"/>
  <c r="K361" i="7945"/>
  <c r="Q431" i="7944"/>
  <c r="H424" i="7944"/>
  <c r="Q433" i="7944"/>
  <c r="P432" i="7944"/>
  <c r="N425" i="7944"/>
  <c r="N358" i="7944"/>
  <c r="Q361" i="7944"/>
  <c r="P362" i="7944"/>
  <c r="P359" i="7944"/>
  <c r="O359" i="7944"/>
  <c r="P305" i="7944"/>
  <c r="Q301" i="7944"/>
  <c r="Q298" i="7944"/>
  <c r="O304" i="7944"/>
  <c r="O301" i="7944"/>
  <c r="P301" i="7944"/>
  <c r="N298" i="7944"/>
  <c r="Q304" i="7944"/>
  <c r="Q299" i="7944"/>
  <c r="Q303" i="7944"/>
  <c r="M303" i="7944"/>
  <c r="M299" i="7944"/>
  <c r="M302" i="7944"/>
  <c r="O300" i="7944"/>
  <c r="M298" i="7944"/>
  <c r="Q302" i="7944"/>
  <c r="P299" i="7944"/>
  <c r="O298" i="7944"/>
  <c r="P300" i="7944"/>
  <c r="O303" i="7944"/>
  <c r="Q306" i="7944"/>
  <c r="P298" i="7944"/>
  <c r="M301" i="7944"/>
  <c r="N304" i="7944"/>
  <c r="N301" i="7944"/>
  <c r="O302" i="7944"/>
  <c r="N299" i="7944"/>
  <c r="O299" i="7944"/>
  <c r="P302" i="7944"/>
  <c r="P303" i="7944"/>
  <c r="Q300" i="7944"/>
  <c r="P306" i="7944"/>
  <c r="Q307" i="7944"/>
  <c r="O305" i="7944"/>
  <c r="P304" i="7944"/>
  <c r="Q305" i="7944"/>
  <c r="N302" i="7944"/>
  <c r="N303" i="7944"/>
  <c r="M300" i="7944"/>
  <c r="N300" i="7944"/>
  <c r="O189" i="18"/>
  <c r="P137" i="18"/>
  <c r="O137" i="18"/>
  <c r="P378" i="18"/>
  <c r="N376" i="18"/>
  <c r="F361" i="7945"/>
  <c r="M371" i="18"/>
  <c r="N373" i="18"/>
  <c r="O372" i="18"/>
  <c r="M374" i="18"/>
  <c r="F359" i="7945"/>
  <c r="F360" i="7945"/>
  <c r="M372" i="18"/>
  <c r="Q377" i="18"/>
  <c r="Q379" i="18"/>
  <c r="F363" i="7945"/>
  <c r="P375" i="18"/>
  <c r="Q375" i="18"/>
  <c r="F366" i="7945"/>
  <c r="N371" i="18"/>
  <c r="M373" i="18"/>
  <c r="O371" i="18"/>
  <c r="O375" i="18"/>
  <c r="P374" i="18"/>
  <c r="P371" i="18"/>
  <c r="O206" i="7944"/>
  <c r="M202" i="7944"/>
  <c r="Q206" i="7944"/>
  <c r="P206" i="7944"/>
  <c r="P202" i="7944"/>
  <c r="Q201" i="7944"/>
  <c r="N200" i="7944"/>
  <c r="O204" i="7944"/>
  <c r="Q205" i="7944"/>
  <c r="Q207" i="7944"/>
  <c r="O201" i="7944"/>
  <c r="M203" i="7944"/>
  <c r="N202" i="7944"/>
  <c r="O202" i="7944"/>
  <c r="P203" i="7944"/>
  <c r="P200" i="7944"/>
  <c r="Q204" i="7944"/>
  <c r="M201" i="7944"/>
  <c r="N205" i="7944"/>
  <c r="P205" i="7944"/>
  <c r="N203" i="7944"/>
  <c r="Q202" i="7944"/>
  <c r="N204" i="7944"/>
  <c r="O207" i="7944"/>
  <c r="Q200" i="7944"/>
  <c r="Q203" i="7944"/>
  <c r="N206" i="7944"/>
  <c r="N201" i="7944"/>
  <c r="M205" i="7944"/>
  <c r="O203" i="7944"/>
  <c r="P201" i="7944"/>
  <c r="P204" i="7944"/>
  <c r="M200" i="7944"/>
  <c r="P207" i="7944"/>
  <c r="O205" i="7944"/>
  <c r="Q209" i="7944"/>
  <c r="Q208" i="7944"/>
  <c r="P208" i="7944"/>
  <c r="M204" i="7944"/>
  <c r="O200" i="7944"/>
  <c r="P151" i="7944"/>
  <c r="Q144" i="7944"/>
  <c r="Q147" i="7944"/>
  <c r="N148" i="7944"/>
  <c r="M148" i="7944"/>
  <c r="Q146" i="7944"/>
  <c r="P148" i="7944"/>
  <c r="O151" i="7944"/>
  <c r="Q150" i="7944"/>
  <c r="O145" i="7944"/>
  <c r="M149" i="7944"/>
  <c r="Q153" i="7944"/>
  <c r="O146" i="7944"/>
  <c r="N145" i="7944"/>
  <c r="P150" i="7944"/>
  <c r="N150" i="7944"/>
  <c r="M144" i="7944"/>
  <c r="P144" i="7944"/>
  <c r="O150" i="7944"/>
  <c r="P146" i="7944"/>
  <c r="N147" i="7944"/>
  <c r="Q152" i="7944"/>
  <c r="P149" i="7944"/>
  <c r="Q151" i="7944"/>
  <c r="M146" i="7944"/>
  <c r="M147" i="7944"/>
  <c r="P152" i="7944"/>
  <c r="O147" i="7944"/>
  <c r="N146" i="7944"/>
  <c r="Q145" i="7944"/>
  <c r="O149" i="7944"/>
  <c r="N149" i="7944"/>
  <c r="O148" i="7944"/>
  <c r="P145" i="7944"/>
  <c r="P147" i="7944"/>
  <c r="Q148" i="7944"/>
  <c r="M145" i="7944"/>
  <c r="N144" i="7944"/>
  <c r="O144" i="7944"/>
  <c r="Q149" i="7944"/>
  <c r="Q390" i="7944"/>
  <c r="N383" i="7944"/>
  <c r="M383" i="7944"/>
  <c r="Q382" i="7944"/>
  <c r="N386" i="7944"/>
  <c r="P382" i="7944"/>
  <c r="O384" i="7944"/>
  <c r="Q391" i="7944"/>
  <c r="N382" i="7944"/>
  <c r="P383" i="7944"/>
  <c r="P386" i="7944"/>
  <c r="O383" i="7944"/>
  <c r="P388" i="7944"/>
  <c r="O385" i="7944"/>
  <c r="P385" i="7944"/>
  <c r="Q389" i="7944"/>
  <c r="N388" i="7944"/>
  <c r="O389" i="7944"/>
  <c r="Q383" i="7944"/>
  <c r="Q388" i="7944"/>
  <c r="Q387" i="7944"/>
  <c r="M387" i="7944"/>
  <c r="P389" i="7944"/>
  <c r="P384" i="7944"/>
  <c r="M385" i="7944"/>
  <c r="O388" i="7944"/>
  <c r="O382" i="7944"/>
  <c r="P387" i="7944"/>
  <c r="M382" i="7944"/>
  <c r="Q385" i="7944"/>
  <c r="M386" i="7944"/>
  <c r="N384" i="7944"/>
  <c r="O387" i="7944"/>
  <c r="N385" i="7944"/>
  <c r="Q384" i="7944"/>
  <c r="Q386" i="7944"/>
  <c r="P390" i="7944"/>
  <c r="O386" i="7944"/>
  <c r="M384" i="7944"/>
  <c r="N387" i="7944"/>
  <c r="N410" i="7944"/>
  <c r="N414" i="7944"/>
  <c r="Q416" i="7944"/>
  <c r="M410" i="7944"/>
  <c r="M415" i="7944"/>
  <c r="O416" i="7944"/>
  <c r="P410" i="7944"/>
  <c r="Q411" i="7944"/>
  <c r="M414" i="7944"/>
  <c r="O410" i="7944"/>
  <c r="Q417" i="7944"/>
  <c r="N412" i="7944"/>
  <c r="Q410" i="7944"/>
  <c r="O413" i="7944"/>
  <c r="Q414" i="7944"/>
  <c r="O411" i="7944"/>
  <c r="O415" i="7944"/>
  <c r="Q419" i="7944"/>
  <c r="O412" i="7944"/>
  <c r="P412" i="7944"/>
  <c r="Q413" i="7944"/>
  <c r="M411" i="7944"/>
  <c r="O417" i="7944"/>
  <c r="Q412" i="7944"/>
  <c r="P416" i="7944"/>
  <c r="N413" i="7944"/>
  <c r="O414" i="7944"/>
  <c r="P415" i="7944"/>
  <c r="Q418" i="7944"/>
  <c r="P411" i="7944"/>
  <c r="P417" i="7944"/>
  <c r="Q415" i="7944"/>
  <c r="P413" i="7944"/>
  <c r="P418" i="7944"/>
  <c r="N415" i="7944"/>
  <c r="M413" i="7944"/>
  <c r="M412" i="7944"/>
  <c r="N411" i="7944"/>
  <c r="P414" i="7944"/>
  <c r="N416" i="7944"/>
  <c r="O450" i="7944"/>
  <c r="O122" i="7944"/>
  <c r="N116" i="7944"/>
  <c r="N119" i="7944"/>
  <c r="Q124" i="7944"/>
  <c r="Q125" i="7944"/>
  <c r="O116" i="7944"/>
  <c r="N122" i="7944"/>
  <c r="O118" i="7944"/>
  <c r="P123" i="7944"/>
  <c r="Q117" i="7944"/>
  <c r="P121" i="7944"/>
  <c r="O123" i="7944"/>
  <c r="Q118" i="7944"/>
  <c r="O119" i="7944"/>
  <c r="Q119" i="7944"/>
  <c r="Q123" i="7944"/>
  <c r="P119" i="7944"/>
  <c r="Q116" i="7944"/>
  <c r="Q120" i="7944"/>
  <c r="Q121" i="7944"/>
  <c r="M116" i="7944"/>
  <c r="P118" i="7944"/>
  <c r="M118" i="7944"/>
  <c r="P116" i="7944"/>
  <c r="M117" i="7944"/>
  <c r="N120" i="7944"/>
  <c r="P120" i="7944"/>
  <c r="M119" i="7944"/>
  <c r="N121" i="7944"/>
  <c r="M121" i="7944"/>
  <c r="P122" i="7944"/>
  <c r="Q122" i="7944"/>
  <c r="N118" i="7944"/>
  <c r="O121" i="7944"/>
  <c r="O117" i="7944"/>
  <c r="N117" i="7944"/>
  <c r="P117" i="7944"/>
  <c r="O120" i="7944"/>
  <c r="M120" i="7944"/>
  <c r="P124" i="7944"/>
  <c r="Q459" i="7944"/>
  <c r="O458" i="7944"/>
  <c r="M457" i="7944"/>
  <c r="N457" i="7944"/>
  <c r="O457" i="7944"/>
  <c r="P460" i="7944"/>
  <c r="N458" i="7944"/>
  <c r="M455" i="7944"/>
  <c r="N455" i="7944"/>
  <c r="Q460" i="7944"/>
  <c r="M453" i="7944"/>
  <c r="P459" i="7944"/>
  <c r="P458" i="7944"/>
  <c r="N456" i="7944"/>
  <c r="O456" i="7944"/>
  <c r="P456" i="7944"/>
  <c r="O459" i="7944"/>
  <c r="O455" i="7944"/>
  <c r="Q461" i="7944"/>
  <c r="Q458" i="7944"/>
  <c r="P457" i="7944"/>
  <c r="Q457" i="7944"/>
  <c r="M456" i="7944"/>
  <c r="Q456" i="7944"/>
  <c r="O403" i="7944"/>
  <c r="Q404" i="7944"/>
  <c r="N402" i="7944"/>
  <c r="P403" i="7944"/>
  <c r="O402" i="7944"/>
  <c r="M398" i="7944"/>
  <c r="N398" i="7944"/>
  <c r="P401" i="7944"/>
  <c r="P404" i="7944"/>
  <c r="M399" i="7944"/>
  <c r="O399" i="7944"/>
  <c r="P400" i="7944"/>
  <c r="Q401" i="7944"/>
  <c r="M400" i="7944"/>
  <c r="Q405" i="7944"/>
  <c r="M397" i="7944"/>
  <c r="O400" i="7944"/>
  <c r="N401" i="7944"/>
  <c r="M401" i="7944"/>
  <c r="N399" i="7944"/>
  <c r="O401" i="7944"/>
  <c r="N400" i="7944"/>
  <c r="Q403" i="7944"/>
  <c r="Q402" i="7944"/>
  <c r="P402" i="7944"/>
  <c r="Q342" i="7944"/>
  <c r="M344" i="7944"/>
  <c r="P347" i="7944"/>
  <c r="O341" i="7944"/>
  <c r="P342" i="7944"/>
  <c r="P341" i="7944"/>
  <c r="O343" i="7944"/>
  <c r="P343" i="7944"/>
  <c r="O345" i="7944"/>
  <c r="Q347" i="7944"/>
  <c r="N346" i="7944"/>
  <c r="N344" i="7944"/>
  <c r="N343" i="7944"/>
  <c r="M340" i="7944"/>
  <c r="Q344" i="7944"/>
  <c r="Q341" i="7944"/>
  <c r="P345" i="7944"/>
  <c r="Q349" i="7944"/>
  <c r="N340" i="7944"/>
  <c r="O346" i="7944"/>
  <c r="Q340" i="7944"/>
  <c r="N341" i="7944"/>
  <c r="P344" i="7944"/>
  <c r="P346" i="7944"/>
  <c r="P340" i="7944"/>
  <c r="M341" i="7944"/>
  <c r="P348" i="7944"/>
  <c r="O344" i="7944"/>
  <c r="M345" i="7944"/>
  <c r="O342" i="7944"/>
  <c r="N345" i="7944"/>
  <c r="Q343" i="7944"/>
  <c r="M343" i="7944"/>
  <c r="M342" i="7944"/>
  <c r="N342" i="7944"/>
  <c r="O347" i="7944"/>
  <c r="O340" i="7944"/>
  <c r="Q348" i="7944"/>
  <c r="Q346" i="7944"/>
  <c r="Q345" i="7944"/>
  <c r="O319" i="7944"/>
  <c r="P319" i="7944"/>
  <c r="K248" i="7945"/>
  <c r="Q314" i="7944"/>
  <c r="O313" i="7944"/>
  <c r="J313" i="7944"/>
  <c r="N316" i="7944"/>
  <c r="O315" i="7944"/>
  <c r="M316" i="7944"/>
  <c r="Q318" i="7944"/>
  <c r="P312" i="7944"/>
  <c r="P316" i="7944"/>
  <c r="P314" i="7944"/>
  <c r="L312" i="7944"/>
  <c r="M313" i="7944"/>
  <c r="O316" i="7944"/>
  <c r="K249" i="7945"/>
  <c r="K312" i="7944"/>
  <c r="K250" i="7945"/>
  <c r="Q315" i="7944"/>
  <c r="N317" i="7944"/>
  <c r="K255" i="7945"/>
  <c r="K314" i="7944"/>
  <c r="K254" i="7945"/>
  <c r="Q319" i="7944"/>
  <c r="O312" i="7944"/>
  <c r="L316" i="7944"/>
  <c r="N313" i="7944"/>
  <c r="J314" i="7944"/>
  <c r="Q312" i="7944"/>
  <c r="L315" i="7944"/>
  <c r="N318" i="7944"/>
  <c r="Q288" i="7944"/>
  <c r="N285" i="7944"/>
  <c r="Q293" i="7944"/>
  <c r="P286" i="7944"/>
  <c r="Q287" i="7944"/>
  <c r="M285" i="7944"/>
  <c r="O286" i="7944"/>
  <c r="Q285" i="7944"/>
  <c r="N289" i="7944"/>
  <c r="O290" i="7944"/>
  <c r="N287" i="7944"/>
  <c r="O289" i="7944"/>
  <c r="P291" i="7944"/>
  <c r="Q284" i="7944"/>
  <c r="N286" i="7944"/>
  <c r="O288" i="7944"/>
  <c r="N288" i="7944"/>
  <c r="M287" i="7944"/>
  <c r="M284" i="7944"/>
  <c r="P287" i="7944"/>
  <c r="P288" i="7944"/>
  <c r="M286" i="7944"/>
  <c r="Q289" i="7944"/>
  <c r="Q286" i="7944"/>
  <c r="Q290" i="7944"/>
  <c r="P290" i="7944"/>
  <c r="O287" i="7944"/>
  <c r="Q291" i="7944"/>
  <c r="O284" i="7944"/>
  <c r="O285" i="7944"/>
  <c r="M288" i="7944"/>
  <c r="Q292" i="7944"/>
  <c r="P284" i="7944"/>
  <c r="N290" i="7944"/>
  <c r="P285" i="7944"/>
  <c r="M289" i="7944"/>
  <c r="O291" i="7944"/>
  <c r="P292" i="7944"/>
  <c r="N284" i="7944"/>
  <c r="P289" i="7944"/>
  <c r="O249" i="7944"/>
  <c r="O242" i="7944"/>
  <c r="M245" i="7944"/>
  <c r="N246" i="7944"/>
  <c r="M244" i="7944"/>
  <c r="O246" i="7944"/>
  <c r="Q251" i="7944"/>
  <c r="P244" i="7944"/>
  <c r="Q246" i="7944"/>
  <c r="O247" i="7944"/>
  <c r="P248" i="7944"/>
  <c r="Q243" i="7944"/>
  <c r="O243" i="7944"/>
  <c r="N248" i="7944"/>
  <c r="O248" i="7944"/>
  <c r="P242" i="7944"/>
  <c r="N245" i="7944"/>
  <c r="Q242" i="7944"/>
  <c r="Q248" i="7944"/>
  <c r="O244" i="7944"/>
  <c r="Q244" i="7944"/>
  <c r="Q250" i="7944"/>
  <c r="M243" i="7944"/>
  <c r="M247" i="7944"/>
  <c r="M242" i="7944"/>
  <c r="P245" i="7944"/>
  <c r="P249" i="7944"/>
  <c r="Q249" i="7944"/>
  <c r="Q245" i="7944"/>
  <c r="N247" i="7944"/>
  <c r="Q247" i="7944"/>
  <c r="O245" i="7944"/>
  <c r="N244" i="7944"/>
  <c r="P246" i="7944"/>
  <c r="N243" i="7944"/>
  <c r="M246" i="7944"/>
  <c r="P243" i="7944"/>
  <c r="P250" i="7944"/>
  <c r="P247" i="7944"/>
  <c r="N242" i="7944"/>
  <c r="P150" i="18"/>
  <c r="O150" i="18"/>
  <c r="P72" i="18"/>
  <c r="P220" i="7944"/>
  <c r="N215" i="7944"/>
  <c r="M215" i="7944"/>
  <c r="O215" i="7944"/>
  <c r="N214" i="7944"/>
  <c r="M217" i="7944"/>
  <c r="O217" i="7944"/>
  <c r="Q217" i="7944"/>
  <c r="O219" i="7944"/>
  <c r="N219" i="7944"/>
  <c r="Q223" i="7944"/>
  <c r="O220" i="7944"/>
  <c r="Q220" i="7944"/>
  <c r="M214" i="7944"/>
  <c r="N216" i="7944"/>
  <c r="N218" i="7944"/>
  <c r="Q216" i="7944"/>
  <c r="Q218" i="7944"/>
  <c r="O218" i="7944"/>
  <c r="P214" i="7944"/>
  <c r="P216" i="7944"/>
  <c r="Q219" i="7944"/>
  <c r="N217" i="7944"/>
  <c r="M219" i="7944"/>
  <c r="P221" i="7944"/>
  <c r="Q215" i="7944"/>
  <c r="P218" i="7944"/>
  <c r="O221" i="7944"/>
  <c r="Q214" i="7944"/>
  <c r="N220" i="7944"/>
  <c r="Q222" i="7944"/>
  <c r="O214" i="7944"/>
  <c r="P217" i="7944"/>
  <c r="Q221" i="7944"/>
  <c r="M216" i="7944"/>
  <c r="P219" i="7944"/>
  <c r="P222" i="7944"/>
  <c r="P215" i="7944"/>
  <c r="O216" i="7944"/>
  <c r="M218" i="7944"/>
  <c r="M186" i="7944"/>
  <c r="Q190" i="7944"/>
  <c r="Q192" i="7944"/>
  <c r="Q189" i="7944"/>
  <c r="O190" i="7944"/>
  <c r="M188" i="7944"/>
  <c r="P190" i="7944"/>
  <c r="Q195" i="7944"/>
  <c r="O186" i="7944"/>
  <c r="Q188" i="7944"/>
  <c r="P194" i="7944"/>
  <c r="P192" i="7944"/>
  <c r="O188" i="7944"/>
  <c r="N188" i="7944"/>
  <c r="N192" i="7944"/>
  <c r="Q193" i="7944"/>
  <c r="Q194" i="7944"/>
  <c r="M187" i="7944"/>
  <c r="Q186" i="7944"/>
  <c r="P193" i="7944"/>
  <c r="N189" i="7944"/>
  <c r="O193" i="7944"/>
  <c r="O187" i="7944"/>
  <c r="P189" i="7944"/>
  <c r="M190" i="7944"/>
  <c r="M189" i="7944"/>
  <c r="P191" i="7944"/>
  <c r="O191" i="7944"/>
  <c r="Q187" i="7944"/>
  <c r="P188" i="7944"/>
  <c r="Q191" i="7944"/>
  <c r="P186" i="7944"/>
  <c r="O192" i="7944"/>
  <c r="N190" i="7944"/>
  <c r="N187" i="7944"/>
  <c r="M191" i="7944"/>
  <c r="N191" i="7944"/>
  <c r="O189" i="7944"/>
  <c r="N186" i="7944"/>
  <c r="P187" i="7944"/>
  <c r="N164" i="7944"/>
  <c r="N160" i="7944"/>
  <c r="P158" i="7944"/>
  <c r="Q167" i="7944"/>
  <c r="P165" i="7944"/>
  <c r="P166" i="7944"/>
  <c r="O159" i="7944"/>
  <c r="O164" i="7944"/>
  <c r="O162" i="7944"/>
  <c r="M163" i="7944"/>
  <c r="O161" i="7944"/>
  <c r="N159" i="7944"/>
  <c r="P164" i="7944"/>
  <c r="P161" i="7944"/>
  <c r="M161" i="7944"/>
  <c r="Q166" i="7944"/>
  <c r="M159" i="7944"/>
  <c r="O160" i="7944"/>
  <c r="M160" i="7944"/>
  <c r="Q163" i="7944"/>
  <c r="O163" i="7944"/>
  <c r="Q158" i="7944"/>
  <c r="M158" i="7944"/>
  <c r="Q164" i="7944"/>
  <c r="P163" i="7944"/>
  <c r="P162" i="7944"/>
  <c r="Q161" i="7944"/>
  <c r="N158" i="7944"/>
  <c r="Q159" i="7944"/>
  <c r="N161" i="7944"/>
  <c r="O158" i="7944"/>
  <c r="P159" i="7944"/>
  <c r="M162" i="7944"/>
  <c r="P160" i="7944"/>
  <c r="N163" i="7944"/>
  <c r="O165" i="7944"/>
  <c r="N162" i="7944"/>
  <c r="Q162" i="7944"/>
  <c r="Q160" i="7944"/>
  <c r="Q165" i="7944"/>
  <c r="P138" i="7944"/>
  <c r="N132" i="7944"/>
  <c r="Q138" i="7944"/>
  <c r="Q132" i="7944"/>
  <c r="O136" i="7944"/>
  <c r="Q133" i="7944"/>
  <c r="Q136" i="7944"/>
  <c r="M134" i="7944"/>
  <c r="N135" i="7944"/>
  <c r="N133" i="7944"/>
  <c r="Q131" i="7944"/>
  <c r="O137" i="7944"/>
  <c r="O131" i="7944"/>
  <c r="M133" i="7944"/>
  <c r="M132" i="7944"/>
  <c r="Q137" i="7944"/>
  <c r="P133" i="7944"/>
  <c r="N130" i="7944"/>
  <c r="P135" i="7944"/>
  <c r="Q135" i="7944"/>
  <c r="M130" i="7944"/>
  <c r="O132" i="7944"/>
  <c r="N134" i="7944"/>
  <c r="P131" i="7944"/>
  <c r="P130" i="7944"/>
  <c r="P134" i="7944"/>
  <c r="N131" i="7944"/>
  <c r="O135" i="7944"/>
  <c r="P132" i="7944"/>
  <c r="M131" i="7944"/>
  <c r="Q139" i="7944"/>
  <c r="O134" i="7944"/>
  <c r="Q134" i="7944"/>
  <c r="P136" i="7944"/>
  <c r="P137" i="7944"/>
  <c r="N136" i="7944"/>
  <c r="O133" i="7944"/>
  <c r="O130" i="7944"/>
  <c r="Q130" i="7944"/>
  <c r="M135" i="7944"/>
  <c r="N397" i="18"/>
  <c r="Q345" i="18"/>
  <c r="O293" i="18"/>
  <c r="N293" i="18"/>
  <c r="M293" i="18"/>
  <c r="F252" i="7945"/>
  <c r="Q272" i="18"/>
  <c r="P269" i="18"/>
  <c r="N270" i="18"/>
  <c r="P267" i="18"/>
  <c r="F256" i="7945"/>
  <c r="F255" i="7945"/>
  <c r="N271" i="18"/>
  <c r="P274" i="18"/>
  <c r="Q274" i="18"/>
  <c r="F247" i="7945"/>
  <c r="N267" i="18"/>
  <c r="P268" i="18"/>
  <c r="Q267" i="18"/>
  <c r="M270" i="18"/>
  <c r="N269" i="18"/>
  <c r="P272" i="18"/>
  <c r="F249" i="7945"/>
  <c r="O271" i="18"/>
  <c r="O268" i="18"/>
  <c r="F254" i="7945"/>
  <c r="Q271" i="18"/>
  <c r="F250" i="7945"/>
  <c r="O269" i="18"/>
  <c r="Q269" i="18"/>
  <c r="F251" i="7945"/>
  <c r="F248" i="7945"/>
  <c r="M271" i="18"/>
  <c r="P270" i="18"/>
  <c r="Q273" i="18"/>
  <c r="P271" i="18"/>
  <c r="O273" i="18"/>
  <c r="Q270" i="18"/>
  <c r="P273" i="18"/>
  <c r="O267" i="18"/>
  <c r="M269" i="18"/>
  <c r="Q268" i="18"/>
  <c r="O270" i="18"/>
  <c r="O272" i="18"/>
  <c r="F253" i="7945"/>
  <c r="N272" i="18"/>
  <c r="N268" i="18"/>
  <c r="M268" i="18"/>
  <c r="Q275" i="18"/>
  <c r="M267" i="18"/>
  <c r="M241" i="18"/>
  <c r="Q202" i="18"/>
  <c r="P202" i="18"/>
  <c r="M88" i="7944"/>
  <c r="Q91" i="7944"/>
  <c r="O91" i="7944"/>
  <c r="Q97" i="7944"/>
  <c r="P90" i="7944"/>
  <c r="O95" i="7944"/>
  <c r="Q90" i="7944"/>
  <c r="P94" i="7944"/>
  <c r="O93" i="7944"/>
  <c r="N94" i="7944"/>
  <c r="N90" i="7944"/>
  <c r="O92" i="7944"/>
  <c r="M89" i="7944"/>
  <c r="N88" i="7944"/>
  <c r="P91" i="7944"/>
  <c r="P96" i="7944"/>
  <c r="M91" i="7944"/>
  <c r="Q94" i="7944"/>
  <c r="Q93" i="7944"/>
  <c r="Q95" i="7944"/>
  <c r="Q89" i="7944"/>
  <c r="O94" i="7944"/>
  <c r="N92" i="7944"/>
  <c r="Q88" i="7944"/>
  <c r="N89" i="7944"/>
  <c r="P92" i="7944"/>
  <c r="P89" i="7944"/>
  <c r="O90" i="7944"/>
  <c r="M90" i="7944"/>
  <c r="M93" i="7944"/>
  <c r="P88" i="7944"/>
  <c r="Q92" i="7944"/>
  <c r="M92" i="7944"/>
  <c r="P95" i="7944"/>
  <c r="Q96" i="7944"/>
  <c r="O88" i="7944"/>
  <c r="P93" i="7944"/>
  <c r="N91" i="7944"/>
  <c r="O89" i="7944"/>
  <c r="N93" i="7944"/>
  <c r="O332" i="18"/>
  <c r="Q332" i="18"/>
  <c r="P234" i="7944"/>
  <c r="N231" i="7944"/>
  <c r="P235" i="7944"/>
  <c r="N229" i="7944"/>
  <c r="Q231" i="7944"/>
  <c r="Q232" i="7944"/>
  <c r="O228" i="7944"/>
  <c r="O232" i="7944"/>
  <c r="O233" i="7944"/>
  <c r="P230" i="7944"/>
  <c r="O231" i="7944"/>
  <c r="P236" i="7944"/>
  <c r="O230" i="7944"/>
  <c r="Q236" i="7944"/>
  <c r="N228" i="7944"/>
  <c r="M230" i="7944"/>
  <c r="N232" i="7944"/>
  <c r="P233" i="7944"/>
  <c r="Q233" i="7944"/>
  <c r="M228" i="7944"/>
  <c r="Q230" i="7944"/>
  <c r="M231" i="7944"/>
  <c r="Q228" i="7944"/>
  <c r="P232" i="7944"/>
  <c r="Q235" i="7944"/>
  <c r="P231" i="7944"/>
  <c r="N234" i="7944"/>
  <c r="M229" i="7944"/>
  <c r="N233" i="7944"/>
  <c r="O235" i="7944"/>
  <c r="M232" i="7944"/>
  <c r="P228" i="7944"/>
  <c r="O234" i="7944"/>
  <c r="Q234" i="7944"/>
  <c r="Q237" i="7944"/>
  <c r="N230" i="7944"/>
  <c r="M233" i="7944"/>
  <c r="O229" i="7944"/>
  <c r="P229" i="7944"/>
  <c r="Q229" i="7944"/>
  <c r="M74" i="7944"/>
  <c r="Q78" i="7944"/>
  <c r="O80" i="7944"/>
  <c r="M77" i="7944"/>
  <c r="P79" i="7944"/>
  <c r="Q77" i="7944"/>
  <c r="Q80" i="7944"/>
  <c r="P76" i="7944"/>
  <c r="P81" i="7944"/>
  <c r="M76" i="7944"/>
  <c r="P78" i="7944"/>
  <c r="Q81" i="7944"/>
  <c r="P75" i="7944"/>
  <c r="N76" i="7944"/>
  <c r="N79" i="7944"/>
  <c r="N78" i="7944"/>
  <c r="N75" i="7944"/>
  <c r="O74" i="7944"/>
  <c r="O77" i="7944"/>
  <c r="Q75" i="7944"/>
  <c r="Q377" i="7944"/>
  <c r="M369" i="7944"/>
  <c r="O375" i="7944"/>
  <c r="O369" i="7944"/>
  <c r="Q376" i="7944"/>
  <c r="M370" i="7944"/>
  <c r="O372" i="7944"/>
  <c r="O368" i="7944"/>
  <c r="N368" i="7944"/>
  <c r="M371" i="7944"/>
  <c r="O371" i="7944"/>
  <c r="O374" i="7944"/>
  <c r="Q368" i="7944"/>
  <c r="N374" i="7944"/>
  <c r="Q371" i="7944"/>
  <c r="M372" i="7944"/>
  <c r="Q374" i="7944"/>
  <c r="O370" i="7944"/>
  <c r="Q370" i="7944"/>
  <c r="P376" i="7944"/>
  <c r="N373" i="7944"/>
  <c r="M373" i="7944"/>
  <c r="N371" i="7944"/>
  <c r="Q375" i="7944"/>
  <c r="N369" i="7944"/>
  <c r="Q369" i="7944"/>
  <c r="P370" i="7944"/>
  <c r="Q373" i="7944"/>
  <c r="N370" i="7944"/>
  <c r="P371" i="7944"/>
  <c r="Q372" i="7944"/>
  <c r="O373" i="7944"/>
  <c r="P374" i="7944"/>
  <c r="P369" i="7944"/>
  <c r="N372" i="7944"/>
  <c r="P375" i="7944"/>
  <c r="P372" i="7944"/>
  <c r="M368" i="7944"/>
  <c r="P368" i="7944"/>
  <c r="P373" i="7944"/>
  <c r="M454" i="7944"/>
  <c r="N454" i="7944"/>
  <c r="M452" i="7944"/>
  <c r="N452" i="7944"/>
  <c r="M396" i="7944"/>
  <c r="O454" i="7944"/>
  <c r="F397" i="7945"/>
  <c r="N395" i="18"/>
  <c r="O395" i="18"/>
  <c r="P395" i="18"/>
  <c r="Q395" i="18"/>
  <c r="F386" i="7945"/>
  <c r="M395" i="18"/>
  <c r="M324" i="7944"/>
  <c r="K260" i="7945"/>
  <c r="K324" i="7944"/>
  <c r="I324" i="7944"/>
  <c r="N324" i="7944"/>
  <c r="G324" i="7944"/>
  <c r="G337" i="7944"/>
  <c r="O324" i="7944"/>
  <c r="J324" i="7944"/>
  <c r="L324" i="7944"/>
  <c r="P324" i="7944"/>
  <c r="Q324" i="7944"/>
  <c r="H324" i="7944"/>
  <c r="F246" i="7945"/>
  <c r="M265" i="18"/>
  <c r="N265" i="18"/>
  <c r="O265" i="18"/>
  <c r="P265" i="18"/>
  <c r="Q265" i="18"/>
  <c r="F257" i="7945"/>
  <c r="F446" i="7945"/>
  <c r="M369" i="18"/>
  <c r="F358" i="7945"/>
  <c r="F369" i="7945"/>
  <c r="F454" i="7945"/>
  <c r="N369" i="18"/>
  <c r="O369" i="18"/>
  <c r="P369" i="18"/>
  <c r="Q369" i="18"/>
  <c r="M310" i="7944"/>
  <c r="N310" i="7944"/>
  <c r="G310" i="7944"/>
  <c r="G323" i="7944"/>
  <c r="Q310" i="7944"/>
  <c r="J310" i="7944"/>
  <c r="O310" i="7944"/>
  <c r="P310" i="7944"/>
  <c r="I310" i="7944"/>
  <c r="H310" i="7944"/>
  <c r="K246" i="7945"/>
  <c r="K310" i="7944"/>
  <c r="L310" i="7944"/>
  <c r="K358" i="7945"/>
  <c r="O422" i="7944"/>
  <c r="P422" i="7944"/>
  <c r="Q422" i="7944"/>
  <c r="G422" i="7944"/>
  <c r="G435" i="7944"/>
  <c r="M422" i="7944"/>
  <c r="J422" i="7944"/>
  <c r="L422" i="7944"/>
  <c r="L435" i="7944"/>
  <c r="H422" i="7944"/>
  <c r="N422" i="7944"/>
  <c r="F271" i="7945"/>
  <c r="F447" i="7945" s="1"/>
  <c r="F260" i="7945"/>
  <c r="M278" i="18"/>
  <c r="N278" i="18"/>
  <c r="O278" i="18"/>
  <c r="P278" i="18"/>
  <c r="Q278" i="18"/>
  <c r="D111" i="7941"/>
  <c r="B301" i="7945"/>
  <c r="C313" i="7945"/>
  <c r="B35" i="7945"/>
  <c r="C47" i="7945"/>
  <c r="D650" i="18"/>
  <c r="D573" i="18"/>
  <c r="F65" i="1"/>
  <c r="B287" i="7945"/>
  <c r="C299" i="7945"/>
  <c r="D611" i="18"/>
  <c r="F76" i="1"/>
  <c r="C77" i="7942"/>
  <c r="D13" i="18"/>
  <c r="C463" i="7942"/>
  <c r="C206" i="7942"/>
  <c r="D439" i="18"/>
  <c r="F42" i="1"/>
  <c r="C367" i="7942"/>
  <c r="D40" i="7941"/>
  <c r="C399" i="7942"/>
  <c r="D567" i="18"/>
  <c r="C431" i="7942"/>
  <c r="C238" i="7942"/>
  <c r="C9" i="7944"/>
  <c r="D471" i="18"/>
  <c r="D328" i="7941"/>
  <c r="C110" i="7942"/>
  <c r="C41" i="7944"/>
  <c r="D200" i="7941"/>
  <c r="D8" i="7941"/>
  <c r="C13" i="7942"/>
  <c r="C174" i="7942"/>
  <c r="D24" i="7941"/>
  <c r="D277" i="18"/>
  <c r="D583" i="18"/>
  <c r="C265" i="18"/>
  <c r="F92" i="1"/>
  <c r="C25" i="7944"/>
  <c r="D29" i="18"/>
  <c r="D455" i="18"/>
  <c r="F58" i="1"/>
  <c r="D551" i="18"/>
  <c r="C254" i="7942"/>
  <c r="B245" i="7945"/>
  <c r="C257" i="7945"/>
  <c r="D184" i="7941"/>
  <c r="C93" i="7942"/>
  <c r="C511" i="7942"/>
  <c r="D376" i="7941"/>
  <c r="D248" i="7941"/>
  <c r="F160" i="1"/>
  <c r="D519" i="18"/>
  <c r="B310" i="7944"/>
  <c r="C383" i="7942"/>
  <c r="C190" i="7942"/>
  <c r="D683" i="18"/>
  <c r="D487" i="18"/>
  <c r="B343" i="7945"/>
  <c r="C355" i="7945"/>
  <c r="D351" i="7941"/>
  <c r="C68" i="7942"/>
  <c r="D255" i="7941"/>
  <c r="D622" i="18"/>
  <c r="D690" i="18"/>
  <c r="C197" i="7942"/>
  <c r="F167" i="1"/>
  <c r="D526" i="18"/>
  <c r="D191" i="7941"/>
  <c r="C358" i="7942"/>
  <c r="D95" i="7941"/>
  <c r="C356" i="18"/>
  <c r="D462" i="18"/>
  <c r="D319" i="7941"/>
  <c r="C32" i="7944"/>
  <c r="C317" i="7942"/>
  <c r="D383" i="7941"/>
  <c r="D287" i="7941"/>
  <c r="C36" i="7942"/>
  <c r="F99" i="1"/>
  <c r="C486" i="7942"/>
  <c r="C518" i="7942"/>
  <c r="D63" i="7941"/>
  <c r="D306" i="7941"/>
  <c r="C345" i="7942"/>
  <c r="D82" i="7941"/>
  <c r="B226" i="7944"/>
  <c r="D449" i="18"/>
  <c r="D513" i="18"/>
  <c r="C23" i="7942"/>
  <c r="D114" i="7941"/>
  <c r="D274" i="7941"/>
  <c r="C51" i="7944"/>
  <c r="C377" i="7942"/>
  <c r="B161" i="7945"/>
  <c r="C173" i="7945"/>
  <c r="C409" i="7942"/>
  <c r="D210" i="7941"/>
  <c r="C130" i="7942"/>
  <c r="D643" i="18"/>
  <c r="C187" i="18"/>
  <c r="D18" i="7941"/>
  <c r="C473" i="7942"/>
  <c r="D199" i="18"/>
  <c r="F52" i="1"/>
  <c r="D609" i="18"/>
  <c r="C505" i="7942"/>
  <c r="D23" i="18"/>
  <c r="F165" i="1"/>
  <c r="C195" i="7942"/>
  <c r="C330" i="18"/>
  <c r="C452" i="7942"/>
  <c r="D253" i="7941"/>
  <c r="C259" i="7942"/>
  <c r="D221" i="7941"/>
  <c r="C30" i="7944"/>
  <c r="D93" i="7941"/>
  <c r="D157" i="7941"/>
  <c r="C227" i="7942"/>
  <c r="D317" i="7941"/>
  <c r="D556" i="18"/>
  <c r="C393" i="7944"/>
  <c r="C66" i="7942"/>
  <c r="D349" i="7941"/>
  <c r="D524" i="18"/>
  <c r="D285" i="7941"/>
  <c r="C313" i="7942"/>
  <c r="D189" i="7941"/>
  <c r="C484" i="7942"/>
  <c r="C420" i="7942"/>
  <c r="C436" i="7942"/>
  <c r="B156" i="7944"/>
  <c r="D173" i="7941"/>
  <c r="C14" i="7944"/>
  <c r="F115" i="1"/>
  <c r="F81" i="1"/>
  <c r="C46" i="7944"/>
  <c r="D301" i="7941"/>
  <c r="D572" i="18"/>
  <c r="D333" i="7941"/>
  <c r="C18" i="7942"/>
  <c r="B91" i="7945"/>
  <c r="C103" i="7945"/>
  <c r="D269" i="7941"/>
  <c r="C281" i="7942"/>
  <c r="F47" i="1"/>
  <c r="C211" i="7942"/>
  <c r="D45" i="7941"/>
  <c r="D638" i="18"/>
  <c r="C120" i="7942"/>
  <c r="D77" i="7941"/>
  <c r="D18" i="18"/>
  <c r="D134" i="18"/>
  <c r="C50" i="7942"/>
  <c r="D508" i="18"/>
  <c r="D619" i="18"/>
  <c r="D348" i="7941"/>
  <c r="D60" i="7941"/>
  <c r="D220" i="7941"/>
  <c r="D329" i="18"/>
  <c r="F96" i="1"/>
  <c r="C33" i="7942"/>
  <c r="C29" i="7944"/>
  <c r="C515" i="7942"/>
  <c r="D284" i="7941"/>
  <c r="D33" i="18"/>
  <c r="C451" i="7942"/>
  <c r="C387" i="7942"/>
  <c r="D491" i="18"/>
  <c r="D252" i="7941"/>
  <c r="B366" i="7944"/>
  <c r="C226" i="7942"/>
  <c r="D523" i="18"/>
  <c r="C97" i="7942"/>
  <c r="C61" i="7944"/>
  <c r="D653" i="18"/>
  <c r="C150" i="7942"/>
  <c r="F59" i="1"/>
  <c r="F127" i="1"/>
  <c r="D377" i="7941"/>
  <c r="C26" i="7944"/>
  <c r="C255" i="7942"/>
  <c r="D313" i="7941"/>
  <c r="D345" i="7941"/>
  <c r="D89" i="7941"/>
  <c r="D456" i="18"/>
  <c r="C278" i="18"/>
  <c r="C352" i="7942"/>
  <c r="B259" i="7945"/>
  <c r="C271" i="7945"/>
  <c r="C144" i="7942"/>
  <c r="D520" i="18"/>
  <c r="C305" i="7942"/>
  <c r="D684" i="18"/>
  <c r="F93" i="1"/>
  <c r="C30" i="7942"/>
  <c r="D57" i="7941"/>
  <c r="C337" i="7944"/>
  <c r="C94" i="7942"/>
  <c r="D616" i="18"/>
  <c r="C223" i="7942"/>
  <c r="D691" i="18"/>
  <c r="C319" i="7942"/>
  <c r="D256" i="7941"/>
  <c r="D384" i="7941"/>
  <c r="C65" i="7944"/>
  <c r="D128" i="7941"/>
  <c r="D352" i="7941"/>
  <c r="C391" i="7942"/>
  <c r="C435" i="7944"/>
  <c r="C37" i="7942"/>
  <c r="F100" i="1"/>
  <c r="D623" i="18"/>
  <c r="D657" i="18"/>
  <c r="D64" i="7941"/>
  <c r="F168" i="1"/>
  <c r="F134" i="1"/>
  <c r="D559" i="18"/>
  <c r="D591" i="18"/>
  <c r="C158" i="7942"/>
  <c r="C369" i="18"/>
  <c r="C487" i="7942"/>
  <c r="D96" i="7941"/>
  <c r="D115" i="7941"/>
  <c r="D610" i="18"/>
  <c r="D339" i="7941"/>
  <c r="D243" i="7941"/>
  <c r="F53" i="1"/>
  <c r="D371" i="7941"/>
  <c r="D275" i="7941"/>
  <c r="C217" i="7942"/>
  <c r="D644" i="18"/>
  <c r="D482" i="18"/>
  <c r="C474" i="7942"/>
  <c r="B175" i="7945"/>
  <c r="C187" i="7945"/>
  <c r="D678" i="18"/>
  <c r="D51" i="7941"/>
  <c r="D546" i="18"/>
  <c r="D211" i="7941"/>
  <c r="D307" i="7941"/>
  <c r="D212" i="18"/>
  <c r="C253" i="7944"/>
  <c r="C410" i="7942"/>
  <c r="F121" i="1"/>
  <c r="C56" i="7942"/>
  <c r="D578" i="18"/>
  <c r="D179" i="7941"/>
  <c r="B189" i="7945"/>
  <c r="C201" i="7945"/>
  <c r="F122" i="1"/>
  <c r="D25" i="18"/>
  <c r="D679" i="18"/>
  <c r="D308" i="7941"/>
  <c r="D116" i="7941"/>
  <c r="C218" i="7942"/>
  <c r="D20" i="7941"/>
  <c r="C507" i="7942"/>
  <c r="C475" i="7942"/>
  <c r="F54" i="1"/>
  <c r="D212" i="7941"/>
  <c r="D579" i="18"/>
  <c r="C53" i="7944"/>
  <c r="C250" i="7942"/>
  <c r="C443" i="7942"/>
  <c r="D52" i="7941"/>
  <c r="C213" i="18"/>
  <c r="F156" i="1"/>
  <c r="C411" i="7942"/>
  <c r="C134" i="7942"/>
  <c r="D645" i="18"/>
  <c r="D547" i="18"/>
  <c r="D515" i="18"/>
  <c r="C437" i="7942"/>
  <c r="F150" i="1"/>
  <c r="C405" i="7942"/>
  <c r="C83" i="7942"/>
  <c r="D541" i="18"/>
  <c r="D206" i="7941"/>
  <c r="C47" i="7944"/>
  <c r="D334" i="7941"/>
  <c r="C283" i="7942"/>
  <c r="D238" i="7941"/>
  <c r="C373" i="7942"/>
  <c r="D19" i="18"/>
  <c r="D605" i="18"/>
  <c r="B170" i="7944"/>
  <c r="D366" i="7941"/>
  <c r="C122" i="7942"/>
  <c r="F48" i="1"/>
  <c r="D14" i="7941"/>
  <c r="C212" i="7942"/>
  <c r="D270" i="7941"/>
  <c r="D147" i="18"/>
  <c r="C183" i="7944"/>
  <c r="D302" i="7941"/>
  <c r="C113" i="7944"/>
  <c r="D440" i="18"/>
  <c r="F43" i="1"/>
  <c r="C207" i="7942"/>
  <c r="D73" i="7941"/>
  <c r="D14" i="18"/>
  <c r="C336" i="7942"/>
  <c r="C464" i="7942"/>
  <c r="C70" i="18"/>
  <c r="C432" i="7942"/>
  <c r="D329" i="7941"/>
  <c r="D9" i="7941"/>
  <c r="D82" i="18"/>
  <c r="D169" i="7941"/>
  <c r="D41" i="7941"/>
  <c r="D600" i="18"/>
  <c r="D265" i="7941"/>
  <c r="C239" i="7942"/>
  <c r="C42" i="7944"/>
  <c r="C175" i="7942"/>
  <c r="C400" i="7942"/>
  <c r="C368" i="7942"/>
  <c r="C321" i="7942"/>
  <c r="D38" i="18"/>
  <c r="D97" i="7941"/>
  <c r="D464" i="18"/>
  <c r="C520" i="7942"/>
  <c r="D129" i="7941"/>
  <c r="C382" i="18"/>
  <c r="F135" i="1"/>
  <c r="D496" i="18"/>
  <c r="C34" i="7944"/>
  <c r="C70" i="7942"/>
  <c r="B371" i="7945"/>
  <c r="C383" i="7945"/>
  <c r="F67" i="1"/>
  <c r="C263" i="7942"/>
  <c r="D193" i="7941"/>
  <c r="D528" i="18"/>
  <c r="D257" i="7941"/>
  <c r="D65" i="7941"/>
  <c r="D289" i="7941"/>
  <c r="C424" i="7942"/>
  <c r="C102" i="7942"/>
  <c r="C488" i="7942"/>
  <c r="D592" i="18"/>
  <c r="C199" i="7942"/>
  <c r="B119" i="7945"/>
  <c r="C131" i="7945"/>
  <c r="D79" i="7941"/>
  <c r="D478" i="18"/>
  <c r="D160" i="18"/>
  <c r="C48" i="7944"/>
  <c r="D367" i="7941"/>
  <c r="C245" i="7942"/>
  <c r="D239" i="7941"/>
  <c r="C213" i="7942"/>
  <c r="C470" i="7942"/>
  <c r="B184" i="7944"/>
  <c r="D606" i="18"/>
  <c r="D143" i="7941"/>
  <c r="F151" i="1"/>
  <c r="D640" i="18"/>
  <c r="F83" i="1"/>
  <c r="D674" i="18"/>
  <c r="C374" i="7942"/>
  <c r="D335" i="7941"/>
  <c r="D15" i="7941"/>
  <c r="D574" i="18"/>
  <c r="C16" i="7944"/>
  <c r="D47" i="7941"/>
  <c r="C438" i="7942"/>
  <c r="D447" i="18"/>
  <c r="C343" i="7942"/>
  <c r="D48" i="7941"/>
  <c r="D16" i="7941"/>
  <c r="C17" i="7944"/>
  <c r="D607" i="18"/>
  <c r="C407" i="7942"/>
  <c r="D21" i="18"/>
  <c r="D80" i="7941"/>
  <c r="D479" i="18"/>
  <c r="D336" i="7941"/>
  <c r="B133" i="7945"/>
  <c r="C145" i="7945"/>
  <c r="C21" i="7942"/>
  <c r="D144" i="7941"/>
  <c r="C182" i="7942"/>
  <c r="C287" i="7942"/>
  <c r="D641" i="18"/>
  <c r="F118" i="1"/>
  <c r="C439" i="7942"/>
  <c r="D173" i="18"/>
  <c r="D675" i="18"/>
  <c r="F152" i="1"/>
  <c r="C211" i="7944"/>
  <c r="C85" i="7942"/>
  <c r="D59" i="7941"/>
  <c r="F129" i="1"/>
  <c r="D283" i="7941"/>
  <c r="D27" i="7941"/>
  <c r="C28" i="7944"/>
  <c r="C482" i="7942"/>
  <c r="C450" i="7942"/>
  <c r="C514" i="7942"/>
  <c r="C96" i="7942"/>
  <c r="C365" i="7944"/>
  <c r="D586" i="18"/>
  <c r="F95" i="1"/>
  <c r="F61" i="1"/>
  <c r="C148" i="7942"/>
  <c r="C32" i="7942"/>
  <c r="D91" i="7941"/>
  <c r="F163" i="1"/>
  <c r="D219" i="7941"/>
  <c r="D187" i="7941"/>
  <c r="D32" i="18"/>
  <c r="C257" i="7942"/>
  <c r="D522" i="18"/>
  <c r="C192" i="7942"/>
  <c r="D521" i="18"/>
  <c r="D186" i="7941"/>
  <c r="D314" i="7941"/>
  <c r="D378" i="7941"/>
  <c r="C95" i="7942"/>
  <c r="D250" i="7941"/>
  <c r="F162" i="1"/>
  <c r="C146" i="7942"/>
  <c r="C307" i="7942"/>
  <c r="C224" i="7942"/>
  <c r="B273" i="7945"/>
  <c r="C285" i="7945"/>
  <c r="C385" i="7942"/>
  <c r="D154" i="7941"/>
  <c r="C59" i="7944"/>
  <c r="C351" i="7944"/>
  <c r="D218" i="7941"/>
  <c r="D90" i="7941"/>
  <c r="D457" i="18"/>
  <c r="C481" i="7942"/>
  <c r="D122" i="7941"/>
  <c r="D685" i="18"/>
  <c r="C31" i="7942"/>
  <c r="C353" i="7942"/>
  <c r="D10" i="7941"/>
  <c r="D537" i="18"/>
  <c r="D138" i="7941"/>
  <c r="C240" i="7942"/>
  <c r="D95" i="18"/>
  <c r="D473" i="18"/>
  <c r="C43" i="7944"/>
  <c r="C465" i="7942"/>
  <c r="C83" i="18"/>
  <c r="D170" i="7941"/>
  <c r="D569" i="18"/>
  <c r="C337" i="7942"/>
  <c r="D42" i="7941"/>
  <c r="C47" i="7942"/>
  <c r="C208" i="7942"/>
  <c r="C79" i="7942"/>
  <c r="C11" i="7944"/>
  <c r="C497" i="7942"/>
  <c r="C114" i="7942"/>
  <c r="C275" i="7942"/>
  <c r="D15" i="18"/>
  <c r="D669" i="18"/>
  <c r="D557" i="18"/>
  <c r="C343" i="18"/>
  <c r="D62" i="7941"/>
  <c r="C315" i="7942"/>
  <c r="D35" i="18"/>
  <c r="D621" i="18"/>
  <c r="C407" i="7944"/>
  <c r="F64" i="1"/>
  <c r="D655" i="18"/>
  <c r="D493" i="18"/>
  <c r="D286" i="7941"/>
  <c r="B329" i="7945"/>
  <c r="C341" i="7945"/>
  <c r="C35" i="7942"/>
  <c r="D94" i="7941"/>
  <c r="D382" i="7941"/>
  <c r="C421" i="7942"/>
  <c r="C389" i="7942"/>
  <c r="D350" i="7941"/>
  <c r="C357" i="7942"/>
  <c r="C485" i="7942"/>
  <c r="C228" i="7942"/>
  <c r="D30" i="7941"/>
  <c r="C260" i="7942"/>
  <c r="D461" i="18"/>
  <c r="B268" i="7944"/>
  <c r="D85" i="7941"/>
  <c r="D341" i="7941"/>
  <c r="C136" i="7942"/>
  <c r="C22" i="7944"/>
  <c r="C508" i="7942"/>
  <c r="D21" i="7941"/>
  <c r="C26" i="7942"/>
  <c r="D277" i="7941"/>
  <c r="C219" i="7942"/>
  <c r="C444" i="7942"/>
  <c r="D548" i="18"/>
  <c r="D238" i="18"/>
  <c r="D373" i="7941"/>
  <c r="C297" i="7942"/>
  <c r="F157" i="1"/>
  <c r="D309" i="7941"/>
  <c r="C58" i="7942"/>
  <c r="D117" i="7941"/>
  <c r="D452" i="18"/>
  <c r="C187" i="7942"/>
  <c r="F55" i="1"/>
  <c r="D474" i="18"/>
  <c r="C12" i="7944"/>
  <c r="C96" i="18"/>
  <c r="C16" i="7942"/>
  <c r="D331" i="7941"/>
  <c r="D11" i="7941"/>
  <c r="F45" i="1"/>
  <c r="C277" i="7942"/>
  <c r="D267" i="7941"/>
  <c r="C241" i="7942"/>
  <c r="C80" i="7942"/>
  <c r="B63" i="7945"/>
  <c r="C75" i="7945"/>
  <c r="C116" i="7942"/>
  <c r="D636" i="18"/>
  <c r="D442" i="18"/>
  <c r="D139" i="7941"/>
  <c r="D16" i="18"/>
  <c r="C434" i="7942"/>
  <c r="D43" i="7941"/>
  <c r="C466" i="7942"/>
  <c r="B128" i="7944"/>
  <c r="F113" i="1"/>
  <c r="D506" i="18"/>
  <c r="D363" i="7941"/>
  <c r="B77" i="7945"/>
  <c r="C89" i="7945"/>
  <c r="C210" i="7942"/>
  <c r="D44" i="7941"/>
  <c r="C403" i="7942"/>
  <c r="F46" i="1"/>
  <c r="D121" i="18"/>
  <c r="C435" i="7942"/>
  <c r="D204" i="7941"/>
  <c r="F114" i="1"/>
  <c r="C13" i="7944"/>
  <c r="D76" i="7941"/>
  <c r="C499" i="7942"/>
  <c r="D364" i="7941"/>
  <c r="D443" i="18"/>
  <c r="C45" i="7944"/>
  <c r="C109" i="18"/>
  <c r="D12" i="7941"/>
  <c r="D603" i="18"/>
  <c r="D140" i="7941"/>
  <c r="D268" i="7941"/>
  <c r="C178" i="7942"/>
  <c r="D300" i="7941"/>
  <c r="D236" i="7941"/>
  <c r="D475" i="18"/>
  <c r="C279" i="7942"/>
  <c r="D637" i="18"/>
  <c r="C467" i="7942"/>
  <c r="C49" i="7942"/>
  <c r="D507" i="18"/>
  <c r="D571" i="18"/>
  <c r="D108" i="7941"/>
  <c r="C339" i="7942"/>
  <c r="D172" i="7941"/>
  <c r="F148" i="1"/>
  <c r="F80" i="1"/>
  <c r="C242" i="7942"/>
  <c r="C371" i="7942"/>
  <c r="C81" i="7942"/>
  <c r="D539" i="18"/>
  <c r="D671" i="18"/>
  <c r="D17" i="18"/>
  <c r="C17" i="7942"/>
  <c r="C118" i="7942"/>
  <c r="B142" i="7944"/>
  <c r="D332" i="7941"/>
  <c r="C155" i="7944"/>
  <c r="D86" i="7941"/>
  <c r="C299" i="7942"/>
  <c r="C295" i="7944"/>
  <c r="D27" i="18"/>
  <c r="C509" i="7942"/>
  <c r="C445" i="7942"/>
  <c r="D182" i="7941"/>
  <c r="F56" i="1"/>
  <c r="C55" i="7944"/>
  <c r="C23" i="7944"/>
  <c r="D613" i="18"/>
  <c r="D342" i="7941"/>
  <c r="D251" i="18"/>
  <c r="F124" i="1"/>
  <c r="C413" i="7942"/>
  <c r="D681" i="18"/>
  <c r="D278" i="7941"/>
  <c r="C349" i="7942"/>
  <c r="C91" i="7942"/>
  <c r="C138" i="7942"/>
  <c r="C252" i="7942"/>
  <c r="C381" i="7942"/>
  <c r="B217" i="7945"/>
  <c r="C229" i="7945"/>
  <c r="D647" i="18"/>
  <c r="D22" i="7941"/>
  <c r="D150" i="7941"/>
  <c r="C188" i="7942"/>
  <c r="D374" i="7941"/>
  <c r="D485" i="18"/>
  <c r="D310" i="7941"/>
  <c r="C239" i="18"/>
  <c r="C220" i="7942"/>
  <c r="C27" i="7942"/>
  <c r="D54" i="7941"/>
  <c r="B282" i="7944"/>
  <c r="D453" i="18"/>
  <c r="C477" i="7942"/>
  <c r="D246" i="7941"/>
  <c r="C59" i="7942"/>
  <c r="F90" i="1"/>
  <c r="F158" i="1"/>
  <c r="D214" i="7941"/>
  <c r="D517" i="18"/>
  <c r="D118" i="7941"/>
  <c r="D549" i="18"/>
  <c r="D581" i="18"/>
  <c r="B147" i="7945"/>
  <c r="C159" i="7945"/>
  <c r="C247" i="7942"/>
  <c r="D608" i="18"/>
  <c r="D676" i="18"/>
  <c r="C128" i="7942"/>
  <c r="D480" i="18"/>
  <c r="D145" i="7941"/>
  <c r="C504" i="7942"/>
  <c r="F153" i="1"/>
  <c r="C86" i="7942"/>
  <c r="D448" i="18"/>
  <c r="F51" i="1"/>
  <c r="C225" i="7944"/>
  <c r="C50" i="7944"/>
  <c r="B212" i="7944"/>
  <c r="C376" i="7942"/>
  <c r="C440" i="7942"/>
  <c r="D113" i="7941"/>
  <c r="C18" i="7944"/>
  <c r="C54" i="7942"/>
  <c r="D209" i="7941"/>
  <c r="D305" i="7941"/>
  <c r="D642" i="18"/>
  <c r="D369" i="7941"/>
  <c r="D241" i="7941"/>
  <c r="D273" i="7941"/>
  <c r="C174" i="18"/>
  <c r="F85" i="1"/>
  <c r="C289" i="7942"/>
  <c r="D186" i="18"/>
  <c r="D337" i="7941"/>
  <c r="C408" i="7942"/>
  <c r="D177" i="7941"/>
  <c r="D512" i="18"/>
  <c r="D17" i="7941"/>
  <c r="C183" i="7942"/>
  <c r="C215" i="7942"/>
  <c r="D544" i="18"/>
  <c r="C22" i="7942"/>
  <c r="C472" i="7942"/>
  <c r="D22" i="18"/>
  <c r="D81" i="7941"/>
  <c r="D576" i="18"/>
  <c r="F119" i="1"/>
  <c r="D49" i="7941"/>
  <c r="C344" i="7942"/>
  <c r="D295" i="7941"/>
  <c r="D231" i="7941"/>
  <c r="D327" i="7941"/>
  <c r="C12" i="7942"/>
  <c r="C430" i="7942"/>
  <c r="D632" i="18"/>
  <c r="C44" i="7942"/>
  <c r="C8" i="7944"/>
  <c r="C108" i="7942"/>
  <c r="F75" i="1"/>
  <c r="D71" i="7941"/>
  <c r="F41" i="1"/>
  <c r="C334" i="7942"/>
  <c r="D666" i="18"/>
  <c r="D199" i="7941"/>
  <c r="F143" i="1"/>
  <c r="D263" i="7941"/>
  <c r="D359" i="7941"/>
  <c r="C40" i="7944"/>
  <c r="C494" i="7942"/>
  <c r="C269" i="7942"/>
  <c r="D534" i="18"/>
  <c r="B7" i="7945"/>
  <c r="C19" i="7945"/>
  <c r="D7" i="7941"/>
  <c r="D438" i="18"/>
  <c r="C205" i="7942"/>
  <c r="C237" i="7942"/>
  <c r="D56" i="18"/>
  <c r="D135" i="7941"/>
  <c r="D470" i="18"/>
  <c r="D39" i="7941"/>
  <c r="C462" i="7942"/>
  <c r="F109" i="1"/>
  <c r="C398" i="7942"/>
  <c r="D12" i="18"/>
  <c r="C366" i="7942"/>
  <c r="B72" i="7944"/>
  <c r="C85" i="7944"/>
  <c r="D103" i="7941"/>
  <c r="C76" i="7942"/>
  <c r="D502" i="18"/>
  <c r="C44" i="18"/>
  <c r="D598" i="18"/>
  <c r="D167" i="7941"/>
  <c r="D566" i="18"/>
  <c r="C173" i="7942"/>
  <c r="B231" i="7945"/>
  <c r="C243" i="7945"/>
  <c r="D486" i="18"/>
  <c r="D648" i="18"/>
  <c r="C24" i="7944"/>
  <c r="C140" i="7942"/>
  <c r="D264" i="18"/>
  <c r="D183" i="7941"/>
  <c r="D279" i="7941"/>
  <c r="C92" i="7942"/>
  <c r="C252" i="18"/>
  <c r="F91" i="1"/>
  <c r="D28" i="18"/>
  <c r="C309" i="7944"/>
  <c r="C221" i="7942"/>
  <c r="D375" i="7941"/>
  <c r="D518" i="18"/>
  <c r="C510" i="7942"/>
  <c r="D87" i="7941"/>
  <c r="D550" i="18"/>
  <c r="D343" i="7941"/>
  <c r="D682" i="18"/>
  <c r="C478" i="7942"/>
  <c r="D311" i="7941"/>
  <c r="B296" i="7944"/>
  <c r="C28" i="7942"/>
  <c r="F57" i="1"/>
  <c r="D119" i="7941"/>
  <c r="C56" i="7944"/>
  <c r="D614" i="18"/>
  <c r="C60" i="7942"/>
  <c r="D215" i="7941"/>
  <c r="D582" i="18"/>
  <c r="D23" i="7941"/>
  <c r="C253" i="7942"/>
  <c r="C301" i="7942"/>
  <c r="D55" i="7941"/>
  <c r="F125" i="1"/>
  <c r="D247" i="7941"/>
  <c r="F159" i="1"/>
  <c r="C446" i="7942"/>
  <c r="C414" i="7942"/>
  <c r="D151" i="7941"/>
  <c r="C189" i="7942"/>
  <c r="D454" i="18"/>
  <c r="C382" i="7942"/>
  <c r="C350" i="7942"/>
  <c r="G26" i="7944"/>
  <c r="H26" i="7944"/>
  <c r="G14" i="7944"/>
  <c r="G34" i="7944"/>
  <c r="G13" i="7944"/>
  <c r="G21" i="7944"/>
  <c r="G23" i="7944"/>
  <c r="G16" i="7944"/>
  <c r="G24" i="7944"/>
  <c r="G10" i="7944"/>
  <c r="G15" i="7944"/>
  <c r="G9" i="7944"/>
  <c r="G17" i="7944"/>
  <c r="G35" i="7944"/>
  <c r="G18" i="7944"/>
  <c r="G11" i="7944"/>
  <c r="G127" i="7944"/>
  <c r="H11" i="7944"/>
  <c r="G12" i="7944"/>
  <c r="G141" i="7944"/>
  <c r="H12" i="7944"/>
  <c r="G20" i="7944"/>
  <c r="G33" i="7944"/>
  <c r="H33" i="7944"/>
  <c r="G8" i="7944"/>
  <c r="G226" i="7941"/>
  <c r="G361" i="7942"/>
  <c r="H361" i="7942"/>
  <c r="G693" i="18"/>
  <c r="G659" i="18"/>
  <c r="G352" i="7942"/>
  <c r="H352" i="7942"/>
  <c r="G359" i="7942"/>
  <c r="H359" i="7942"/>
  <c r="G224" i="7941"/>
  <c r="G692" i="18"/>
  <c r="G658" i="18"/>
  <c r="G677" i="18"/>
  <c r="G643" i="18"/>
  <c r="G222" i="7941"/>
  <c r="G689" i="18"/>
  <c r="G655" i="18"/>
  <c r="G351" i="7942"/>
  <c r="H351" i="7942"/>
  <c r="G218" i="7941"/>
  <c r="G685" i="18"/>
  <c r="G651" i="18"/>
  <c r="G686" i="18"/>
  <c r="G652" i="18"/>
  <c r="G210" i="7941"/>
  <c r="G225" i="7941"/>
  <c r="G669" i="18"/>
  <c r="G635" i="18"/>
  <c r="G202" i="7941"/>
  <c r="G671" i="18"/>
  <c r="G637" i="18"/>
  <c r="G683" i="18"/>
  <c r="G649" i="18"/>
  <c r="G672" i="18"/>
  <c r="G638" i="18"/>
  <c r="G681" i="18"/>
  <c r="G647" i="18"/>
  <c r="G690" i="18"/>
  <c r="G656" i="18"/>
  <c r="G219" i="7941"/>
  <c r="G678" i="18"/>
  <c r="G644" i="18"/>
  <c r="G207" i="7941"/>
  <c r="G676" i="18"/>
  <c r="G642" i="18"/>
  <c r="G679" i="18"/>
  <c r="G645" i="18"/>
  <c r="G670" i="18"/>
  <c r="G636" i="18"/>
  <c r="G668" i="18"/>
  <c r="G634" i="18"/>
  <c r="G682" i="18"/>
  <c r="G648" i="18"/>
  <c r="G675" i="18"/>
  <c r="G641" i="18"/>
  <c r="G215" i="7941"/>
  <c r="G204" i="7941"/>
  <c r="G201" i="7941"/>
  <c r="G212" i="7941"/>
  <c r="G223" i="7941"/>
  <c r="G216" i="7941"/>
  <c r="G688" i="18"/>
  <c r="G654" i="18"/>
  <c r="G214" i="7941"/>
  <c r="G205" i="7941"/>
  <c r="G666" i="18"/>
  <c r="G221" i="7941"/>
  <c r="G199" i="7941"/>
  <c r="G437" i="18"/>
  <c r="I449" i="7944"/>
  <c r="M436" i="7944"/>
  <c r="N436" i="7944"/>
  <c r="O436" i="7944"/>
  <c r="P436" i="7944"/>
  <c r="Q436" i="7944"/>
  <c r="M338" i="7944"/>
  <c r="M366" i="7944"/>
  <c r="M380" i="7944"/>
  <c r="N380" i="7944"/>
  <c r="O380" i="7944"/>
  <c r="P380" i="7944"/>
  <c r="Q380" i="7944"/>
  <c r="N408" i="7944"/>
  <c r="M408" i="7944"/>
  <c r="Q408" i="7944"/>
  <c r="P408" i="7944"/>
  <c r="O408" i="7944"/>
  <c r="O282" i="7944"/>
  <c r="P282" i="7944"/>
  <c r="M282" i="7944"/>
  <c r="N282" i="7944"/>
  <c r="Q282" i="7944"/>
  <c r="M296" i="7944"/>
  <c r="N296" i="7944"/>
  <c r="Q100" i="7944"/>
  <c r="O100" i="7944"/>
  <c r="P100" i="7944"/>
  <c r="M100" i="7944"/>
  <c r="N100" i="7944"/>
  <c r="I113" i="7944"/>
  <c r="J169" i="7944"/>
  <c r="M156" i="7944"/>
  <c r="L169" i="7944"/>
  <c r="O156" i="7944"/>
  <c r="P156" i="7944"/>
  <c r="Q156" i="7944"/>
  <c r="N156" i="7944"/>
  <c r="H169" i="7944"/>
  <c r="M212" i="7944"/>
  <c r="N212" i="7944"/>
  <c r="H225" i="7944"/>
  <c r="J225" i="7944"/>
  <c r="L225" i="7944"/>
  <c r="O114" i="7944"/>
  <c r="M114" i="7944"/>
  <c r="N114" i="7944"/>
  <c r="P114" i="7944"/>
  <c r="Q114" i="7944"/>
  <c r="O170" i="7944"/>
  <c r="P170" i="7944"/>
  <c r="M170" i="7944"/>
  <c r="N170" i="7944"/>
  <c r="Q170" i="7944"/>
  <c r="I183" i="7944"/>
  <c r="Q226" i="7944"/>
  <c r="M226" i="7944"/>
  <c r="N226" i="7944"/>
  <c r="O226" i="7944"/>
  <c r="P226" i="7944"/>
  <c r="M72" i="7944"/>
  <c r="N72" i="7944"/>
  <c r="O72" i="7944"/>
  <c r="P72" i="7944"/>
  <c r="Q72" i="7944"/>
  <c r="M128" i="7944"/>
  <c r="N128" i="7944"/>
  <c r="O128" i="7944"/>
  <c r="P128" i="7944"/>
  <c r="Q128" i="7944"/>
  <c r="O184" i="7944"/>
  <c r="P184" i="7944"/>
  <c r="Q184" i="7944"/>
  <c r="L197" i="7944"/>
  <c r="M184" i="7944"/>
  <c r="N184" i="7944"/>
  <c r="M240" i="7944"/>
  <c r="N240" i="7944"/>
  <c r="I253" i="7944"/>
  <c r="O86" i="7944"/>
  <c r="N86" i="7944"/>
  <c r="Q86" i="7944"/>
  <c r="P86" i="7944"/>
  <c r="M86" i="7944"/>
  <c r="Q142" i="7944"/>
  <c r="M142" i="7944"/>
  <c r="N142" i="7944"/>
  <c r="O142" i="7944"/>
  <c r="I155" i="7944"/>
  <c r="P142" i="7944"/>
  <c r="P198" i="7944"/>
  <c r="Q198" i="7944"/>
  <c r="M198" i="7944"/>
  <c r="N198" i="7944"/>
  <c r="O198" i="7944"/>
  <c r="H267" i="7944"/>
  <c r="J267" i="7944"/>
  <c r="M382" i="18"/>
  <c r="N382" i="18"/>
  <c r="O382" i="18"/>
  <c r="P382" i="18"/>
  <c r="Q382" i="18"/>
  <c r="M330" i="18"/>
  <c r="N330" i="18"/>
  <c r="M343" i="18"/>
  <c r="N343" i="18"/>
  <c r="M356" i="18"/>
  <c r="N356" i="18"/>
  <c r="O356" i="18"/>
  <c r="M291" i="18"/>
  <c r="N239" i="18"/>
  <c r="P239" i="18"/>
  <c r="P83" i="18"/>
  <c r="Q83" i="18"/>
  <c r="M83" i="18"/>
  <c r="N83" i="18"/>
  <c r="O83" i="18"/>
  <c r="M44" i="18"/>
  <c r="N44" i="18"/>
  <c r="O44" i="18"/>
  <c r="P44" i="18"/>
  <c r="Q44" i="18"/>
  <c r="O96" i="18"/>
  <c r="P96" i="18"/>
  <c r="Q96" i="18"/>
  <c r="M96" i="18"/>
  <c r="N96" i="18"/>
  <c r="O148" i="18"/>
  <c r="Q148" i="18"/>
  <c r="O200" i="18"/>
  <c r="P200" i="18"/>
  <c r="Q200" i="18"/>
  <c r="M200" i="18"/>
  <c r="N200" i="18"/>
  <c r="M135" i="18"/>
  <c r="N135" i="18"/>
  <c r="O135" i="18"/>
  <c r="P135" i="18"/>
  <c r="Q135" i="18"/>
  <c r="N57" i="18"/>
  <c r="O57" i="18"/>
  <c r="P57" i="18"/>
  <c r="Q57" i="18"/>
  <c r="M57" i="18"/>
  <c r="O161" i="18"/>
  <c r="P161" i="18"/>
  <c r="Q161" i="18"/>
  <c r="M161" i="18"/>
  <c r="N161" i="18"/>
  <c r="F162" i="7945"/>
  <c r="N70" i="18"/>
  <c r="O70" i="18"/>
  <c r="P70" i="18"/>
  <c r="Q70" i="18"/>
  <c r="M70" i="18"/>
  <c r="P122" i="18"/>
  <c r="Q122" i="18"/>
  <c r="O122" i="18"/>
  <c r="M122" i="18"/>
  <c r="N122" i="18"/>
  <c r="F148" i="7945"/>
  <c r="L267" i="7944"/>
  <c r="G449" i="7944"/>
  <c r="N366" i="7944"/>
  <c r="O366" i="7944"/>
  <c r="P366" i="7944"/>
  <c r="Q366" i="7944"/>
  <c r="N338" i="7944"/>
  <c r="G309" i="7944"/>
  <c r="H24" i="7944"/>
  <c r="O296" i="7944"/>
  <c r="G85" i="7944"/>
  <c r="G155" i="7944"/>
  <c r="H13" i="7944"/>
  <c r="G253" i="7944"/>
  <c r="H20" i="7944"/>
  <c r="G183" i="7944"/>
  <c r="G113" i="7944"/>
  <c r="H10" i="7944"/>
  <c r="G211" i="7944"/>
  <c r="H17" i="7944"/>
  <c r="O240" i="7944"/>
  <c r="O212" i="7944"/>
  <c r="J93" i="7945"/>
  <c r="K93" i="7945" s="1"/>
  <c r="I107" i="7945"/>
  <c r="I121" i="7945"/>
  <c r="J121" i="7945"/>
  <c r="K121" i="7945" s="1"/>
  <c r="E79" i="7945"/>
  <c r="F79" i="7945" s="1"/>
  <c r="I135" i="7945"/>
  <c r="I149" i="7945"/>
  <c r="D316" i="18"/>
  <c r="D554" i="18"/>
  <c r="B352" i="7944"/>
  <c r="D379" i="7941"/>
  <c r="C386" i="7942"/>
  <c r="D315" i="7941"/>
  <c r="C309" i="7942"/>
  <c r="D490" i="18"/>
  <c r="D686" i="18"/>
  <c r="C64" i="7942"/>
  <c r="C225" i="7942"/>
  <c r="C193" i="7942"/>
  <c r="D652" i="18"/>
  <c r="D123" i="7941"/>
  <c r="C304" i="18"/>
  <c r="C60" i="7944"/>
  <c r="C354" i="7942"/>
  <c r="D155" i="7941"/>
  <c r="D251" i="7941"/>
  <c r="D618" i="18"/>
  <c r="D458" i="18"/>
  <c r="C418" i="7942"/>
  <c r="D347" i="7941"/>
  <c r="F117" i="1"/>
  <c r="C52" i="7942"/>
  <c r="D542" i="18"/>
  <c r="C406" i="7942"/>
  <c r="D510" i="18"/>
  <c r="C148" i="18"/>
  <c r="C124" i="7942"/>
  <c r="C342" i="7942"/>
  <c r="C84" i="7942"/>
  <c r="D20" i="18"/>
  <c r="D271" i="7941"/>
  <c r="C502" i="7942"/>
  <c r="D303" i="7941"/>
  <c r="C197" i="7944"/>
  <c r="D207" i="7941"/>
  <c r="C285" i="7942"/>
  <c r="D446" i="18"/>
  <c r="C20" i="7942"/>
  <c r="C181" i="7942"/>
  <c r="F49" i="1"/>
  <c r="D175" i="7941"/>
  <c r="D634" i="18"/>
  <c r="D668" i="18"/>
  <c r="B100" i="7944"/>
  <c r="F111" i="1"/>
  <c r="C496" i="7942"/>
  <c r="D504" i="18"/>
  <c r="C78" i="7942"/>
  <c r="C14" i="7942"/>
  <c r="D105" i="7941"/>
  <c r="D536" i="18"/>
  <c r="D137" i="7941"/>
  <c r="D472" i="18"/>
  <c r="D201" i="7941"/>
  <c r="C46" i="7942"/>
  <c r="F77" i="1"/>
  <c r="C10" i="7944"/>
  <c r="D361" i="7941"/>
  <c r="F145" i="1"/>
  <c r="C112" i="7942"/>
  <c r="D297" i="7941"/>
  <c r="D568" i="18"/>
  <c r="C273" i="7942"/>
  <c r="D233" i="7941"/>
  <c r="D477" i="18"/>
  <c r="D639" i="18"/>
  <c r="D78" i="7941"/>
  <c r="D46" i="7941"/>
  <c r="D110" i="7941"/>
  <c r="D509" i="18"/>
  <c r="D174" i="7941"/>
  <c r="C180" i="7942"/>
  <c r="C244" i="7942"/>
  <c r="C341" i="7942"/>
  <c r="D445" i="18"/>
  <c r="B105" i="7945"/>
  <c r="C117" i="7945"/>
  <c r="D142" i="7941"/>
  <c r="C51" i="7942"/>
  <c r="F116" i="1"/>
  <c r="C501" i="7942"/>
  <c r="C469" i="7942"/>
  <c r="C19" i="7942"/>
  <c r="C15" i="7944"/>
  <c r="C135" i="18"/>
  <c r="F82" i="1"/>
  <c r="D673" i="18"/>
  <c r="D276" i="7941"/>
  <c r="D372" i="7941"/>
  <c r="D148" i="7941"/>
  <c r="F88" i="1"/>
  <c r="C25" i="7942"/>
  <c r="C57" i="7942"/>
  <c r="C347" i="7942"/>
  <c r="C295" i="7942"/>
  <c r="D225" i="18"/>
  <c r="D84" i="7941"/>
  <c r="C267" i="7944"/>
  <c r="C21" i="7944"/>
  <c r="D483" i="18"/>
  <c r="D340" i="7941"/>
  <c r="C379" i="7942"/>
  <c r="D244" i="7941"/>
  <c r="C186" i="7942"/>
  <c r="D451" i="18"/>
  <c r="D180" i="7941"/>
  <c r="C89" i="7942"/>
  <c r="B254" i="7944"/>
  <c r="D153" i="7941"/>
  <c r="D488" i="18"/>
  <c r="C191" i="7942"/>
  <c r="D584" i="18"/>
  <c r="D290" i="18"/>
  <c r="D281" i="7941"/>
  <c r="D30" i="18"/>
  <c r="C448" i="7942"/>
  <c r="D249" i="7941"/>
  <c r="D121" i="7941"/>
  <c r="C58" i="7944"/>
  <c r="D552" i="18"/>
  <c r="D217" i="7941"/>
  <c r="B324" i="7944"/>
  <c r="C416" i="7942"/>
  <c r="D25" i="7941"/>
  <c r="C384" i="7942"/>
  <c r="C62" i="7942"/>
  <c r="D185" i="7941"/>
  <c r="F161" i="1"/>
  <c r="C480" i="7942"/>
  <c r="C512" i="7942"/>
  <c r="D156" i="7941"/>
  <c r="C258" i="7942"/>
  <c r="D687" i="18"/>
  <c r="C355" i="7942"/>
  <c r="C379" i="7944"/>
  <c r="D188" i="7941"/>
  <c r="C419" i="7942"/>
  <c r="D555" i="18"/>
  <c r="D92" i="7941"/>
  <c r="F130" i="1"/>
  <c r="F164" i="1"/>
  <c r="D124" i="7941"/>
  <c r="C317" i="18"/>
  <c r="D459" i="18"/>
  <c r="C311" i="7942"/>
  <c r="D380" i="7941"/>
  <c r="C483" i="7942"/>
  <c r="C65" i="7942"/>
  <c r="C194" i="7942"/>
  <c r="D316" i="7941"/>
  <c r="F62" i="1"/>
  <c r="D28" i="7941"/>
  <c r="D587" i="18"/>
  <c r="D223" i="7941"/>
  <c r="D127" i="7941"/>
  <c r="D656" i="18"/>
  <c r="F133" i="1"/>
  <c r="D159" i="7941"/>
  <c r="D558" i="18"/>
  <c r="C261" i="7942"/>
  <c r="C229" i="7942"/>
  <c r="C156" i="7942"/>
  <c r="B408" i="7944"/>
  <c r="D36" i="18"/>
  <c r="D590" i="18"/>
  <c r="D494" i="18"/>
  <c r="D31" i="7941"/>
  <c r="C100" i="7942"/>
  <c r="C390" i="7942"/>
  <c r="C454" i="7942"/>
  <c r="C64" i="7944"/>
  <c r="D368" i="18"/>
  <c r="C422" i="7942"/>
  <c r="C421" i="7944"/>
  <c r="P397" i="18"/>
  <c r="N280" i="18"/>
  <c r="Q111" i="18"/>
  <c r="Q163" i="18"/>
  <c r="E289" i="7945"/>
  <c r="F289" i="7945" s="1"/>
  <c r="Q85" i="18"/>
  <c r="Q215" i="18"/>
  <c r="O319" i="18"/>
  <c r="H130" i="7944"/>
  <c r="H141" i="7944"/>
  <c r="I12" i="7944"/>
  <c r="J12" i="7944"/>
  <c r="P296" i="7944"/>
  <c r="Q296" i="7944"/>
  <c r="G667" i="18"/>
  <c r="G633" i="18"/>
  <c r="G211" i="7941"/>
  <c r="N396" i="7944"/>
  <c r="O396" i="7944"/>
  <c r="P396" i="7944"/>
  <c r="Q396" i="7944"/>
  <c r="K141" i="7944"/>
  <c r="K174" i="7944"/>
  <c r="G450" i="7944"/>
  <c r="I450" i="7944"/>
  <c r="I463" i="7944"/>
  <c r="K450" i="7944"/>
  <c r="K463" i="7944"/>
  <c r="H450" i="7944"/>
  <c r="H463" i="7944"/>
  <c r="L450" i="7944"/>
  <c r="L463" i="7944"/>
  <c r="J450" i="7944"/>
  <c r="J463" i="7944"/>
  <c r="K386" i="7945"/>
  <c r="N450" i="7944"/>
  <c r="P450" i="7944"/>
  <c r="M450" i="7944"/>
  <c r="Q450" i="7944"/>
  <c r="P240" i="7944"/>
  <c r="Q240" i="7944"/>
  <c r="G687" i="18"/>
  <c r="G653" i="18"/>
  <c r="G208" i="7941"/>
  <c r="H8" i="7944"/>
  <c r="H15" i="7944"/>
  <c r="H34" i="7944"/>
  <c r="G25" i="7944"/>
  <c r="H25" i="7944"/>
  <c r="S37" i="1"/>
  <c r="H312" i="7944"/>
  <c r="H323" i="7944"/>
  <c r="O452" i="7944"/>
  <c r="P452" i="7944"/>
  <c r="Q452" i="7944"/>
  <c r="N397" i="7944"/>
  <c r="Q400" i="7944"/>
  <c r="P399" i="7944"/>
  <c r="Q399" i="7944"/>
  <c r="O398" i="7944"/>
  <c r="P398" i="7944"/>
  <c r="N453" i="7944"/>
  <c r="O453" i="7944"/>
  <c r="P455" i="7944"/>
  <c r="Q455" i="7944"/>
  <c r="E415" i="7945"/>
  <c r="Q363" i="7944"/>
  <c r="Q362" i="7944"/>
  <c r="P360" i="7944"/>
  <c r="O358" i="7944"/>
  <c r="N359" i="7944"/>
  <c r="M358" i="7944"/>
  <c r="N360" i="7944"/>
  <c r="M359" i="7944"/>
  <c r="O360" i="7944"/>
  <c r="Q360" i="7944"/>
  <c r="P358" i="7944"/>
  <c r="M356" i="7944"/>
  <c r="N356" i="7944"/>
  <c r="N357" i="7944"/>
  <c r="P361" i="7944"/>
  <c r="O361" i="7944"/>
  <c r="M357" i="7944"/>
  <c r="O357" i="7944"/>
  <c r="Q359" i="7944"/>
  <c r="Q358" i="7944"/>
  <c r="N85" i="18"/>
  <c r="P85" i="18"/>
  <c r="O85" i="18"/>
  <c r="M85" i="18"/>
  <c r="N148" i="18"/>
  <c r="P148" i="18"/>
  <c r="M148" i="18"/>
  <c r="G632" i="18"/>
  <c r="G674" i="18"/>
  <c r="G640" i="18"/>
  <c r="G673" i="18"/>
  <c r="G639" i="18"/>
  <c r="G684" i="18"/>
  <c r="G650" i="18"/>
  <c r="G691" i="18"/>
  <c r="G657" i="18"/>
  <c r="B21" i="7945"/>
  <c r="C33" i="7945"/>
  <c r="D503" i="18"/>
  <c r="C99" i="7944"/>
  <c r="D296" i="7941"/>
  <c r="D264" i="7941"/>
  <c r="D136" i="7941"/>
  <c r="F144" i="1"/>
  <c r="B86" i="7944"/>
  <c r="C45" i="7942"/>
  <c r="D69" i="18"/>
  <c r="D535" i="18"/>
  <c r="C271" i="7942"/>
  <c r="D104" i="7941"/>
  <c r="C495" i="7942"/>
  <c r="D360" i="7941"/>
  <c r="F110" i="1"/>
  <c r="D232" i="7941"/>
  <c r="C335" i="7942"/>
  <c r="D72" i="7941"/>
  <c r="D633" i="18"/>
  <c r="D667" i="18"/>
  <c r="D599" i="18"/>
  <c r="C57" i="18"/>
  <c r="D168" i="7941"/>
  <c r="F84" i="1"/>
  <c r="C49" i="7944"/>
  <c r="D304" i="7941"/>
  <c r="D176" i="7941"/>
  <c r="C471" i="7942"/>
  <c r="C375" i="7942"/>
  <c r="D575" i="18"/>
  <c r="C246" i="7942"/>
  <c r="D511" i="18"/>
  <c r="C503" i="7942"/>
  <c r="B198" i="7944"/>
  <c r="C53" i="7942"/>
  <c r="F50" i="1"/>
  <c r="D543" i="18"/>
  <c r="D272" i="7941"/>
  <c r="D240" i="7941"/>
  <c r="C161" i="18"/>
  <c r="C126" i="7942"/>
  <c r="D208" i="7941"/>
  <c r="D368" i="7941"/>
  <c r="D112" i="7941"/>
  <c r="C214" i="7942"/>
  <c r="C415" i="7942"/>
  <c r="D649" i="18"/>
  <c r="C61" i="7942"/>
  <c r="C29" i="7942"/>
  <c r="C447" i="7942"/>
  <c r="C479" i="7942"/>
  <c r="D88" i="7941"/>
  <c r="C57" i="7944"/>
  <c r="D344" i="7941"/>
  <c r="F126" i="1"/>
  <c r="D615" i="18"/>
  <c r="C222" i="7942"/>
  <c r="C351" i="7942"/>
  <c r="D280" i="7941"/>
  <c r="C323" i="7944"/>
  <c r="D312" i="7941"/>
  <c r="D56" i="7941"/>
  <c r="D152" i="7941"/>
  <c r="C142" i="7942"/>
  <c r="D216" i="7941"/>
  <c r="C303" i="7942"/>
  <c r="D120" i="7941"/>
  <c r="D282" i="7941"/>
  <c r="B338" i="7944"/>
  <c r="D617" i="18"/>
  <c r="C63" i="7942"/>
  <c r="F60" i="1"/>
  <c r="D31" i="18"/>
  <c r="F128" i="1"/>
  <c r="C449" i="7942"/>
  <c r="D58" i="7941"/>
  <c r="F94" i="1"/>
  <c r="C513" i="7942"/>
  <c r="C256" i="7942"/>
  <c r="C27" i="7944"/>
  <c r="D553" i="18"/>
  <c r="D26" i="7941"/>
  <c r="D651" i="18"/>
  <c r="D489" i="18"/>
  <c r="C291" i="18"/>
  <c r="D303" i="18"/>
  <c r="C417" i="7942"/>
  <c r="D346" i="7941"/>
  <c r="D585" i="18"/>
  <c r="B49" i="7945"/>
  <c r="C61" i="7945"/>
  <c r="F78" i="1"/>
  <c r="D74" i="7941"/>
  <c r="F44" i="1"/>
  <c r="C176" i="7942"/>
  <c r="C433" i="7942"/>
  <c r="D106" i="7941"/>
  <c r="D601" i="18"/>
  <c r="D330" i="7941"/>
  <c r="F112" i="1"/>
  <c r="D505" i="18"/>
  <c r="C15" i="7942"/>
  <c r="B114" i="7944"/>
  <c r="D441" i="18"/>
  <c r="D635" i="18"/>
  <c r="F146" i="1"/>
  <c r="D202" i="7941"/>
  <c r="C127" i="7944"/>
  <c r="D362" i="7941"/>
  <c r="C401" i="7942"/>
  <c r="D234" i="7941"/>
  <c r="D266" i="7941"/>
  <c r="D298" i="7941"/>
  <c r="C369" i="7942"/>
  <c r="C248" i="7942"/>
  <c r="F120" i="1"/>
  <c r="D481" i="18"/>
  <c r="C184" i="7942"/>
  <c r="C239" i="7944"/>
  <c r="D577" i="18"/>
  <c r="D146" i="7941"/>
  <c r="D178" i="7941"/>
  <c r="D50" i="7941"/>
  <c r="D370" i="7941"/>
  <c r="C216" i="7942"/>
  <c r="F154" i="1"/>
  <c r="C19" i="7944"/>
  <c r="C291" i="7942"/>
  <c r="C441" i="7942"/>
  <c r="D338" i="7941"/>
  <c r="D242" i="7941"/>
  <c r="F86" i="1"/>
  <c r="C87" i="7942"/>
  <c r="C55" i="7942"/>
  <c r="D545" i="18"/>
  <c r="D677" i="18"/>
  <c r="B315" i="7945"/>
  <c r="C327" i="7945"/>
  <c r="D688" i="18"/>
  <c r="D342" i="18"/>
  <c r="D61" i="7941"/>
  <c r="D620" i="18"/>
  <c r="D492" i="18"/>
  <c r="D29" i="7941"/>
  <c r="C356" i="7942"/>
  <c r="D34" i="18"/>
  <c r="F63" i="1"/>
  <c r="B380" i="7944"/>
  <c r="D460" i="18"/>
  <c r="D654" i="18"/>
  <c r="C388" i="7942"/>
  <c r="D125" i="7941"/>
  <c r="D588" i="18"/>
  <c r="C152" i="7942"/>
  <c r="F97" i="1"/>
  <c r="C98" i="7942"/>
  <c r="C34" i="7942"/>
  <c r="D381" i="7941"/>
  <c r="C516" i="7942"/>
  <c r="C62" i="7944"/>
  <c r="F131" i="1"/>
  <c r="B394" i="7944"/>
  <c r="D525" i="18"/>
  <c r="D318" i="7941"/>
  <c r="C453" i="7942"/>
  <c r="C63" i="7944"/>
  <c r="D222" i="7941"/>
  <c r="D126" i="7941"/>
  <c r="C99" i="7942"/>
  <c r="C517" i="7942"/>
  <c r="C67" i="7942"/>
  <c r="D254" i="7941"/>
  <c r="D355" i="18"/>
  <c r="C31" i="7944"/>
  <c r="D689" i="18"/>
  <c r="D190" i="7941"/>
  <c r="C154" i="7942"/>
  <c r="F132" i="1"/>
  <c r="D158" i="7941"/>
  <c r="F98" i="1"/>
  <c r="D589" i="18"/>
  <c r="F166" i="1"/>
  <c r="C196" i="7942"/>
  <c r="D476" i="18"/>
  <c r="C500" i="7942"/>
  <c r="D444" i="18"/>
  <c r="C169" i="7944"/>
  <c r="C404" i="7942"/>
  <c r="C468" i="7942"/>
  <c r="C122" i="18"/>
  <c r="C372" i="7942"/>
  <c r="D604" i="18"/>
  <c r="D672" i="18"/>
  <c r="D13" i="7941"/>
  <c r="C243" i="7942"/>
  <c r="D109" i="7941"/>
  <c r="D365" i="7941"/>
  <c r="D205" i="7941"/>
  <c r="D237" i="7941"/>
  <c r="D141" i="7941"/>
  <c r="C340" i="7942"/>
  <c r="C82" i="7942"/>
  <c r="F149" i="1"/>
  <c r="C179" i="7942"/>
  <c r="D540" i="18"/>
  <c r="B203" i="7945"/>
  <c r="C215" i="7945"/>
  <c r="D580" i="18"/>
  <c r="D680" i="18"/>
  <c r="C380" i="7942"/>
  <c r="D181" i="7941"/>
  <c r="D612" i="18"/>
  <c r="C226" i="18"/>
  <c r="F123" i="1"/>
  <c r="D26" i="18"/>
  <c r="C251" i="7942"/>
  <c r="C412" i="7942"/>
  <c r="C348" i="7942"/>
  <c r="F89" i="1"/>
  <c r="C54" i="7944"/>
  <c r="D149" i="7941"/>
  <c r="C476" i="7942"/>
  <c r="D213" i="7941"/>
  <c r="D646" i="18"/>
  <c r="D245" i="7941"/>
  <c r="C281" i="7944"/>
  <c r="C90" i="7942"/>
  <c r="D516" i="18"/>
  <c r="D53" i="7941"/>
  <c r="D484" i="18"/>
  <c r="F101" i="1"/>
  <c r="C66" i="7944"/>
  <c r="D321" i="7941"/>
  <c r="C160" i="7942"/>
  <c r="D225" i="7941"/>
  <c r="C449" i="7944"/>
  <c r="C392" i="7942"/>
  <c r="C360" i="7942"/>
  <c r="D658" i="18"/>
  <c r="D33" i="7941"/>
  <c r="F169" i="1"/>
  <c r="D161" i="7941"/>
  <c r="C231" i="7942"/>
  <c r="C456" i="7942"/>
  <c r="D353" i="7941"/>
  <c r="B436" i="7944"/>
  <c r="C38" i="7942"/>
  <c r="D394" i="18"/>
  <c r="D692" i="18"/>
  <c r="D385" i="7941"/>
  <c r="D624" i="18"/>
  <c r="D560" i="18"/>
  <c r="B357" i="7945"/>
  <c r="C369" i="7945"/>
  <c r="D37" i="18"/>
  <c r="D381" i="18"/>
  <c r="D495" i="18"/>
  <c r="C33" i="7944"/>
  <c r="C101" i="7942"/>
  <c r="D32" i="7941"/>
  <c r="C198" i="7942"/>
  <c r="C423" i="7942"/>
  <c r="C359" i="7942"/>
  <c r="D288" i="7941"/>
  <c r="D527" i="18"/>
  <c r="D463" i="18"/>
  <c r="F66" i="1"/>
  <c r="D320" i="7941"/>
  <c r="C69" i="7942"/>
  <c r="D192" i="7941"/>
  <c r="D224" i="7941"/>
  <c r="C455" i="7942"/>
  <c r="C230" i="7942"/>
  <c r="C519" i="7942"/>
  <c r="C262" i="7942"/>
  <c r="B422" i="7944"/>
  <c r="D160" i="7941"/>
  <c r="D299" i="7941"/>
  <c r="C141" i="7944"/>
  <c r="D203" i="7941"/>
  <c r="C48" i="7942"/>
  <c r="C177" i="7942"/>
  <c r="D570" i="18"/>
  <c r="C498" i="7942"/>
  <c r="C44" i="7944"/>
  <c r="F147" i="1"/>
  <c r="C370" i="7942"/>
  <c r="C402" i="7942"/>
  <c r="D602" i="18"/>
  <c r="C338" i="7942"/>
  <c r="D235" i="7941"/>
  <c r="D107" i="7941"/>
  <c r="C209" i="7942"/>
  <c r="D538" i="18"/>
  <c r="D670" i="18"/>
  <c r="D108" i="18"/>
  <c r="D171" i="7941"/>
  <c r="D75" i="7941"/>
  <c r="F79" i="1"/>
  <c r="C506" i="7942"/>
  <c r="C249" i="7942"/>
  <c r="C88" i="7942"/>
  <c r="B240" i="7944"/>
  <c r="C20" i="7944"/>
  <c r="C185" i="7942"/>
  <c r="C293" i="7942"/>
  <c r="D450" i="18"/>
  <c r="C378" i="7942"/>
  <c r="D83" i="7941"/>
  <c r="C24" i="7942"/>
  <c r="D514" i="18"/>
  <c r="D147" i="7941"/>
  <c r="C346" i="7942"/>
  <c r="C442" i="7942"/>
  <c r="D19" i="7941"/>
  <c r="C132" i="7942"/>
  <c r="F87" i="1"/>
  <c r="D24" i="18"/>
  <c r="F155" i="1"/>
  <c r="C200" i="18"/>
  <c r="C52" i="7944"/>
  <c r="H435" i="7944"/>
  <c r="I33" i="7944"/>
  <c r="J33" i="7944"/>
  <c r="J435" i="7944"/>
  <c r="K33" i="7944"/>
  <c r="L33" i="7944"/>
  <c r="J358" i="7945"/>
  <c r="I327" i="7944"/>
  <c r="I337" i="7944"/>
  <c r="P454" i="7944"/>
  <c r="Q454" i="7944"/>
  <c r="M397" i="18"/>
  <c r="O397" i="18"/>
  <c r="Q397" i="18"/>
  <c r="F368" i="7945"/>
  <c r="N375" i="18"/>
  <c r="N372" i="18"/>
  <c r="P373" i="18"/>
  <c r="Q374" i="18"/>
  <c r="F365" i="7945"/>
  <c r="P376" i="18"/>
  <c r="Q371" i="18"/>
  <c r="O377" i="18"/>
  <c r="O373" i="18"/>
  <c r="Q373" i="18"/>
  <c r="F367" i="7945"/>
  <c r="N374" i="18"/>
  <c r="Q376" i="18"/>
  <c r="O376" i="18"/>
  <c r="Q372" i="18"/>
  <c r="Q378" i="18"/>
  <c r="M375" i="18"/>
  <c r="F364" i="7945"/>
  <c r="F362" i="7945"/>
  <c r="O374" i="18"/>
  <c r="P377" i="18"/>
  <c r="P372" i="18"/>
  <c r="M314" i="7944"/>
  <c r="Q317" i="7944"/>
  <c r="I312" i="7944"/>
  <c r="I313" i="7944"/>
  <c r="I323" i="7944"/>
  <c r="P315" i="7944"/>
  <c r="K247" i="7945"/>
  <c r="O314" i="7944"/>
  <c r="P317" i="7944"/>
  <c r="K253" i="7945"/>
  <c r="K313" i="7944"/>
  <c r="M315" i="7944"/>
  <c r="P318" i="7944"/>
  <c r="Q316" i="7944"/>
  <c r="J312" i="7944"/>
  <c r="J323" i="7944"/>
  <c r="L314" i="7944"/>
  <c r="N314" i="7944"/>
  <c r="K315" i="7944"/>
  <c r="N312" i="7944"/>
  <c r="K256" i="7945"/>
  <c r="Q321" i="7944"/>
  <c r="L313" i="7944"/>
  <c r="L323" i="7944"/>
  <c r="P313" i="7944"/>
  <c r="O318" i="7944"/>
  <c r="M317" i="7944"/>
  <c r="Q313" i="7944"/>
  <c r="M312" i="7944"/>
  <c r="P320" i="7944"/>
  <c r="Q320" i="7944"/>
  <c r="K252" i="7945"/>
  <c r="O317" i="7944"/>
  <c r="K251" i="7945"/>
  <c r="N315" i="7944"/>
  <c r="Q329" i="7944"/>
  <c r="M331" i="7944"/>
  <c r="J328" i="7944"/>
  <c r="J337" i="7944"/>
  <c r="H326" i="7944"/>
  <c r="K329" i="7944"/>
  <c r="O333" i="7944"/>
  <c r="P333" i="7944"/>
  <c r="P328" i="7944"/>
  <c r="N331" i="7944"/>
  <c r="O327" i="7944"/>
  <c r="P331" i="7944"/>
  <c r="Q332" i="7944"/>
  <c r="K328" i="7944"/>
  <c r="K337" i="7944"/>
  <c r="P334" i="7944"/>
  <c r="O332" i="7944"/>
  <c r="L327" i="7944"/>
  <c r="L328" i="7944"/>
  <c r="L330" i="7944"/>
  <c r="L337" i="7944"/>
  <c r="N332" i="7944"/>
  <c r="M326" i="7944"/>
  <c r="M329" i="7944"/>
  <c r="N329" i="7944"/>
  <c r="O331" i="7944"/>
  <c r="N330" i="7944"/>
  <c r="M330" i="7944"/>
  <c r="Q331" i="7944"/>
  <c r="J37" i="1"/>
  <c r="H173" i="1"/>
  <c r="Q150" i="18"/>
  <c r="M239" i="18"/>
  <c r="O239" i="18"/>
  <c r="Q239" i="18"/>
  <c r="O345" i="18"/>
  <c r="P345" i="18"/>
  <c r="P332" i="18"/>
  <c r="O111" i="18"/>
  <c r="P59" i="18"/>
  <c r="N59" i="18"/>
  <c r="O59" i="18"/>
  <c r="P280" i="18"/>
  <c r="M280" i="18"/>
  <c r="O280" i="18"/>
  <c r="O215" i="18"/>
  <c r="P215" i="18"/>
  <c r="Q358" i="18"/>
  <c r="P189" i="18"/>
  <c r="N189" i="18"/>
  <c r="M189" i="18"/>
  <c r="Q189" i="18"/>
  <c r="Q137" i="18"/>
  <c r="O254" i="18"/>
  <c r="O176" i="18"/>
  <c r="M176" i="18"/>
  <c r="Q124" i="18"/>
  <c r="M98" i="18"/>
  <c r="O98" i="18"/>
  <c r="P98" i="18"/>
  <c r="Q72" i="18"/>
  <c r="P46" i="18"/>
  <c r="Q46" i="18"/>
  <c r="P293" i="18"/>
  <c r="Q293" i="18"/>
  <c r="O241" i="18"/>
  <c r="N241" i="18"/>
  <c r="P241" i="18"/>
  <c r="Q241" i="18"/>
  <c r="O202" i="18"/>
  <c r="O384" i="18"/>
  <c r="P254" i="18"/>
  <c r="P319" i="18"/>
  <c r="O306" i="18"/>
  <c r="J197" i="7944"/>
  <c r="H197" i="7944"/>
  <c r="H74" i="7944"/>
  <c r="J74" i="7944"/>
  <c r="L74" i="7944"/>
  <c r="J75" i="7944"/>
  <c r="L75" i="7944"/>
  <c r="K76" i="7944"/>
  <c r="K77" i="7944"/>
  <c r="L77" i="7944"/>
  <c r="J11" i="7945"/>
  <c r="K11" i="7945" s="1"/>
  <c r="L78" i="7944"/>
  <c r="J12" i="7945"/>
  <c r="K12" i="7945" s="1"/>
  <c r="I74" i="7944"/>
  <c r="I75" i="7944"/>
  <c r="I85" i="7944"/>
  <c r="K75" i="7944"/>
  <c r="J76" i="7944"/>
  <c r="K74" i="7944"/>
  <c r="K85" i="7944"/>
  <c r="L76" i="7944"/>
  <c r="P80" i="7944"/>
  <c r="M75" i="7944"/>
  <c r="Q83" i="7944"/>
  <c r="Q82" i="7944"/>
  <c r="P82" i="7944"/>
  <c r="N80" i="7944"/>
  <c r="Q76" i="7944"/>
  <c r="O81" i="7944"/>
  <c r="P74" i="7944"/>
  <c r="O75" i="7944"/>
  <c r="N74" i="7944"/>
  <c r="Q79" i="7944"/>
  <c r="P77" i="7944"/>
  <c r="O76" i="7944"/>
  <c r="O79" i="7944"/>
  <c r="O78" i="7944"/>
  <c r="M78" i="7944"/>
  <c r="Q74" i="7944"/>
  <c r="M79" i="7944"/>
  <c r="N77" i="7944"/>
  <c r="H116" i="7944"/>
  <c r="H127" i="7944"/>
  <c r="I11" i="7944"/>
  <c r="J116" i="7944"/>
  <c r="L116" i="7944"/>
  <c r="J117" i="7944"/>
  <c r="L117" i="7944"/>
  <c r="K118" i="7944"/>
  <c r="K119" i="7944"/>
  <c r="L120" i="7944"/>
  <c r="I116" i="7944"/>
  <c r="K117" i="7944"/>
  <c r="J118" i="7944"/>
  <c r="L119" i="7944"/>
  <c r="K116" i="7944"/>
  <c r="I117" i="7944"/>
  <c r="L118" i="7944"/>
  <c r="G86" i="7944"/>
  <c r="I86" i="7944"/>
  <c r="I99" i="7944"/>
  <c r="K86" i="7944"/>
  <c r="K99" i="7944"/>
  <c r="H86" i="7944"/>
  <c r="H99" i="7944"/>
  <c r="L86" i="7944"/>
  <c r="L99" i="7944"/>
  <c r="J86" i="7944"/>
  <c r="J99" i="7944"/>
  <c r="G282" i="7944"/>
  <c r="G295" i="7944"/>
  <c r="H23" i="7944"/>
  <c r="I282" i="7944"/>
  <c r="I295" i="7944"/>
  <c r="K282" i="7944"/>
  <c r="K295" i="7944"/>
  <c r="H282" i="7944"/>
  <c r="H295" i="7944"/>
  <c r="L282" i="7944"/>
  <c r="L295" i="7944"/>
  <c r="J282" i="7944"/>
  <c r="J218" i="7945"/>
  <c r="J295" i="7944"/>
  <c r="G254" i="7944"/>
  <c r="I254" i="7944"/>
  <c r="I267" i="7944"/>
  <c r="K254" i="7944"/>
  <c r="K267" i="7944"/>
  <c r="G184" i="7944"/>
  <c r="I184" i="7944"/>
  <c r="I197" i="7944"/>
  <c r="K184" i="7944"/>
  <c r="K197" i="7944"/>
  <c r="G156" i="7944"/>
  <c r="I156" i="7944"/>
  <c r="I169" i="7944"/>
  <c r="K156" i="7944"/>
  <c r="K169" i="7944"/>
  <c r="H200" i="7944"/>
  <c r="H211" i="7944"/>
  <c r="I17" i="7944"/>
  <c r="J200" i="7944"/>
  <c r="L200" i="7944"/>
  <c r="J201" i="7944"/>
  <c r="L201" i="7944"/>
  <c r="K201" i="7944"/>
  <c r="J135" i="7945"/>
  <c r="K135" i="7945" s="1"/>
  <c r="K202" i="7944"/>
  <c r="K203" i="7944"/>
  <c r="L203" i="7944"/>
  <c r="L204" i="7944"/>
  <c r="I200" i="7944"/>
  <c r="I211" i="7944"/>
  <c r="K211" i="7944"/>
  <c r="J202" i="7944"/>
  <c r="J134" i="7945"/>
  <c r="K146" i="7944"/>
  <c r="H298" i="7944"/>
  <c r="H309" i="7944"/>
  <c r="I24" i="7944"/>
  <c r="I298" i="7944"/>
  <c r="I309" i="7944"/>
  <c r="J24" i="7944"/>
  <c r="J298" i="7944"/>
  <c r="L298" i="7944"/>
  <c r="J299" i="7944"/>
  <c r="L299" i="7944"/>
  <c r="K300" i="7944"/>
  <c r="L301" i="7944"/>
  <c r="L302" i="7944"/>
  <c r="K299" i="7944"/>
  <c r="K309" i="7944"/>
  <c r="J300" i="7944"/>
  <c r="J232" i="7945"/>
  <c r="J274" i="7945"/>
  <c r="J130" i="7944"/>
  <c r="L130" i="7944"/>
  <c r="J131" i="7944"/>
  <c r="L131" i="7944"/>
  <c r="J65" i="7945"/>
  <c r="K65" i="7945" s="1"/>
  <c r="J64" i="7945"/>
  <c r="H102" i="7944"/>
  <c r="H113" i="7944"/>
  <c r="I10" i="7944"/>
  <c r="J10" i="7944"/>
  <c r="J102" i="7944"/>
  <c r="L102" i="7944"/>
  <c r="J103" i="7944"/>
  <c r="L103" i="7944"/>
  <c r="J37" i="7945"/>
  <c r="K37" i="7945" s="1"/>
  <c r="K104" i="7944"/>
  <c r="K105" i="7944"/>
  <c r="L106" i="7944"/>
  <c r="H172" i="7944"/>
  <c r="H183" i="7944"/>
  <c r="J172" i="7944"/>
  <c r="L172" i="7944"/>
  <c r="J173" i="7944"/>
  <c r="L173" i="7944"/>
  <c r="J107" i="7945"/>
  <c r="K107" i="7945" s="1"/>
  <c r="K175" i="7944"/>
  <c r="K183" i="7944"/>
  <c r="L176" i="7944"/>
  <c r="J106" i="7945"/>
  <c r="H242" i="7944"/>
  <c r="H253" i="7944"/>
  <c r="I20" i="7944"/>
  <c r="J20" i="7944"/>
  <c r="J242" i="7944"/>
  <c r="L242" i="7944"/>
  <c r="J243" i="7944"/>
  <c r="L243" i="7944"/>
  <c r="K244" i="7944"/>
  <c r="K253" i="7944"/>
  <c r="L245" i="7944"/>
  <c r="L246" i="7944"/>
  <c r="J176" i="7945"/>
  <c r="H144" i="7944"/>
  <c r="H155" i="7944"/>
  <c r="I13" i="7944"/>
  <c r="J13" i="7944"/>
  <c r="J144" i="7944"/>
  <c r="L144" i="7944"/>
  <c r="J145" i="7944"/>
  <c r="L145" i="7944"/>
  <c r="J79" i="7945"/>
  <c r="K79" i="7945" s="1"/>
  <c r="K147" i="7944"/>
  <c r="L148" i="7944"/>
  <c r="J78" i="7945"/>
  <c r="G212" i="7944"/>
  <c r="I212" i="7944"/>
  <c r="I225" i="7944"/>
  <c r="K212" i="7944"/>
  <c r="K225" i="7944"/>
  <c r="H438" i="7944"/>
  <c r="H449" i="7944"/>
  <c r="J438" i="7944"/>
  <c r="L438" i="7944"/>
  <c r="J439" i="7944"/>
  <c r="L439" i="7944"/>
  <c r="K440" i="7944"/>
  <c r="K449" i="7944"/>
  <c r="L441" i="7944"/>
  <c r="L442" i="7944"/>
  <c r="J149" i="7945"/>
  <c r="K149" i="7945" s="1"/>
  <c r="I163" i="7945"/>
  <c r="P384" i="18"/>
  <c r="Q384" i="18"/>
  <c r="P358" i="18"/>
  <c r="O358" i="18"/>
  <c r="N98" i="18"/>
  <c r="Q98" i="18"/>
  <c r="Q176" i="18"/>
  <c r="N176" i="18"/>
  <c r="P176" i="18"/>
  <c r="O124" i="18"/>
  <c r="P124" i="18"/>
  <c r="J162" i="7945"/>
  <c r="J302" i="7945"/>
  <c r="J316" i="7945"/>
  <c r="L155" i="7944"/>
  <c r="L183" i="7944"/>
  <c r="L211" i="7944"/>
  <c r="J17" i="7944"/>
  <c r="J120" i="7945"/>
  <c r="G197" i="7944"/>
  <c r="H16" i="7944"/>
  <c r="I16" i="7944"/>
  <c r="J16" i="7944"/>
  <c r="K16" i="7944"/>
  <c r="L16" i="7944"/>
  <c r="M16" i="7944"/>
  <c r="E331" i="7945"/>
  <c r="F331" i="7945" s="1"/>
  <c r="J51" i="7945"/>
  <c r="K51" i="7945" s="1"/>
  <c r="J10" i="7945"/>
  <c r="K10" i="7945" s="1"/>
  <c r="L85" i="7944"/>
  <c r="H85" i="7944"/>
  <c r="J8" i="7945"/>
  <c r="J246" i="7945"/>
  <c r="J449" i="7944"/>
  <c r="J372" i="7945"/>
  <c r="L253" i="7944"/>
  <c r="K113" i="7944"/>
  <c r="J113" i="7944"/>
  <c r="K10" i="7944"/>
  <c r="L10" i="7944"/>
  <c r="L113" i="7944"/>
  <c r="M10" i="7944"/>
  <c r="J36" i="7945"/>
  <c r="J141" i="7944"/>
  <c r="J309" i="7944"/>
  <c r="K24" i="7944"/>
  <c r="L24" i="7944"/>
  <c r="L309" i="7944"/>
  <c r="M24" i="7944"/>
  <c r="E317" i="7945"/>
  <c r="F317" i="7945" s="1"/>
  <c r="G99" i="7944"/>
  <c r="J22" i="7945"/>
  <c r="J127" i="7944"/>
  <c r="J50" i="7945"/>
  <c r="I173" i="1"/>
  <c r="P306" i="18"/>
  <c r="Q306" i="18"/>
  <c r="Q254" i="18"/>
  <c r="E401" i="7945"/>
  <c r="E303" i="7945"/>
  <c r="F303" i="7945" s="1"/>
  <c r="E121" i="7945"/>
  <c r="F121" i="7945" s="1"/>
  <c r="J260" i="7945"/>
  <c r="H337" i="7944"/>
  <c r="I26" i="7944"/>
  <c r="J26" i="7944"/>
  <c r="K26" i="7944"/>
  <c r="L26" i="7944"/>
  <c r="M26" i="7944"/>
  <c r="K323" i="7944"/>
  <c r="E359" i="7945"/>
  <c r="G217" i="7941"/>
  <c r="G206" i="7941"/>
  <c r="G665" i="18"/>
  <c r="O397" i="7944"/>
  <c r="P397" i="7944"/>
  <c r="I8" i="7944"/>
  <c r="G209" i="7941"/>
  <c r="J386" i="7945"/>
  <c r="G463" i="7944"/>
  <c r="H35" i="7944"/>
  <c r="I35" i="7944"/>
  <c r="J35" i="7944"/>
  <c r="K35" i="7944"/>
  <c r="L35" i="7944"/>
  <c r="M35" i="7944"/>
  <c r="H437" i="18"/>
  <c r="K12" i="7944"/>
  <c r="L12" i="7944"/>
  <c r="L141" i="7944"/>
  <c r="M12" i="7944"/>
  <c r="L449" i="7944"/>
  <c r="J344" i="7945"/>
  <c r="J148" i="7945"/>
  <c r="G225" i="7944"/>
  <c r="H18" i="7944"/>
  <c r="I18" i="7944"/>
  <c r="J18" i="7944"/>
  <c r="K18" i="7944"/>
  <c r="L18" i="7944"/>
  <c r="M18" i="7944"/>
  <c r="P212" i="7944"/>
  <c r="Q212" i="7944"/>
  <c r="K155" i="7944"/>
  <c r="J155" i="7944"/>
  <c r="K13" i="7944"/>
  <c r="L13" i="7944"/>
  <c r="M13" i="7944"/>
  <c r="J253" i="7944"/>
  <c r="K20" i="7944"/>
  <c r="L20" i="7944"/>
  <c r="M20" i="7944"/>
  <c r="J183" i="7944"/>
  <c r="O338" i="7944"/>
  <c r="P338" i="7944"/>
  <c r="J211" i="7944"/>
  <c r="J92" i="7945"/>
  <c r="G169" i="7944"/>
  <c r="H14" i="7944"/>
  <c r="I14" i="7944"/>
  <c r="J14" i="7944"/>
  <c r="K14" i="7944"/>
  <c r="L14" i="7944"/>
  <c r="M14" i="7944"/>
  <c r="E345" i="7945"/>
  <c r="F345" i="7945" s="1"/>
  <c r="E93" i="7945"/>
  <c r="F93" i="7945" s="1"/>
  <c r="J190" i="7945"/>
  <c r="G267" i="7944"/>
  <c r="H21" i="7944"/>
  <c r="I21" i="7944"/>
  <c r="J21" i="7944"/>
  <c r="K21" i="7944"/>
  <c r="L21" i="7944"/>
  <c r="M21" i="7944"/>
  <c r="M254" i="7944"/>
  <c r="N254" i="7944"/>
  <c r="O254" i="7944"/>
  <c r="I23" i="7944"/>
  <c r="J23" i="7944"/>
  <c r="K23" i="7944"/>
  <c r="L23" i="7944"/>
  <c r="M23" i="7944"/>
  <c r="K127" i="7944"/>
  <c r="I127" i="7944"/>
  <c r="J11" i="7944"/>
  <c r="K11" i="7944"/>
  <c r="L11" i="7944"/>
  <c r="L127" i="7944"/>
  <c r="M11" i="7944"/>
  <c r="J9" i="7945"/>
  <c r="K9" i="7945" s="1"/>
  <c r="J85" i="7944"/>
  <c r="J71" i="7944"/>
  <c r="E247" i="7945"/>
  <c r="E233" i="7945"/>
  <c r="F233" i="7945" s="1"/>
  <c r="H309" i="7942"/>
  <c r="H301" i="7942"/>
  <c r="H283" i="7942"/>
  <c r="H325" i="7942"/>
  <c r="H287" i="7942"/>
  <c r="H323" i="7942"/>
  <c r="H275" i="7942"/>
  <c r="H279" i="7942"/>
  <c r="H303" i="7942"/>
  <c r="H319" i="7942"/>
  <c r="H305" i="7942"/>
  <c r="H293" i="7942"/>
  <c r="H277" i="7942"/>
  <c r="H317" i="7942"/>
  <c r="H315" i="7942"/>
  <c r="H311" i="7942"/>
  <c r="H297" i="7942"/>
  <c r="H313" i="7942"/>
  <c r="H295" i="7942"/>
  <c r="H273" i="7942"/>
  <c r="H271" i="7942"/>
  <c r="H327" i="7942"/>
  <c r="H285" i="7942"/>
  <c r="H321" i="7942"/>
  <c r="H289" i="7942"/>
  <c r="H299" i="7942"/>
  <c r="H269" i="7942"/>
  <c r="H281" i="7942"/>
  <c r="E177" i="7945"/>
  <c r="F177" i="7945" s="1"/>
  <c r="E373" i="7945"/>
  <c r="F373" i="7945" s="1"/>
  <c r="G333" i="7942"/>
  <c r="O356" i="7944"/>
  <c r="P357" i="7944"/>
  <c r="Q357" i="7944"/>
  <c r="M354" i="7944"/>
  <c r="P356" i="7944"/>
  <c r="M355" i="7944"/>
  <c r="P453" i="7944"/>
  <c r="Q453" i="7944"/>
  <c r="Q398" i="7944"/>
  <c r="Q397" i="7944"/>
  <c r="I25" i="7944"/>
  <c r="J25" i="7944"/>
  <c r="K25" i="7944"/>
  <c r="L25" i="7944"/>
  <c r="M25" i="7944"/>
  <c r="I34" i="7944"/>
  <c r="J34" i="7944"/>
  <c r="K34" i="7944"/>
  <c r="L34" i="7944"/>
  <c r="I15" i="7944"/>
  <c r="J15" i="7944"/>
  <c r="K15" i="7944"/>
  <c r="L15" i="7944"/>
  <c r="M15" i="7944"/>
  <c r="G7" i="7944"/>
  <c r="G203" i="7941"/>
  <c r="G220" i="7941"/>
  <c r="G200" i="7941"/>
  <c r="G6" i="7941"/>
  <c r="I177" i="7945"/>
  <c r="J163" i="7945"/>
  <c r="K163" i="7945" s="1"/>
  <c r="Q356" i="7944"/>
  <c r="P254" i="7944"/>
  <c r="N355" i="7944"/>
  <c r="N109" i="18"/>
  <c r="P109" i="18"/>
  <c r="M109" i="18"/>
  <c r="Q109" i="18"/>
  <c r="H333" i="7942"/>
  <c r="O109" i="18"/>
  <c r="Q254" i="7944"/>
  <c r="J8" i="7944"/>
  <c r="H71" i="7944"/>
  <c r="I71" i="7944"/>
  <c r="H268" i="7942"/>
  <c r="J173" i="1"/>
  <c r="Q338" i="7944"/>
  <c r="N354" i="7944"/>
  <c r="H9" i="7944"/>
  <c r="G71" i="7944"/>
  <c r="L71" i="7944"/>
  <c r="K17" i="7944"/>
  <c r="L17" i="7944"/>
  <c r="M17" i="7944"/>
  <c r="J330" i="7945"/>
  <c r="I191" i="7945"/>
  <c r="J177" i="7945"/>
  <c r="K177" i="7945"/>
  <c r="M394" i="7944"/>
  <c r="K8" i="7944"/>
  <c r="O355" i="7944"/>
  <c r="P355" i="7944"/>
  <c r="Q355" i="7944"/>
  <c r="I9" i="7944"/>
  <c r="H7" i="7944"/>
  <c r="M352" i="7944"/>
  <c r="J288" i="7945"/>
  <c r="K173" i="1"/>
  <c r="O354" i="7944"/>
  <c r="P354" i="7944"/>
  <c r="Q354" i="7944"/>
  <c r="I205" i="7945"/>
  <c r="J191" i="7945"/>
  <c r="K191" i="7945"/>
  <c r="J9" i="7944"/>
  <c r="I7" i="7944"/>
  <c r="L173" i="1"/>
  <c r="L8" i="7944"/>
  <c r="N394" i="7944"/>
  <c r="O394" i="7944"/>
  <c r="K71" i="7944"/>
  <c r="M40" i="18"/>
  <c r="M29" i="18"/>
  <c r="M25" i="18"/>
  <c r="M37" i="18"/>
  <c r="M41" i="18"/>
  <c r="M7" i="18"/>
  <c r="N178" i="1"/>
  <c r="N352" i="7944"/>
  <c r="I219" i="7945"/>
  <c r="J205" i="7945"/>
  <c r="K205" i="7945"/>
  <c r="M499" i="18"/>
  <c r="M68" i="7941"/>
  <c r="M483" i="18"/>
  <c r="M52" i="7941"/>
  <c r="M487" i="18"/>
  <c r="M56" i="7941"/>
  <c r="M498" i="18"/>
  <c r="M67" i="7941"/>
  <c r="O363" i="18"/>
  <c r="P363" i="18"/>
  <c r="M36" i="18"/>
  <c r="M494" i="18"/>
  <c r="M63" i="7941"/>
  <c r="Q363" i="18"/>
  <c r="M12" i="18"/>
  <c r="Q51" i="18"/>
  <c r="P51" i="18"/>
  <c r="P337" i="18"/>
  <c r="Q337" i="18"/>
  <c r="M34" i="18"/>
  <c r="M492" i="18"/>
  <c r="M61" i="7941"/>
  <c r="O337" i="18"/>
  <c r="M13" i="18"/>
  <c r="P64" i="18"/>
  <c r="Q64" i="18"/>
  <c r="N64" i="18"/>
  <c r="O64" i="18"/>
  <c r="M495" i="18"/>
  <c r="M64" i="7941"/>
  <c r="M22" i="18"/>
  <c r="M480" i="18"/>
  <c r="M49" i="7941"/>
  <c r="P181" i="18"/>
  <c r="Q181" i="18"/>
  <c r="O181" i="18"/>
  <c r="N181" i="18"/>
  <c r="M16" i="18"/>
  <c r="N103" i="18"/>
  <c r="Q103" i="18"/>
  <c r="P103" i="18"/>
  <c r="O103" i="18"/>
  <c r="M26" i="18"/>
  <c r="M484" i="18"/>
  <c r="M53" i="7941"/>
  <c r="N233" i="18"/>
  <c r="O233" i="18"/>
  <c r="M30" i="18"/>
  <c r="M488" i="18"/>
  <c r="M57" i="7941"/>
  <c r="N285" i="18"/>
  <c r="Q285" i="18"/>
  <c r="P285" i="18"/>
  <c r="O285" i="18"/>
  <c r="M23" i="18"/>
  <c r="M481" i="18"/>
  <c r="M50" i="7941"/>
  <c r="P194" i="18"/>
  <c r="O194" i="18"/>
  <c r="Q194" i="18"/>
  <c r="N194" i="18"/>
  <c r="M14" i="18"/>
  <c r="P77" i="18"/>
  <c r="Q77" i="18"/>
  <c r="M17" i="18"/>
  <c r="P116" i="18"/>
  <c r="Q116" i="18"/>
  <c r="O116" i="18"/>
  <c r="M15" i="18"/>
  <c r="O90" i="18"/>
  <c r="N90" i="18"/>
  <c r="Q90" i="18"/>
  <c r="P90" i="18"/>
  <c r="M27" i="18"/>
  <c r="M485" i="18"/>
  <c r="M54" i="7941"/>
  <c r="O246" i="18"/>
  <c r="Q246" i="18"/>
  <c r="P246" i="18"/>
  <c r="N246" i="18"/>
  <c r="M38" i="18"/>
  <c r="M496" i="18"/>
  <c r="M65" i="7941"/>
  <c r="P389" i="18"/>
  <c r="Q389" i="18"/>
  <c r="O389" i="18"/>
  <c r="O352" i="7944"/>
  <c r="P352" i="7944"/>
  <c r="Q352" i="7944"/>
  <c r="N162" i="1"/>
  <c r="N155" i="1"/>
  <c r="N169" i="1"/>
  <c r="N165" i="1"/>
  <c r="N164" i="1"/>
  <c r="N156" i="1"/>
  <c r="N150" i="1"/>
  <c r="N146" i="1"/>
  <c r="N148" i="1"/>
  <c r="N149" i="1"/>
  <c r="N159" i="1"/>
  <c r="N163" i="1"/>
  <c r="N161" i="1"/>
  <c r="N172" i="1"/>
  <c r="N41" i="18"/>
  <c r="N171" i="1"/>
  <c r="N40" i="18"/>
  <c r="N7" i="18"/>
  <c r="N166" i="1"/>
  <c r="N147" i="1"/>
  <c r="N167" i="1"/>
  <c r="N144" i="1"/>
  <c r="N152" i="1"/>
  <c r="N151" i="1"/>
  <c r="N157" i="1"/>
  <c r="N170" i="1"/>
  <c r="N143" i="1"/>
  <c r="O178" i="1"/>
  <c r="N158" i="1"/>
  <c r="N145" i="1"/>
  <c r="N154" i="1"/>
  <c r="N153" i="1"/>
  <c r="N168" i="1"/>
  <c r="N37" i="18"/>
  <c r="N160" i="1"/>
  <c r="N29" i="18"/>
  <c r="N487" i="18"/>
  <c r="N56" i="7941"/>
  <c r="O298" i="18"/>
  <c r="P298" i="18"/>
  <c r="M31" i="18"/>
  <c r="M489" i="18"/>
  <c r="M58" i="7941"/>
  <c r="N298" i="18"/>
  <c r="Q298" i="18"/>
  <c r="M20" i="18"/>
  <c r="M478" i="18"/>
  <c r="M47" i="7941"/>
  <c r="P155" i="18"/>
  <c r="O155" i="18"/>
  <c r="Q155" i="18"/>
  <c r="M35" i="18"/>
  <c r="M493" i="18"/>
  <c r="M62" i="7941"/>
  <c r="Q350" i="18"/>
  <c r="O350" i="18"/>
  <c r="P350" i="18"/>
  <c r="M39" i="18"/>
  <c r="M497" i="18"/>
  <c r="M66" i="7941"/>
  <c r="P402" i="18"/>
  <c r="O402" i="18"/>
  <c r="N402" i="18"/>
  <c r="Q402" i="18"/>
  <c r="M32" i="18"/>
  <c r="M490" i="18"/>
  <c r="M59" i="7941"/>
  <c r="P311" i="18"/>
  <c r="O311" i="18"/>
  <c r="Q311" i="18"/>
  <c r="M19" i="18"/>
  <c r="Q142" i="18"/>
  <c r="O142" i="18"/>
  <c r="P142" i="18"/>
  <c r="M28" i="18"/>
  <c r="M486" i="18"/>
  <c r="M55" i="7941"/>
  <c r="Q259" i="18"/>
  <c r="P259" i="18"/>
  <c r="O259" i="18"/>
  <c r="M18" i="18"/>
  <c r="Q129" i="18"/>
  <c r="P129" i="18"/>
  <c r="O129" i="18"/>
  <c r="Q168" i="18"/>
  <c r="P168" i="18"/>
  <c r="O168" i="18"/>
  <c r="M21" i="18"/>
  <c r="M479" i="18"/>
  <c r="M48" i="7941"/>
  <c r="M24" i="18"/>
  <c r="M482" i="18"/>
  <c r="M51" i="7941"/>
  <c r="O207" i="18"/>
  <c r="Q207" i="18"/>
  <c r="P207" i="18"/>
  <c r="M33" i="18"/>
  <c r="M491" i="18"/>
  <c r="M60" i="7941"/>
  <c r="P324" i="18"/>
  <c r="Q324" i="18"/>
  <c r="O324" i="18"/>
  <c r="P394" i="7944"/>
  <c r="Q394" i="7944"/>
  <c r="M8" i="7944"/>
  <c r="K9" i="7944"/>
  <c r="J7" i="7944"/>
  <c r="I233" i="7945"/>
  <c r="J219" i="7945"/>
  <c r="K219" i="7945" s="1"/>
  <c r="L9" i="7944"/>
  <c r="K7" i="7944"/>
  <c r="M476" i="18"/>
  <c r="M45" i="7941"/>
  <c r="M477" i="18"/>
  <c r="M46" i="7941"/>
  <c r="N495" i="18"/>
  <c r="N64" i="7941"/>
  <c r="O195" i="18"/>
  <c r="Q195" i="18"/>
  <c r="N23" i="18"/>
  <c r="N481" i="18"/>
  <c r="N50" i="7941"/>
  <c r="P195" i="18"/>
  <c r="N27" i="18"/>
  <c r="N485" i="18"/>
  <c r="N54" i="7941"/>
  <c r="Q247" i="18"/>
  <c r="O247" i="18"/>
  <c r="P247" i="18"/>
  <c r="N12" i="18"/>
  <c r="P52" i="18"/>
  <c r="Q52" i="18"/>
  <c r="N173" i="1"/>
  <c r="N26" i="18"/>
  <c r="N484" i="18"/>
  <c r="N53" i="7941"/>
  <c r="O234" i="18"/>
  <c r="P234" i="18"/>
  <c r="Q234" i="18"/>
  <c r="O169" i="18"/>
  <c r="P169" i="18"/>
  <c r="N21" i="18"/>
  <c r="N479" i="18"/>
  <c r="N48" i="7941"/>
  <c r="Q169" i="18"/>
  <c r="N36" i="18"/>
  <c r="N494" i="18"/>
  <c r="N63" i="7941"/>
  <c r="P364" i="18"/>
  <c r="O364" i="18"/>
  <c r="Q364" i="18"/>
  <c r="N35" i="18"/>
  <c r="N493" i="18"/>
  <c r="N62" i="7941"/>
  <c r="O351" i="18"/>
  <c r="P351" i="18"/>
  <c r="Q351" i="18"/>
  <c r="N498" i="18"/>
  <c r="N67" i="7941"/>
  <c r="Q286" i="18"/>
  <c r="O286" i="18"/>
  <c r="N30" i="18"/>
  <c r="N488" i="18"/>
  <c r="N57" i="7941"/>
  <c r="P286" i="18"/>
  <c r="P260" i="18"/>
  <c r="O260" i="18"/>
  <c r="N28" i="18"/>
  <c r="N486" i="18"/>
  <c r="N55" i="7941"/>
  <c r="Q260" i="18"/>
  <c r="P117" i="18"/>
  <c r="Q117" i="18"/>
  <c r="N17" i="18"/>
  <c r="O117" i="18"/>
  <c r="Q143" i="18"/>
  <c r="P143" i="18"/>
  <c r="N19" i="18"/>
  <c r="O143" i="18"/>
  <c r="Q325" i="18"/>
  <c r="O325" i="18"/>
  <c r="N33" i="18"/>
  <c r="N491" i="18"/>
  <c r="N60" i="7941"/>
  <c r="P325" i="18"/>
  <c r="Q390" i="18"/>
  <c r="P390" i="18"/>
  <c r="N38" i="18"/>
  <c r="N496" i="18"/>
  <c r="N65" i="7941"/>
  <c r="O390" i="18"/>
  <c r="O299" i="18"/>
  <c r="P299" i="18"/>
  <c r="N31" i="18"/>
  <c r="N489" i="18"/>
  <c r="N58" i="7941"/>
  <c r="Q299" i="18"/>
  <c r="M473" i="18"/>
  <c r="M42" i="7941"/>
  <c r="M475" i="18"/>
  <c r="M44" i="7941"/>
  <c r="E28" i="7945"/>
  <c r="F28" i="7945" s="1"/>
  <c r="M471" i="18"/>
  <c r="M40" i="7941"/>
  <c r="E14" i="7945"/>
  <c r="F14" i="7945" s="1"/>
  <c r="M470" i="18"/>
  <c r="M11" i="18"/>
  <c r="O182" i="18"/>
  <c r="P182" i="18"/>
  <c r="N22" i="18"/>
  <c r="N480" i="18"/>
  <c r="N49" i="7941"/>
  <c r="Q182" i="18"/>
  <c r="P78" i="18"/>
  <c r="N14" i="18"/>
  <c r="Q78" i="18"/>
  <c r="O169" i="1"/>
  <c r="O166" i="1"/>
  <c r="O155" i="1"/>
  <c r="O144" i="1"/>
  <c r="O167" i="1"/>
  <c r="O158" i="1"/>
  <c r="O143" i="1"/>
  <c r="O145" i="1"/>
  <c r="O152" i="1"/>
  <c r="O154" i="1"/>
  <c r="O151" i="1"/>
  <c r="O153" i="1"/>
  <c r="O171" i="1"/>
  <c r="O40" i="18"/>
  <c r="O170" i="1"/>
  <c r="O168" i="1"/>
  <c r="O37" i="18"/>
  <c r="O172" i="1"/>
  <c r="O41" i="18"/>
  <c r="O160" i="1"/>
  <c r="O29" i="18"/>
  <c r="O7" i="18"/>
  <c r="P178" i="1"/>
  <c r="O147" i="1"/>
  <c r="O164" i="1"/>
  <c r="O149" i="1"/>
  <c r="O148" i="1"/>
  <c r="O159" i="1"/>
  <c r="O162" i="1"/>
  <c r="O165" i="1"/>
  <c r="O156" i="1"/>
  <c r="O146" i="1"/>
  <c r="O150" i="1"/>
  <c r="O163" i="1"/>
  <c r="O161" i="1"/>
  <c r="O157" i="1"/>
  <c r="P403" i="18"/>
  <c r="Q403" i="18"/>
  <c r="N39" i="18"/>
  <c r="N497" i="18"/>
  <c r="N66" i="7941"/>
  <c r="O403" i="18"/>
  <c r="O156" i="18"/>
  <c r="P156" i="18"/>
  <c r="N20" i="18"/>
  <c r="Q156" i="18"/>
  <c r="N13" i="18"/>
  <c r="Q65" i="18"/>
  <c r="O65" i="18"/>
  <c r="P65" i="18"/>
  <c r="N16" i="18"/>
  <c r="Q104" i="18"/>
  <c r="P104" i="18"/>
  <c r="O104" i="18"/>
  <c r="N499" i="18"/>
  <c r="N68" i="7941"/>
  <c r="Q312" i="18"/>
  <c r="O312" i="18"/>
  <c r="N32" i="18"/>
  <c r="N490" i="18"/>
  <c r="N59" i="7941"/>
  <c r="P312" i="18"/>
  <c r="P130" i="18"/>
  <c r="Q130" i="18"/>
  <c r="N18" i="18"/>
  <c r="O130" i="18"/>
  <c r="O91" i="18"/>
  <c r="N15" i="18"/>
  <c r="P91" i="18"/>
  <c r="Q91" i="18"/>
  <c r="Q221" i="18"/>
  <c r="O221" i="18"/>
  <c r="N25" i="18"/>
  <c r="N483" i="18"/>
  <c r="N52" i="7941"/>
  <c r="P221" i="18"/>
  <c r="Q338" i="18"/>
  <c r="P338" i="18"/>
  <c r="N34" i="18"/>
  <c r="N492" i="18"/>
  <c r="N61" i="7941"/>
  <c r="O338" i="18"/>
  <c r="P208" i="18"/>
  <c r="Q208" i="18"/>
  <c r="N24" i="18"/>
  <c r="N482" i="18"/>
  <c r="N51" i="7941"/>
  <c r="O208" i="18"/>
  <c r="M472" i="18"/>
  <c r="M41" i="7941"/>
  <c r="M474" i="18"/>
  <c r="M43" i="7941"/>
  <c r="N27" i="7944"/>
  <c r="M381" i="18"/>
  <c r="M657" i="18"/>
  <c r="M337" i="7944"/>
  <c r="N15" i="7944"/>
  <c r="N26" i="7944"/>
  <c r="N467" i="18"/>
  <c r="N695" i="18"/>
  <c r="M33" i="7941"/>
  <c r="M82" i="18"/>
  <c r="M634" i="18"/>
  <c r="N22" i="7944"/>
  <c r="M199" i="18"/>
  <c r="M643" i="18"/>
  <c r="N462" i="18"/>
  <c r="N690" i="18"/>
  <c r="N464" i="18"/>
  <c r="N692" i="18"/>
  <c r="M329" i="18"/>
  <c r="M653" i="18"/>
  <c r="M113" i="7944"/>
  <c r="M238" i="18"/>
  <c r="M646" i="18"/>
  <c r="M12" i="7941"/>
  <c r="M85" i="7944"/>
  <c r="N25" i="7944"/>
  <c r="M10" i="7941"/>
  <c r="N444" i="18"/>
  <c r="N672" i="18"/>
  <c r="M155" i="7944"/>
  <c r="M9" i="7941"/>
  <c r="M491" i="7944"/>
  <c r="N447" i="18"/>
  <c r="N675" i="18"/>
  <c r="M35" i="7941"/>
  <c r="N30" i="7944"/>
  <c r="N457" i="18"/>
  <c r="N685" i="18"/>
  <c r="N439" i="18"/>
  <c r="N667" i="18"/>
  <c r="M379" i="7944"/>
  <c r="N8" i="7944"/>
  <c r="M23" i="7941"/>
  <c r="N32" i="7944"/>
  <c r="M211" i="7944"/>
  <c r="N37" i="7944"/>
  <c r="M183" i="7944"/>
  <c r="N445" i="18"/>
  <c r="N673" i="18"/>
  <c r="M32" i="7941"/>
  <c r="M477" i="7944"/>
  <c r="M8" i="7941"/>
  <c r="M407" i="7944"/>
  <c r="M29" i="7941"/>
  <c r="M141" i="7944"/>
  <c r="N13" i="7944"/>
  <c r="M147" i="18"/>
  <c r="M639" i="18"/>
  <c r="M277" i="18"/>
  <c r="M649" i="18"/>
  <c r="M295" i="7944"/>
  <c r="M225" i="18"/>
  <c r="M645" i="18"/>
  <c r="M20" i="7941"/>
  <c r="M197" i="7944"/>
  <c r="M342" i="18"/>
  <c r="M654" i="18"/>
  <c r="N21" i="7944"/>
  <c r="M7" i="7941"/>
  <c r="N9" i="7944"/>
  <c r="M127" i="7944"/>
  <c r="N452" i="18"/>
  <c r="N680" i="18"/>
  <c r="N441" i="18"/>
  <c r="N669" i="18"/>
  <c r="M463" i="7944"/>
  <c r="M281" i="7944"/>
  <c r="M25" i="7941"/>
  <c r="M24" i="7941"/>
  <c r="M95" i="18"/>
  <c r="M635" i="18"/>
  <c r="M433" i="18"/>
  <c r="M661" i="18"/>
  <c r="N14" i="7944"/>
  <c r="M36" i="7941"/>
  <c r="M421" i="7944"/>
  <c r="N456" i="18"/>
  <c r="N684" i="18"/>
  <c r="M17" i="7941"/>
  <c r="N442" i="18"/>
  <c r="N670" i="18"/>
  <c r="N34" i="7944"/>
  <c r="M160" i="18"/>
  <c r="M640" i="18"/>
  <c r="M212" i="18"/>
  <c r="M644" i="18"/>
  <c r="N23" i="7944"/>
  <c r="M14" i="7941"/>
  <c r="N458" i="18"/>
  <c r="N686" i="18"/>
  <c r="N438" i="18"/>
  <c r="M449" i="7944"/>
  <c r="M303" i="18"/>
  <c r="M651" i="18"/>
  <c r="M56" i="18"/>
  <c r="N448" i="18"/>
  <c r="N676" i="18"/>
  <c r="M69" i="18"/>
  <c r="M633" i="18"/>
  <c r="M34" i="7941"/>
  <c r="M407" i="18"/>
  <c r="M659" i="18"/>
  <c r="N28" i="7944"/>
  <c r="M355" i="18"/>
  <c r="M655" i="18"/>
  <c r="M28" i="7941"/>
  <c r="N18" i="7944"/>
  <c r="M225" i="7944"/>
  <c r="M26" i="7941"/>
  <c r="M11" i="7941"/>
  <c r="M351" i="7944"/>
  <c r="M121" i="18"/>
  <c r="M637" i="18"/>
  <c r="N29" i="7944"/>
  <c r="N35" i="7944"/>
  <c r="N11" i="7944"/>
  <c r="M99" i="7944"/>
  <c r="N461" i="18"/>
  <c r="N689" i="18"/>
  <c r="M18" i="7941"/>
  <c r="M393" i="7944"/>
  <c r="M368" i="18"/>
  <c r="M656" i="18"/>
  <c r="N446" i="18"/>
  <c r="N674" i="18"/>
  <c r="M22" i="7941"/>
  <c r="N466" i="18"/>
  <c r="N694" i="18"/>
  <c r="M27" i="7941"/>
  <c r="N453" i="18"/>
  <c r="N681" i="18"/>
  <c r="M15" i="7941"/>
  <c r="M239" i="7944"/>
  <c r="N20" i="7944"/>
  <c r="N17" i="7944"/>
  <c r="M323" i="7944"/>
  <c r="M420" i="18"/>
  <c r="M660" i="18"/>
  <c r="N451" i="18"/>
  <c r="N679" i="18"/>
  <c r="N463" i="18"/>
  <c r="N691" i="18"/>
  <c r="N450" i="18"/>
  <c r="N678" i="18"/>
  <c r="N465" i="18"/>
  <c r="N693" i="18"/>
  <c r="M253" i="7944"/>
  <c r="M290" i="18"/>
  <c r="M650" i="18"/>
  <c r="M309" i="7944"/>
  <c r="M19" i="7941"/>
  <c r="N455" i="18"/>
  <c r="N683" i="18"/>
  <c r="N443" i="18"/>
  <c r="N671" i="18"/>
  <c r="M365" i="7944"/>
  <c r="N19" i="7944"/>
  <c r="M31" i="7941"/>
  <c r="M21" i="7941"/>
  <c r="N33" i="7944"/>
  <c r="M30" i="7941"/>
  <c r="M316" i="18"/>
  <c r="M652" i="18"/>
  <c r="M13" i="7941"/>
  <c r="M264" i="18"/>
  <c r="M648" i="18"/>
  <c r="M173" i="18"/>
  <c r="M641" i="18"/>
  <c r="N16" i="7944"/>
  <c r="N454" i="18"/>
  <c r="N682" i="18"/>
  <c r="N31" i="7944"/>
  <c r="N36" i="7944"/>
  <c r="N10" i="7944"/>
  <c r="M186" i="18"/>
  <c r="M642" i="18"/>
  <c r="N24" i="7944"/>
  <c r="N12" i="7944"/>
  <c r="M435" i="7944"/>
  <c r="M394" i="18"/>
  <c r="M658" i="18"/>
  <c r="N440" i="18"/>
  <c r="N668" i="18"/>
  <c r="M251" i="18"/>
  <c r="M647" i="18"/>
  <c r="M108" i="18"/>
  <c r="M636" i="18"/>
  <c r="M16" i="7941"/>
  <c r="M169" i="7944"/>
  <c r="M134" i="18"/>
  <c r="M638" i="18"/>
  <c r="N459" i="18"/>
  <c r="N687" i="18"/>
  <c r="M267" i="7944"/>
  <c r="N449" i="18"/>
  <c r="N677" i="18"/>
  <c r="N460" i="18"/>
  <c r="N688" i="18"/>
  <c r="I247" i="7945"/>
  <c r="J233" i="7945"/>
  <c r="K233" i="7945" s="1"/>
  <c r="M632" i="18"/>
  <c r="M71" i="7944"/>
  <c r="N476" i="18"/>
  <c r="N45" i="7941"/>
  <c r="O26" i="18"/>
  <c r="O484" i="18"/>
  <c r="O53" i="7941"/>
  <c r="P235" i="18"/>
  <c r="Q235" i="18"/>
  <c r="P313" i="18"/>
  <c r="O32" i="18"/>
  <c r="O490" i="18"/>
  <c r="O59" i="7941"/>
  <c r="Q313" i="18"/>
  <c r="P92" i="18"/>
  <c r="O15" i="18"/>
  <c r="Q92" i="18"/>
  <c r="Q339" i="18"/>
  <c r="O34" i="18"/>
  <c r="O492" i="18"/>
  <c r="O61" i="7941"/>
  <c r="P339" i="18"/>
  <c r="O28" i="18"/>
  <c r="O486" i="18"/>
  <c r="O55" i="7941"/>
  <c r="Q261" i="18"/>
  <c r="P261" i="18"/>
  <c r="O18" i="18"/>
  <c r="Q131" i="18"/>
  <c r="P131" i="18"/>
  <c r="O16" i="18"/>
  <c r="P105" i="18"/>
  <c r="Q105" i="18"/>
  <c r="O499" i="18"/>
  <c r="O68" i="7941"/>
  <c r="O39" i="18"/>
  <c r="O497" i="18"/>
  <c r="O66" i="7941"/>
  <c r="P404" i="18"/>
  <c r="Q404" i="18"/>
  <c r="O22" i="18"/>
  <c r="Q183" i="18"/>
  <c r="P183" i="18"/>
  <c r="O23" i="18"/>
  <c r="P196" i="18"/>
  <c r="Q196" i="18"/>
  <c r="O14" i="18"/>
  <c r="Q79" i="18"/>
  <c r="P79" i="18"/>
  <c r="P248" i="18"/>
  <c r="O27" i="18"/>
  <c r="O485" i="18"/>
  <c r="O54" i="7941"/>
  <c r="Q248" i="18"/>
  <c r="P66" i="18"/>
  <c r="O13" i="18"/>
  <c r="Q66" i="18"/>
  <c r="Q352" i="18"/>
  <c r="O35" i="18"/>
  <c r="O493" i="18"/>
  <c r="O62" i="7941"/>
  <c r="P352" i="18"/>
  <c r="E15" i="7945"/>
  <c r="F15" i="7945" s="1"/>
  <c r="N11" i="18"/>
  <c r="N470" i="18"/>
  <c r="N666" i="18"/>
  <c r="N473" i="18"/>
  <c r="N42" i="7941"/>
  <c r="N474" i="18"/>
  <c r="N43" i="7941"/>
  <c r="N471" i="18"/>
  <c r="N40" i="7941"/>
  <c r="N478" i="18"/>
  <c r="N47" i="7941"/>
  <c r="Q287" i="18"/>
  <c r="O30" i="18"/>
  <c r="O488" i="18"/>
  <c r="O57" i="7941"/>
  <c r="P287" i="18"/>
  <c r="Q144" i="18"/>
  <c r="O19" i="18"/>
  <c r="P144" i="18"/>
  <c r="Q222" i="18"/>
  <c r="O25" i="18"/>
  <c r="P222" i="18"/>
  <c r="Q300" i="18"/>
  <c r="O31" i="18"/>
  <c r="O489" i="18"/>
  <c r="O58" i="7941"/>
  <c r="P300" i="18"/>
  <c r="O17" i="18"/>
  <c r="Q118" i="18"/>
  <c r="P118" i="18"/>
  <c r="O33" i="18"/>
  <c r="O491" i="18"/>
  <c r="O60" i="7941"/>
  <c r="P326" i="18"/>
  <c r="Q326" i="18"/>
  <c r="Q178" i="1"/>
  <c r="P162" i="1"/>
  <c r="P155" i="1"/>
  <c r="P169" i="1"/>
  <c r="P167" i="1"/>
  <c r="P158" i="1"/>
  <c r="P150" i="1"/>
  <c r="P152" i="1"/>
  <c r="P154" i="1"/>
  <c r="P149" i="1"/>
  <c r="P151" i="1"/>
  <c r="P153" i="1"/>
  <c r="P170" i="1"/>
  <c r="P168" i="1"/>
  <c r="P37" i="18"/>
  <c r="P157" i="1"/>
  <c r="P143" i="1"/>
  <c r="P165" i="1"/>
  <c r="P156" i="1"/>
  <c r="P148" i="1"/>
  <c r="P145" i="1"/>
  <c r="P163" i="1"/>
  <c r="P172" i="1"/>
  <c r="P41" i="18"/>
  <c r="P171" i="1"/>
  <c r="P40" i="18"/>
  <c r="P166" i="1"/>
  <c r="P147" i="1"/>
  <c r="P164" i="1"/>
  <c r="P146" i="1"/>
  <c r="P144" i="1"/>
  <c r="P159" i="1"/>
  <c r="P7" i="18"/>
  <c r="P160" i="1"/>
  <c r="P29" i="18"/>
  <c r="P161" i="1"/>
  <c r="O487" i="18"/>
  <c r="O56" i="7941"/>
  <c r="O495" i="18"/>
  <c r="O64" i="7941"/>
  <c r="O498" i="18"/>
  <c r="O67" i="7941"/>
  <c r="Q157" i="18"/>
  <c r="O20" i="18"/>
  <c r="P157" i="18"/>
  <c r="P170" i="18"/>
  <c r="O21" i="18"/>
  <c r="Q170" i="18"/>
  <c r="O173" i="1"/>
  <c r="Q53" i="18"/>
  <c r="P53" i="18"/>
  <c r="O12" i="18"/>
  <c r="O36" i="18"/>
  <c r="O494" i="18"/>
  <c r="O63" i="7941"/>
  <c r="P365" i="18"/>
  <c r="Q365" i="18"/>
  <c r="O24" i="18"/>
  <c r="P209" i="18"/>
  <c r="Q209" i="18"/>
  <c r="O38" i="18"/>
  <c r="O496" i="18"/>
  <c r="O65" i="7941"/>
  <c r="P391" i="18"/>
  <c r="Q391" i="18"/>
  <c r="N472" i="18"/>
  <c r="N41" i="7941"/>
  <c r="M39" i="7941"/>
  <c r="M469" i="18"/>
  <c r="N477" i="18"/>
  <c r="N46" i="7941"/>
  <c r="N475" i="18"/>
  <c r="N44" i="7941"/>
  <c r="O465" i="18"/>
  <c r="O693" i="18"/>
  <c r="O15" i="7944"/>
  <c r="N169" i="7944"/>
  <c r="O36" i="7944"/>
  <c r="O24" i="7944"/>
  <c r="O35" i="7944"/>
  <c r="O453" i="18"/>
  <c r="O681" i="18"/>
  <c r="N253" i="7944"/>
  <c r="N24" i="7941"/>
  <c r="O27" i="7944"/>
  <c r="O441" i="18"/>
  <c r="O669" i="18"/>
  <c r="N225" i="7941"/>
  <c r="N16" i="7941"/>
  <c r="O451" i="18"/>
  <c r="O679" i="18"/>
  <c r="N226" i="7941"/>
  <c r="N211" i="7941"/>
  <c r="N303" i="18"/>
  <c r="N651" i="18"/>
  <c r="N521" i="18"/>
  <c r="N90" i="7941"/>
  <c r="N267" i="7944"/>
  <c r="O17" i="7944"/>
  <c r="N25" i="7941"/>
  <c r="N228" i="7941"/>
  <c r="N26" i="7941"/>
  <c r="N99" i="7944"/>
  <c r="N491" i="7944"/>
  <c r="N29" i="7941"/>
  <c r="N219" i="7941"/>
  <c r="O454" i="18"/>
  <c r="O682" i="18"/>
  <c r="N212" i="7941"/>
  <c r="O462" i="18"/>
  <c r="O690" i="18"/>
  <c r="N239" i="7944"/>
  <c r="O13" i="7944"/>
  <c r="O442" i="18"/>
  <c r="O670" i="18"/>
  <c r="O464" i="18"/>
  <c r="O692" i="18"/>
  <c r="N199" i="7941"/>
  <c r="N12" i="7941"/>
  <c r="N22" i="7941"/>
  <c r="N197" i="7944"/>
  <c r="N160" i="18"/>
  <c r="N640" i="18"/>
  <c r="N510" i="18"/>
  <c r="N79" i="7941"/>
  <c r="N201" i="7941"/>
  <c r="N323" i="7944"/>
  <c r="N225" i="18"/>
  <c r="N645" i="18"/>
  <c r="N515" i="18"/>
  <c r="N84" i="7941"/>
  <c r="O460" i="18"/>
  <c r="O688" i="18"/>
  <c r="N220" i="7941"/>
  <c r="N420" i="18"/>
  <c r="N660" i="18"/>
  <c r="N530" i="18"/>
  <c r="N99" i="7941"/>
  <c r="O34" i="7944"/>
  <c r="O37" i="7944"/>
  <c r="N224" i="7941"/>
  <c r="N199" i="18"/>
  <c r="N643" i="18"/>
  <c r="N513" i="18"/>
  <c r="N82" i="7941"/>
  <c r="N238" i="18"/>
  <c r="N646" i="18"/>
  <c r="N516" i="18"/>
  <c r="N85" i="7941"/>
  <c r="N186" i="18"/>
  <c r="N642" i="18"/>
  <c r="N512" i="18"/>
  <c r="N81" i="7941"/>
  <c r="O438" i="18"/>
  <c r="O447" i="18"/>
  <c r="O675" i="18"/>
  <c r="N394" i="18"/>
  <c r="N658" i="18"/>
  <c r="N528" i="18"/>
  <c r="N97" i="7941"/>
  <c r="N433" i="18"/>
  <c r="N661" i="18"/>
  <c r="N208" i="7941"/>
  <c r="N227" i="7941"/>
  <c r="N214" i="7941"/>
  <c r="N207" i="7941"/>
  <c r="N200" i="7941"/>
  <c r="N147" i="18"/>
  <c r="N639" i="18"/>
  <c r="N509" i="18"/>
  <c r="N78" i="7941"/>
  <c r="N215" i="7941"/>
  <c r="N264" i="18"/>
  <c r="N648" i="18"/>
  <c r="N518" i="18"/>
  <c r="N87" i="7941"/>
  <c r="O9" i="7944"/>
  <c r="N222" i="7941"/>
  <c r="N11" i="7941"/>
  <c r="O466" i="18"/>
  <c r="O694" i="18"/>
  <c r="N309" i="7944"/>
  <c r="N17" i="7941"/>
  <c r="O446" i="18"/>
  <c r="O674" i="18"/>
  <c r="N134" i="18"/>
  <c r="N638" i="18"/>
  <c r="N508" i="18"/>
  <c r="N77" i="7941"/>
  <c r="N127" i="7944"/>
  <c r="N21" i="7941"/>
  <c r="O10" i="7944"/>
  <c r="N18" i="7941"/>
  <c r="O439" i="18"/>
  <c r="O667" i="18"/>
  <c r="N221" i="7941"/>
  <c r="N316" i="18"/>
  <c r="N652" i="18"/>
  <c r="N522" i="18"/>
  <c r="N91" i="7941"/>
  <c r="N32" i="7941"/>
  <c r="N14" i="7941"/>
  <c r="N10" i="7941"/>
  <c r="N277" i="18"/>
  <c r="N649" i="18"/>
  <c r="N210" i="7941"/>
  <c r="O20" i="7944"/>
  <c r="O18" i="7944"/>
  <c r="O23" i="7944"/>
  <c r="N223" i="7941"/>
  <c r="N206" i="7941"/>
  <c r="O450" i="18"/>
  <c r="O678" i="18"/>
  <c r="N9" i="7941"/>
  <c r="N183" i="7944"/>
  <c r="O25" i="7944"/>
  <c r="O463" i="18"/>
  <c r="O691" i="18"/>
  <c r="N381" i="18"/>
  <c r="N657" i="18"/>
  <c r="N527" i="18"/>
  <c r="N96" i="7941"/>
  <c r="N36" i="7941"/>
  <c r="O455" i="18"/>
  <c r="O683" i="18"/>
  <c r="N421" i="7944"/>
  <c r="N213" i="7941"/>
  <c r="O12" i="7944"/>
  <c r="N85" i="7944"/>
  <c r="N8" i="7941"/>
  <c r="N34" i="7941"/>
  <c r="N216" i="7941"/>
  <c r="O452" i="18"/>
  <c r="O680" i="18"/>
  <c r="O458" i="18"/>
  <c r="O686" i="18"/>
  <c r="N28" i="7941"/>
  <c r="O444" i="18"/>
  <c r="O672" i="18"/>
  <c r="N355" i="18"/>
  <c r="N655" i="18"/>
  <c r="N525" i="18"/>
  <c r="N94" i="7941"/>
  <c r="N20" i="7941"/>
  <c r="N212" i="18"/>
  <c r="N644" i="18"/>
  <c r="N514" i="18"/>
  <c r="N83" i="7941"/>
  <c r="N218" i="7941"/>
  <c r="O29" i="7944"/>
  <c r="O32" i="7944"/>
  <c r="O443" i="18"/>
  <c r="O671" i="18"/>
  <c r="N155" i="7944"/>
  <c r="O26" i="7944"/>
  <c r="N281" i="7944"/>
  <c r="O440" i="18"/>
  <c r="O668" i="18"/>
  <c r="O19" i="7944"/>
  <c r="O28" i="7944"/>
  <c r="N95" i="18"/>
  <c r="N635" i="18"/>
  <c r="N505" i="18"/>
  <c r="N74" i="7941"/>
  <c r="O30" i="7944"/>
  <c r="N141" i="7944"/>
  <c r="N365" i="7944"/>
  <c r="N27" i="7941"/>
  <c r="N31" i="7941"/>
  <c r="O461" i="18"/>
  <c r="O689" i="18"/>
  <c r="O22" i="7944"/>
  <c r="N19" i="7941"/>
  <c r="N121" i="18"/>
  <c r="N637" i="18"/>
  <c r="N507" i="18"/>
  <c r="N76" i="7941"/>
  <c r="O467" i="18"/>
  <c r="O695" i="18"/>
  <c r="O445" i="18"/>
  <c r="O673" i="18"/>
  <c r="N209" i="7941"/>
  <c r="N329" i="18"/>
  <c r="N653" i="18"/>
  <c r="N523" i="18"/>
  <c r="N92" i="7941"/>
  <c r="N173" i="18"/>
  <c r="N641" i="18"/>
  <c r="N511" i="18"/>
  <c r="N80" i="7941"/>
  <c r="N251" i="18"/>
  <c r="N647" i="18"/>
  <c r="N517" i="18"/>
  <c r="N86" i="7941"/>
  <c r="O16" i="7944"/>
  <c r="N368" i="18"/>
  <c r="N656" i="18"/>
  <c r="N526" i="18"/>
  <c r="N95" i="7941"/>
  <c r="N204" i="7941"/>
  <c r="N203" i="7941"/>
  <c r="O8" i="7944"/>
  <c r="N449" i="7944"/>
  <c r="O457" i="18"/>
  <c r="O685" i="18"/>
  <c r="N435" i="7944"/>
  <c r="N393" i="7944"/>
  <c r="N33" i="7941"/>
  <c r="N205" i="7941"/>
  <c r="N82" i="18"/>
  <c r="N634" i="18"/>
  <c r="N504" i="18"/>
  <c r="N73" i="7941"/>
  <c r="N337" i="7944"/>
  <c r="N113" i="7944"/>
  <c r="N13" i="7941"/>
  <c r="N379" i="7944"/>
  <c r="N463" i="7944"/>
  <c r="O21" i="7944"/>
  <c r="N290" i="18"/>
  <c r="N650" i="18"/>
  <c r="N520" i="18"/>
  <c r="N89" i="7941"/>
  <c r="O448" i="18"/>
  <c r="O676" i="18"/>
  <c r="O11" i="7944"/>
  <c r="N56" i="18"/>
  <c r="O449" i="18"/>
  <c r="O677" i="18"/>
  <c r="N15" i="7941"/>
  <c r="O459" i="18"/>
  <c r="O687" i="18"/>
  <c r="O456" i="18"/>
  <c r="O684" i="18"/>
  <c r="N7" i="7941"/>
  <c r="N211" i="7944"/>
  <c r="N108" i="18"/>
  <c r="N636" i="18"/>
  <c r="N506" i="18"/>
  <c r="N75" i="7941"/>
  <c r="O31" i="7944"/>
  <c r="N477" i="7944"/>
  <c r="O33" i="7944"/>
  <c r="N342" i="18"/>
  <c r="N654" i="18"/>
  <c r="N524" i="18"/>
  <c r="N93" i="7941"/>
  <c r="N295" i="7944"/>
  <c r="N69" i="18"/>
  <c r="N633" i="18"/>
  <c r="N30" i="7941"/>
  <c r="N23" i="7941"/>
  <c r="N407" i="7944"/>
  <c r="N351" i="7944"/>
  <c r="N35" i="7941"/>
  <c r="N202" i="7941"/>
  <c r="N407" i="18"/>
  <c r="N659" i="18"/>
  <c r="N529" i="18"/>
  <c r="N98" i="7941"/>
  <c r="N217" i="7941"/>
  <c r="N225" i="7944"/>
  <c r="O14" i="7944"/>
  <c r="M9" i="7944"/>
  <c r="L7" i="7944"/>
  <c r="I261" i="7945"/>
  <c r="J247" i="7945"/>
  <c r="N71" i="7944"/>
  <c r="O666" i="18"/>
  <c r="P442" i="18"/>
  <c r="P670" i="18"/>
  <c r="O407" i="18"/>
  <c r="O659" i="18"/>
  <c r="O529" i="18"/>
  <c r="O98" i="7941"/>
  <c r="O217" i="7941"/>
  <c r="P460" i="18"/>
  <c r="P688" i="18"/>
  <c r="P455" i="18"/>
  <c r="P683" i="18"/>
  <c r="O32" i="7941"/>
  <c r="P12" i="7944"/>
  <c r="O203" i="7941"/>
  <c r="O393" i="7944"/>
  <c r="O215" i="7941"/>
  <c r="O316" i="18"/>
  <c r="O652" i="18"/>
  <c r="O522" i="18"/>
  <c r="O91" i="7941"/>
  <c r="O225" i="7944"/>
  <c r="O12" i="7941"/>
  <c r="O13" i="7941"/>
  <c r="O173" i="18"/>
  <c r="O641" i="18"/>
  <c r="O511" i="18"/>
  <c r="O80" i="7941"/>
  <c r="O281" i="7944"/>
  <c r="P29" i="7944"/>
  <c r="O218" i="7941"/>
  <c r="O222" i="7941"/>
  <c r="P36" i="7944"/>
  <c r="O202" i="7941"/>
  <c r="O160" i="18"/>
  <c r="O640" i="18"/>
  <c r="O510" i="18"/>
  <c r="O79" i="7941"/>
  <c r="P467" i="18"/>
  <c r="P695" i="18"/>
  <c r="O183" i="7944"/>
  <c r="O69" i="18"/>
  <c r="O633" i="18"/>
  <c r="O8" i="7941"/>
  <c r="P33" i="7944"/>
  <c r="P34" i="7944"/>
  <c r="O213" i="7941"/>
  <c r="O10" i="7941"/>
  <c r="O199" i="18"/>
  <c r="O643" i="18"/>
  <c r="O323" i="7944"/>
  <c r="O29" i="7941"/>
  <c r="P10" i="7944"/>
  <c r="P14" i="7944"/>
  <c r="P31" i="7944"/>
  <c r="P28" i="7944"/>
  <c r="O221" i="7941"/>
  <c r="P453" i="18"/>
  <c r="P681" i="18"/>
  <c r="P457" i="18"/>
  <c r="P685" i="18"/>
  <c r="P446" i="18"/>
  <c r="P674" i="18"/>
  <c r="O251" i="18"/>
  <c r="O647" i="18"/>
  <c r="O517" i="18"/>
  <c r="O86" i="7941"/>
  <c r="P440" i="18"/>
  <c r="P668" i="18"/>
  <c r="O239" i="7944"/>
  <c r="P27" i="7944"/>
  <c r="P454" i="18"/>
  <c r="P682" i="18"/>
  <c r="O56" i="18"/>
  <c r="O17" i="7941"/>
  <c r="O147" i="18"/>
  <c r="O639" i="18"/>
  <c r="O509" i="18"/>
  <c r="O78" i="7941"/>
  <c r="O226" i="7941"/>
  <c r="O207" i="7941"/>
  <c r="O309" i="7944"/>
  <c r="O379" i="7944"/>
  <c r="P19" i="7944"/>
  <c r="O253" i="7944"/>
  <c r="P11" i="7944"/>
  <c r="O337" i="7944"/>
  <c r="O95" i="18"/>
  <c r="O635" i="18"/>
  <c r="O505" i="18"/>
  <c r="O74" i="7941"/>
  <c r="O225" i="7941"/>
  <c r="P32" i="7944"/>
  <c r="O477" i="7944"/>
  <c r="O264" i="18"/>
  <c r="O648" i="18"/>
  <c r="O518" i="18"/>
  <c r="O87" i="7941"/>
  <c r="O351" i="7944"/>
  <c r="O220" i="7941"/>
  <c r="P24" i="7944"/>
  <c r="P8" i="7944"/>
  <c r="O295" i="7944"/>
  <c r="O108" i="18"/>
  <c r="O636" i="18"/>
  <c r="O506" i="18"/>
  <c r="O75" i="7941"/>
  <c r="O31" i="7941"/>
  <c r="P13" i="7944"/>
  <c r="O355" i="18"/>
  <c r="O655" i="18"/>
  <c r="O525" i="18"/>
  <c r="O94" i="7941"/>
  <c r="P438" i="18"/>
  <c r="O210" i="7941"/>
  <c r="P26" i="7944"/>
  <c r="P37" i="7944"/>
  <c r="P18" i="7944"/>
  <c r="P9" i="7944"/>
  <c r="O277" i="18"/>
  <c r="O649" i="18"/>
  <c r="O519" i="18"/>
  <c r="O88" i="7941"/>
  <c r="P444" i="18"/>
  <c r="P672" i="18"/>
  <c r="O227" i="7941"/>
  <c r="O463" i="7944"/>
  <c r="P452" i="18"/>
  <c r="P680" i="18"/>
  <c r="O211" i="7941"/>
  <c r="O11" i="7941"/>
  <c r="O36" i="7941"/>
  <c r="O18" i="7941"/>
  <c r="P448" i="18"/>
  <c r="P676" i="18"/>
  <c r="O205" i="7941"/>
  <c r="P450" i="18"/>
  <c r="P678" i="18"/>
  <c r="O267" i="7944"/>
  <c r="P445" i="18"/>
  <c r="P673" i="18"/>
  <c r="O186" i="18"/>
  <c r="O642" i="18"/>
  <c r="O197" i="7944"/>
  <c r="O433" i="18"/>
  <c r="O661" i="18"/>
  <c r="O531" i="18"/>
  <c r="O100" i="7941"/>
  <c r="O214" i="7941"/>
  <c r="P451" i="18"/>
  <c r="P679" i="18"/>
  <c r="O9" i="7941"/>
  <c r="P458" i="18"/>
  <c r="P686" i="18"/>
  <c r="O127" i="7944"/>
  <c r="P459" i="18"/>
  <c r="P687" i="18"/>
  <c r="O201" i="7941"/>
  <c r="O206" i="7941"/>
  <c r="O224" i="7941"/>
  <c r="O34" i="7941"/>
  <c r="O225" i="18"/>
  <c r="O645" i="18"/>
  <c r="O515" i="18"/>
  <c r="O84" i="7941"/>
  <c r="O200" i="7941"/>
  <c r="P447" i="18"/>
  <c r="P675" i="18"/>
  <c r="P464" i="18"/>
  <c r="P692" i="18"/>
  <c r="P16" i="7944"/>
  <c r="P15" i="7944"/>
  <c r="O342" i="18"/>
  <c r="O654" i="18"/>
  <c r="O524" i="18"/>
  <c r="O93" i="7941"/>
  <c r="P463" i="18"/>
  <c r="P691" i="18"/>
  <c r="O303" i="18"/>
  <c r="O651" i="18"/>
  <c r="O368" i="18"/>
  <c r="O656" i="18"/>
  <c r="O526" i="18"/>
  <c r="O95" i="7941"/>
  <c r="P22" i="7944"/>
  <c r="O394" i="18"/>
  <c r="O658" i="18"/>
  <c r="O528" i="18"/>
  <c r="O97" i="7941"/>
  <c r="O435" i="7944"/>
  <c r="P35" i="7944"/>
  <c r="O27" i="7941"/>
  <c r="O209" i="7941"/>
  <c r="O219" i="7941"/>
  <c r="O24" i="7941"/>
  <c r="O491" i="7944"/>
  <c r="O169" i="7944"/>
  <c r="P466" i="18"/>
  <c r="P694" i="18"/>
  <c r="O25" i="7941"/>
  <c r="P461" i="18"/>
  <c r="P689" i="18"/>
  <c r="P21" i="7944"/>
  <c r="O204" i="7941"/>
  <c r="O99" i="7944"/>
  <c r="O22" i="7941"/>
  <c r="O449" i="7944"/>
  <c r="O20" i="7941"/>
  <c r="O365" i="7944"/>
  <c r="O199" i="7941"/>
  <c r="O407" i="7944"/>
  <c r="O223" i="7941"/>
  <c r="P30" i="7944"/>
  <c r="O381" i="18"/>
  <c r="O657" i="18"/>
  <c r="O527" i="18"/>
  <c r="O96" i="7941"/>
  <c r="O85" i="7944"/>
  <c r="O238" i="18"/>
  <c r="O646" i="18"/>
  <c r="O516" i="18"/>
  <c r="O85" i="7941"/>
  <c r="P17" i="7944"/>
  <c r="O16" i="7941"/>
  <c r="O141" i="7944"/>
  <c r="O216" i="7941"/>
  <c r="P456" i="18"/>
  <c r="P684" i="18"/>
  <c r="O33" i="7941"/>
  <c r="O420" i="18"/>
  <c r="O660" i="18"/>
  <c r="O530" i="18"/>
  <c r="O99" i="7941"/>
  <c r="P23" i="7944"/>
  <c r="P462" i="18"/>
  <c r="P690" i="18"/>
  <c r="P443" i="18"/>
  <c r="P671" i="18"/>
  <c r="O113" i="7944"/>
  <c r="O290" i="18"/>
  <c r="O650" i="18"/>
  <c r="O520" i="18"/>
  <c r="O89" i="7941"/>
  <c r="O30" i="7941"/>
  <c r="O23" i="7941"/>
  <c r="P449" i="18"/>
  <c r="P677" i="18"/>
  <c r="O26" i="7941"/>
  <c r="O35" i="7941"/>
  <c r="O212" i="18"/>
  <c r="O644" i="18"/>
  <c r="O211" i="7944"/>
  <c r="O155" i="7944"/>
  <c r="O212" i="7941"/>
  <c r="O421" i="7944"/>
  <c r="O7" i="7941"/>
  <c r="P20" i="7944"/>
  <c r="O15" i="7941"/>
  <c r="O134" i="18"/>
  <c r="O638" i="18"/>
  <c r="O14" i="7941"/>
  <c r="O21" i="7941"/>
  <c r="O228" i="7941"/>
  <c r="O82" i="18"/>
  <c r="O634" i="18"/>
  <c r="O504" i="18"/>
  <c r="O73" i="7941"/>
  <c r="O28" i="7941"/>
  <c r="O121" i="18"/>
  <c r="O637" i="18"/>
  <c r="O507" i="18"/>
  <c r="O76" i="7941"/>
  <c r="P25" i="7944"/>
  <c r="O19" i="7941"/>
  <c r="O329" i="18"/>
  <c r="O653" i="18"/>
  <c r="O523" i="18"/>
  <c r="O92" i="7941"/>
  <c r="O208" i="7941"/>
  <c r="P465" i="18"/>
  <c r="P693" i="18"/>
  <c r="P441" i="18"/>
  <c r="P669" i="18"/>
  <c r="P439" i="18"/>
  <c r="P667" i="18"/>
  <c r="O479" i="18"/>
  <c r="O48" i="7941"/>
  <c r="Q288" i="18"/>
  <c r="P30" i="18"/>
  <c r="Q67" i="18"/>
  <c r="P13" i="18"/>
  <c r="Q327" i="18"/>
  <c r="P33" i="18"/>
  <c r="P35" i="18"/>
  <c r="P493" i="18"/>
  <c r="Q353" i="18"/>
  <c r="P499" i="18"/>
  <c r="P68" i="7941"/>
  <c r="P14" i="18"/>
  <c r="Q80" i="18"/>
  <c r="Q223" i="18"/>
  <c r="P25" i="18"/>
  <c r="P173" i="1"/>
  <c r="P12" i="18"/>
  <c r="Q54" i="18"/>
  <c r="P495" i="18"/>
  <c r="P64" i="7941"/>
  <c r="P22" i="18"/>
  <c r="Q184" i="18"/>
  <c r="P18" i="18"/>
  <c r="Q132" i="18"/>
  <c r="P21" i="18"/>
  <c r="Q171" i="18"/>
  <c r="P27" i="18"/>
  <c r="Q249" i="18"/>
  <c r="P38" i="18"/>
  <c r="P496" i="18"/>
  <c r="P65" i="7941"/>
  <c r="Q392" i="18"/>
  <c r="P31" i="18"/>
  <c r="Q301" i="18"/>
  <c r="O483" i="18"/>
  <c r="O52" i="7941"/>
  <c r="O471" i="18"/>
  <c r="O40" i="7941"/>
  <c r="E30" i="7945"/>
  <c r="F30" i="7945" s="1"/>
  <c r="O481" i="18"/>
  <c r="O50" i="7941"/>
  <c r="O474" i="18"/>
  <c r="O43" i="7941"/>
  <c r="N632" i="18"/>
  <c r="N43" i="18"/>
  <c r="N6" i="7941"/>
  <c r="N198" i="7941"/>
  <c r="O482" i="18"/>
  <c r="O51" i="7941"/>
  <c r="E16" i="7945"/>
  <c r="F16" i="7945" s="1"/>
  <c r="O470" i="18"/>
  <c r="O11" i="18"/>
  <c r="O478" i="18"/>
  <c r="O47" i="7941"/>
  <c r="P487" i="18"/>
  <c r="P56" i="7941"/>
  <c r="Q262" i="18"/>
  <c r="P28" i="18"/>
  <c r="P15" i="18"/>
  <c r="Q93" i="18"/>
  <c r="Q106" i="18"/>
  <c r="P16" i="18"/>
  <c r="P498" i="18"/>
  <c r="P67" i="7941"/>
  <c r="Q314" i="18"/>
  <c r="P32" i="18"/>
  <c r="Q119" i="18"/>
  <c r="P17" i="18"/>
  <c r="P34" i="18"/>
  <c r="Q340" i="18"/>
  <c r="P26" i="18"/>
  <c r="Q236" i="18"/>
  <c r="P39" i="18"/>
  <c r="P497" i="18"/>
  <c r="P66" i="7941"/>
  <c r="Q405" i="18"/>
  <c r="P20" i="18"/>
  <c r="Q158" i="18"/>
  <c r="P23" i="18"/>
  <c r="Q197" i="18"/>
  <c r="P19" i="18"/>
  <c r="Q145" i="18"/>
  <c r="P36" i="18"/>
  <c r="P494" i="18"/>
  <c r="P63" i="7941"/>
  <c r="Q366" i="18"/>
  <c r="P24" i="18"/>
  <c r="Q210" i="18"/>
  <c r="Q166" i="1"/>
  <c r="Q35" i="18"/>
  <c r="Q162" i="1"/>
  <c r="Q31" i="18"/>
  <c r="Q155" i="1"/>
  <c r="Q24" i="18"/>
  <c r="Q147" i="1"/>
  <c r="Q16" i="18"/>
  <c r="Q144" i="1"/>
  <c r="Q13" i="18"/>
  <c r="Q169" i="1"/>
  <c r="Q38" i="18"/>
  <c r="Q165" i="1"/>
  <c r="Q34" i="18"/>
  <c r="Q167" i="1"/>
  <c r="Q36" i="18"/>
  <c r="Q164" i="1"/>
  <c r="Q33" i="18"/>
  <c r="Q158" i="1"/>
  <c r="Q27" i="18"/>
  <c r="Q156" i="1"/>
  <c r="Q25" i="18"/>
  <c r="Q149" i="1"/>
  <c r="Q18" i="18"/>
  <c r="Q146" i="1"/>
  <c r="Q15" i="18"/>
  <c r="Q152" i="1"/>
  <c r="Q21" i="18"/>
  <c r="Q148" i="1"/>
  <c r="Q17" i="18"/>
  <c r="Q154" i="1"/>
  <c r="Q23" i="18"/>
  <c r="Q143" i="1"/>
  <c r="Q172" i="1"/>
  <c r="Q41" i="18"/>
  <c r="Q7" i="18"/>
  <c r="Q499" i="18"/>
  <c r="Q68" i="7941"/>
  <c r="Q160" i="1"/>
  <c r="Q29" i="18"/>
  <c r="Q145" i="1"/>
  <c r="Q14" i="18"/>
  <c r="Q472" i="18"/>
  <c r="Q41" i="7941"/>
  <c r="Q159" i="1"/>
  <c r="Q28" i="18"/>
  <c r="Q163" i="1"/>
  <c r="Q32" i="18"/>
  <c r="Q157" i="1"/>
  <c r="Q26" i="18"/>
  <c r="Q170" i="1"/>
  <c r="Q39" i="18"/>
  <c r="Q497" i="18"/>
  <c r="Q66" i="7941"/>
  <c r="Q150" i="1"/>
  <c r="Q19" i="18"/>
  <c r="Q151" i="1"/>
  <c r="Q20" i="18"/>
  <c r="Q153" i="1"/>
  <c r="Q22" i="18"/>
  <c r="Q161" i="1"/>
  <c r="Q30" i="18"/>
  <c r="Q171" i="1"/>
  <c r="Q40" i="18"/>
  <c r="Q498" i="18"/>
  <c r="Q67" i="7941"/>
  <c r="Q168" i="1"/>
  <c r="Q37" i="18"/>
  <c r="Q495" i="18"/>
  <c r="Q64" i="7941"/>
  <c r="O475" i="18"/>
  <c r="O44" i="7941"/>
  <c r="O477" i="18"/>
  <c r="O46" i="7941"/>
  <c r="M302" i="7941"/>
  <c r="M316" i="7941"/>
  <c r="M310" i="7941"/>
  <c r="M304" i="7941"/>
  <c r="M311" i="7941"/>
  <c r="M300" i="7941"/>
  <c r="M244" i="7941"/>
  <c r="M312" i="7941"/>
  <c r="M322" i="7941"/>
  <c r="M307" i="7941"/>
  <c r="M240" i="7941"/>
  <c r="M245" i="7941"/>
  <c r="M323" i="7941"/>
  <c r="M296" i="7941"/>
  <c r="M298" i="7941"/>
  <c r="M260" i="7941"/>
  <c r="M242" i="7941"/>
  <c r="M249" i="7941"/>
  <c r="M252" i="7941"/>
  <c r="M299" i="7941"/>
  <c r="M303" i="7941"/>
  <c r="M234" i="7941"/>
  <c r="M254" i="7941"/>
  <c r="M309" i="7941"/>
  <c r="M257" i="7941"/>
  <c r="M321" i="7941"/>
  <c r="M255" i="7941"/>
  <c r="M251" i="7941"/>
  <c r="M320" i="7941"/>
  <c r="M306" i="7941"/>
  <c r="M305" i="7941"/>
  <c r="M236" i="7941"/>
  <c r="M248" i="7941"/>
  <c r="M319" i="7941"/>
  <c r="M237" i="7941"/>
  <c r="M318" i="7941"/>
  <c r="M250" i="7941"/>
  <c r="M324" i="7941"/>
  <c r="M301" i="7941"/>
  <c r="M258" i="7941"/>
  <c r="M238" i="7941"/>
  <c r="M315" i="7941"/>
  <c r="M232" i="7941"/>
  <c r="M231" i="7941"/>
  <c r="M256" i="7941"/>
  <c r="M241" i="7941"/>
  <c r="M247" i="7941"/>
  <c r="M235" i="7941"/>
  <c r="M246" i="7941"/>
  <c r="M259" i="7941"/>
  <c r="M253" i="7941"/>
  <c r="M233" i="7941"/>
  <c r="M314" i="7941"/>
  <c r="M297" i="7941"/>
  <c r="M317" i="7941"/>
  <c r="M308" i="7941"/>
  <c r="M239" i="7941"/>
  <c r="M295" i="7941"/>
  <c r="M243" i="7941"/>
  <c r="M313" i="7941"/>
  <c r="N469" i="18"/>
  <c r="N39" i="7941"/>
  <c r="N38" i="7941"/>
  <c r="O472" i="18"/>
  <c r="O41" i="7941"/>
  <c r="O480" i="18"/>
  <c r="O49" i="7941"/>
  <c r="O476" i="18"/>
  <c r="O45" i="7941"/>
  <c r="O473" i="18"/>
  <c r="O42" i="7941"/>
  <c r="I275" i="7945"/>
  <c r="J261" i="7945"/>
  <c r="K261" i="7945" s="1"/>
  <c r="Q480" i="18"/>
  <c r="Q49" i="7941"/>
  <c r="Q477" i="18"/>
  <c r="Q46" i="7941"/>
  <c r="Q490" i="18"/>
  <c r="Q59" i="7941"/>
  <c r="Q481" i="18"/>
  <c r="Q50" i="7941"/>
  <c r="Q479" i="18"/>
  <c r="Q48" i="7941"/>
  <c r="Q476" i="18"/>
  <c r="Q45" i="7941"/>
  <c r="Q485" i="18"/>
  <c r="Q54" i="7941"/>
  <c r="Q494" i="18"/>
  <c r="Q63" i="7941"/>
  <c r="Q496" i="18"/>
  <c r="Q65" i="7941"/>
  <c r="Q474" i="18"/>
  <c r="Q43" i="7941"/>
  <c r="Q489" i="18"/>
  <c r="Q58" i="7941"/>
  <c r="P475" i="18"/>
  <c r="P44" i="7941"/>
  <c r="P490" i="18"/>
  <c r="P59" i="7941"/>
  <c r="P473" i="18"/>
  <c r="P42" i="7941"/>
  <c r="O469" i="18"/>
  <c r="O39" i="7941"/>
  <c r="P489" i="18"/>
  <c r="P58" i="7941"/>
  <c r="P485" i="18"/>
  <c r="P54" i="7941"/>
  <c r="P479" i="18"/>
  <c r="P48" i="7941"/>
  <c r="P476" i="18"/>
  <c r="P45" i="7941"/>
  <c r="P480" i="18"/>
  <c r="P49" i="7941"/>
  <c r="Q459" i="18"/>
  <c r="Q687" i="18"/>
  <c r="P186" i="18"/>
  <c r="P642" i="18"/>
  <c r="P267" i="7944"/>
  <c r="Q27" i="7944"/>
  <c r="Q35" i="7944"/>
  <c r="P183" i="7944"/>
  <c r="Q31" i="7944"/>
  <c r="P85" i="7944"/>
  <c r="P12" i="7941"/>
  <c r="Q440" i="18"/>
  <c r="Q668" i="18"/>
  <c r="P18" i="7941"/>
  <c r="P197" i="7944"/>
  <c r="Q443" i="18"/>
  <c r="Q671" i="18"/>
  <c r="P160" i="18"/>
  <c r="P640" i="18"/>
  <c r="P510" i="18"/>
  <c r="P79" i="7941"/>
  <c r="P220" i="7941"/>
  <c r="P433" i="18"/>
  <c r="P661" i="18"/>
  <c r="P531" i="18"/>
  <c r="P100" i="7941"/>
  <c r="P14" i="7941"/>
  <c r="P435" i="7944"/>
  <c r="P24" i="7941"/>
  <c r="P82" i="18"/>
  <c r="P634" i="18"/>
  <c r="P504" i="18"/>
  <c r="P73" i="7941"/>
  <c r="P227" i="7941"/>
  <c r="P355" i="18"/>
  <c r="P655" i="18"/>
  <c r="P525" i="18"/>
  <c r="P94" i="7941"/>
  <c r="P224" i="7941"/>
  <c r="P222" i="7941"/>
  <c r="Q14" i="7944"/>
  <c r="P421" i="7944"/>
  <c r="Q8" i="7944"/>
  <c r="P337" i="7944"/>
  <c r="P225" i="7941"/>
  <c r="P13" i="7941"/>
  <c r="P19" i="7941"/>
  <c r="Q17" i="7944"/>
  <c r="Q449" i="18"/>
  <c r="Q677" i="18"/>
  <c r="P35" i="7941"/>
  <c r="P202" i="7941"/>
  <c r="Q464" i="18"/>
  <c r="Q692" i="18"/>
  <c r="Q450" i="18"/>
  <c r="Q678" i="18"/>
  <c r="Q33" i="7944"/>
  <c r="P219" i="7941"/>
  <c r="Q20" i="7944"/>
  <c r="Q15" i="7944"/>
  <c r="Q29" i="7944"/>
  <c r="P173" i="18"/>
  <c r="P641" i="18"/>
  <c r="P511" i="18"/>
  <c r="P80" i="7941"/>
  <c r="Q24" i="7944"/>
  <c r="Q446" i="18"/>
  <c r="Q674" i="18"/>
  <c r="P32" i="7941"/>
  <c r="Q448" i="18"/>
  <c r="Q676" i="18"/>
  <c r="P147" i="18"/>
  <c r="P639" i="18"/>
  <c r="P509" i="18"/>
  <c r="P78" i="7941"/>
  <c r="P217" i="7941"/>
  <c r="Q11" i="7944"/>
  <c r="Q16" i="7944"/>
  <c r="P36" i="7941"/>
  <c r="Q456" i="18"/>
  <c r="Q684" i="18"/>
  <c r="Q26" i="7944"/>
  <c r="Q442" i="18"/>
  <c r="Q670" i="18"/>
  <c r="P209" i="7941"/>
  <c r="P379" i="7944"/>
  <c r="Q22" i="7944"/>
  <c r="P7" i="7941"/>
  <c r="P225" i="7944"/>
  <c r="P141" i="7944"/>
  <c r="P281" i="7944"/>
  <c r="P127" i="7944"/>
  <c r="P239" i="7944"/>
  <c r="Q447" i="18"/>
  <c r="Q675" i="18"/>
  <c r="Q466" i="18"/>
  <c r="Q694" i="18"/>
  <c r="Q36" i="7944"/>
  <c r="Q37" i="7944"/>
  <c r="P491" i="7944"/>
  <c r="Q452" i="18"/>
  <c r="Q680" i="18"/>
  <c r="P16" i="7941"/>
  <c r="P28" i="7941"/>
  <c r="Q441" i="18"/>
  <c r="Q669" i="18"/>
  <c r="P210" i="7941"/>
  <c r="Q462" i="18"/>
  <c r="Q690" i="18"/>
  <c r="Q457" i="18"/>
  <c r="Q685" i="18"/>
  <c r="P218" i="7941"/>
  <c r="Q455" i="18"/>
  <c r="Q683" i="18"/>
  <c r="Q445" i="18"/>
  <c r="Q673" i="18"/>
  <c r="P216" i="7941"/>
  <c r="Q12" i="7944"/>
  <c r="Q30" i="7944"/>
  <c r="P10" i="7941"/>
  <c r="P225" i="18"/>
  <c r="P645" i="18"/>
  <c r="P394" i="18"/>
  <c r="P658" i="18"/>
  <c r="P528" i="18"/>
  <c r="P97" i="7941"/>
  <c r="Q19" i="7944"/>
  <c r="P290" i="18"/>
  <c r="P650" i="18"/>
  <c r="P520" i="18"/>
  <c r="P89" i="7941"/>
  <c r="Q9" i="7944"/>
  <c r="P207" i="7941"/>
  <c r="P134" i="18"/>
  <c r="P638" i="18"/>
  <c r="P508" i="18"/>
  <c r="P77" i="7941"/>
  <c r="Q451" i="18"/>
  <c r="Q679" i="18"/>
  <c r="Q21" i="7944"/>
  <c r="P213" i="7941"/>
  <c r="P30" i="7941"/>
  <c r="P205" i="7941"/>
  <c r="P23" i="7941"/>
  <c r="P22" i="7941"/>
  <c r="P368" i="18"/>
  <c r="P656" i="18"/>
  <c r="P526" i="18"/>
  <c r="P95" i="7941"/>
  <c r="P365" i="7944"/>
  <c r="Q458" i="18"/>
  <c r="Q686" i="18"/>
  <c r="P34" i="7941"/>
  <c r="P27" i="7941"/>
  <c r="P121" i="18"/>
  <c r="P637" i="18"/>
  <c r="P507" i="18"/>
  <c r="P76" i="7941"/>
  <c r="P206" i="7941"/>
  <c r="P228" i="7941"/>
  <c r="P20" i="7941"/>
  <c r="P33" i="7941"/>
  <c r="P407" i="18"/>
  <c r="P659" i="18"/>
  <c r="P529" i="18"/>
  <c r="P98" i="7941"/>
  <c r="P69" i="18"/>
  <c r="P633" i="18"/>
  <c r="P503" i="18"/>
  <c r="P72" i="7941"/>
  <c r="P323" i="7944"/>
  <c r="P264" i="18"/>
  <c r="P648" i="18"/>
  <c r="P518" i="18"/>
  <c r="P87" i="7941"/>
  <c r="Q463" i="18"/>
  <c r="Q691" i="18"/>
  <c r="P15" i="7941"/>
  <c r="Q34" i="7944"/>
  <c r="Q439" i="18"/>
  <c r="Q667" i="18"/>
  <c r="P238" i="18"/>
  <c r="P646" i="18"/>
  <c r="P516" i="18"/>
  <c r="P85" i="7941"/>
  <c r="P329" i="18"/>
  <c r="P653" i="18"/>
  <c r="P523" i="18"/>
  <c r="P92" i="7941"/>
  <c r="P8" i="7941"/>
  <c r="P449" i="7944"/>
  <c r="P169" i="7944"/>
  <c r="P342" i="18"/>
  <c r="P654" i="18"/>
  <c r="P524" i="18"/>
  <c r="P93" i="7941"/>
  <c r="P17" i="7941"/>
  <c r="P215" i="7941"/>
  <c r="P26" i="7941"/>
  <c r="P99" i="7944"/>
  <c r="Q10" i="7944"/>
  <c r="P9" i="7941"/>
  <c r="P29" i="7941"/>
  <c r="Q438" i="18"/>
  <c r="Q465" i="18"/>
  <c r="Q693" i="18"/>
  <c r="P204" i="7941"/>
  <c r="P212" i="7941"/>
  <c r="Q444" i="18"/>
  <c r="Q672" i="18"/>
  <c r="P407" i="7944"/>
  <c r="P303" i="18"/>
  <c r="P651" i="18"/>
  <c r="P521" i="18"/>
  <c r="P90" i="7941"/>
  <c r="Q18" i="7944"/>
  <c r="P223" i="7941"/>
  <c r="P221" i="7941"/>
  <c r="P200" i="7941"/>
  <c r="Q461" i="18"/>
  <c r="Q689" i="18"/>
  <c r="P316" i="18"/>
  <c r="P652" i="18"/>
  <c r="P522" i="18"/>
  <c r="P91" i="7941"/>
  <c r="P295" i="7944"/>
  <c r="P11" i="7941"/>
  <c r="Q467" i="18"/>
  <c r="Q695" i="18"/>
  <c r="P212" i="18"/>
  <c r="P644" i="18"/>
  <c r="P514" i="18"/>
  <c r="P83" i="7941"/>
  <c r="P31" i="7941"/>
  <c r="P463" i="7944"/>
  <c r="Q32" i="7944"/>
  <c r="P95" i="18"/>
  <c r="P635" i="18"/>
  <c r="P505" i="18"/>
  <c r="P74" i="7941"/>
  <c r="P381" i="18"/>
  <c r="P657" i="18"/>
  <c r="P527" i="18"/>
  <c r="P96" i="7941"/>
  <c r="P199" i="7941"/>
  <c r="P211" i="7944"/>
  <c r="P56" i="18"/>
  <c r="P309" i="7944"/>
  <c r="Q460" i="18"/>
  <c r="Q688" i="18"/>
  <c r="P253" i="7944"/>
  <c r="P420" i="18"/>
  <c r="P660" i="18"/>
  <c r="P530" i="18"/>
  <c r="P99" i="7941"/>
  <c r="P277" i="18"/>
  <c r="P649" i="18"/>
  <c r="P519" i="18"/>
  <c r="P88" i="7941"/>
  <c r="Q25" i="7944"/>
  <c r="Q13" i="7944"/>
  <c r="P113" i="7944"/>
  <c r="P211" i="7941"/>
  <c r="P226" i="7941"/>
  <c r="Q28" i="7944"/>
  <c r="Q23" i="7944"/>
  <c r="P108" i="18"/>
  <c r="P636" i="18"/>
  <c r="P506" i="18"/>
  <c r="P75" i="7941"/>
  <c r="P203" i="7941"/>
  <c r="P25" i="7941"/>
  <c r="Q453" i="18"/>
  <c r="Q681" i="18"/>
  <c r="P214" i="7941"/>
  <c r="P201" i="7941"/>
  <c r="P351" i="7944"/>
  <c r="P155" i="7944"/>
  <c r="P199" i="18"/>
  <c r="P643" i="18"/>
  <c r="P477" i="7944"/>
  <c r="Q454" i="18"/>
  <c r="Q682" i="18"/>
  <c r="P251" i="18"/>
  <c r="P647" i="18"/>
  <c r="P517" i="18"/>
  <c r="P86" i="7941"/>
  <c r="P208" i="7941"/>
  <c r="P393" i="7944"/>
  <c r="P21" i="7941"/>
  <c r="P472" i="18"/>
  <c r="P41" i="7941"/>
  <c r="E45" i="7945"/>
  <c r="F45" i="7945" s="1"/>
  <c r="P491" i="18"/>
  <c r="P60" i="7941"/>
  <c r="P471" i="18"/>
  <c r="P40" i="7941"/>
  <c r="P488" i="18"/>
  <c r="P57" i="7941"/>
  <c r="O6" i="7941"/>
  <c r="O71" i="7944"/>
  <c r="P437" i="18"/>
  <c r="P666" i="18"/>
  <c r="Q488" i="18"/>
  <c r="Q57" i="7941"/>
  <c r="Q478" i="18"/>
  <c r="Q47" i="7941"/>
  <c r="Q484" i="18"/>
  <c r="Q53" i="7941"/>
  <c r="Q486" i="18"/>
  <c r="Q55" i="7941"/>
  <c r="Q487" i="18"/>
  <c r="Q56" i="7941"/>
  <c r="Q12" i="18"/>
  <c r="Q470" i="18"/>
  <c r="Q39" i="7941"/>
  <c r="Q173" i="1"/>
  <c r="Q475" i="18"/>
  <c r="Q44" i="7941"/>
  <c r="Q473" i="18"/>
  <c r="Q42" i="7941"/>
  <c r="Q483" i="18"/>
  <c r="Q52" i="7941"/>
  <c r="Q491" i="18"/>
  <c r="Q60" i="7941"/>
  <c r="Q492" i="18"/>
  <c r="Q61" i="7941"/>
  <c r="Q471" i="18"/>
  <c r="Q40" i="7941"/>
  <c r="Q482" i="18"/>
  <c r="Q51" i="7941"/>
  <c r="Q493" i="18"/>
  <c r="Q62" i="7941"/>
  <c r="P482" i="18"/>
  <c r="P51" i="7941"/>
  <c r="P477" i="18"/>
  <c r="P46" i="7941"/>
  <c r="P481" i="18"/>
  <c r="P50" i="7941"/>
  <c r="P478" i="18"/>
  <c r="P47" i="7941"/>
  <c r="P484" i="18"/>
  <c r="P53" i="7941"/>
  <c r="P492" i="18"/>
  <c r="P61" i="7941"/>
  <c r="P474" i="18"/>
  <c r="P43" i="7941"/>
  <c r="P486" i="18"/>
  <c r="P55" i="7941"/>
  <c r="N315" i="7941"/>
  <c r="N251" i="7941"/>
  <c r="N237" i="7941"/>
  <c r="N258" i="7941"/>
  <c r="N232" i="7941"/>
  <c r="N306" i="7941"/>
  <c r="N240" i="7941"/>
  <c r="N301" i="7941"/>
  <c r="N323" i="7941"/>
  <c r="N310" i="7941"/>
  <c r="N316" i="7941"/>
  <c r="N249" i="7941"/>
  <c r="N296" i="7941"/>
  <c r="N247" i="7941"/>
  <c r="N245" i="7941"/>
  <c r="N253" i="7941"/>
  <c r="N236" i="7941"/>
  <c r="N239" i="7941"/>
  <c r="N304" i="7941"/>
  <c r="N254" i="7941"/>
  <c r="N250" i="7941"/>
  <c r="N299" i="7941"/>
  <c r="N255" i="7941"/>
  <c r="N257" i="7941"/>
  <c r="N256" i="7941"/>
  <c r="N307" i="7941"/>
  <c r="N233" i="7941"/>
  <c r="N231" i="7941"/>
  <c r="N259" i="7941"/>
  <c r="N297" i="7941"/>
  <c r="N241" i="7941"/>
  <c r="N314" i="7941"/>
  <c r="N238" i="7941"/>
  <c r="N248" i="7941"/>
  <c r="N242" i="7941"/>
  <c r="N252" i="7941"/>
  <c r="N322" i="7941"/>
  <c r="N303" i="7941"/>
  <c r="N320" i="7941"/>
  <c r="N235" i="7941"/>
  <c r="N313" i="7941"/>
  <c r="N302" i="7941"/>
  <c r="N295" i="7941"/>
  <c r="N294" i="7941"/>
  <c r="N260" i="7941"/>
  <c r="N311" i="7941"/>
  <c r="N244" i="7941"/>
  <c r="N312" i="7941"/>
  <c r="N319" i="7941"/>
  <c r="N243" i="7941"/>
  <c r="N234" i="7941"/>
  <c r="N246" i="7941"/>
  <c r="N321" i="7941"/>
  <c r="N318" i="7941"/>
  <c r="N324" i="7941"/>
  <c r="N308" i="7941"/>
  <c r="N300" i="7941"/>
  <c r="N298" i="7941"/>
  <c r="N305" i="7941"/>
  <c r="N317" i="7941"/>
  <c r="N309" i="7941"/>
  <c r="N502" i="18"/>
  <c r="N71" i="7941"/>
  <c r="P470" i="18"/>
  <c r="P39" i="7941"/>
  <c r="P11" i="18"/>
  <c r="E17" i="7945"/>
  <c r="F17" i="7945" s="1"/>
  <c r="P483" i="18"/>
  <c r="P52" i="7941"/>
  <c r="O198" i="7941"/>
  <c r="O301" i="7941"/>
  <c r="O632" i="18"/>
  <c r="O43" i="18"/>
  <c r="I289" i="7945"/>
  <c r="J275" i="7945"/>
  <c r="K275" i="7945" s="1"/>
  <c r="Q219" i="7941"/>
  <c r="Q309" i="7944"/>
  <c r="Q337" i="7944"/>
  <c r="Q303" i="18"/>
  <c r="Q651" i="18"/>
  <c r="Q521" i="18"/>
  <c r="Q90" i="7941"/>
  <c r="R19" i="7944"/>
  <c r="R11" i="7944"/>
  <c r="Q220" i="7941"/>
  <c r="Q226" i="7941"/>
  <c r="Q113" i="7944"/>
  <c r="Q33" i="7941"/>
  <c r="R25" i="7944"/>
  <c r="R441" i="18"/>
  <c r="Q225" i="18"/>
  <c r="Q645" i="18"/>
  <c r="Q267" i="7944"/>
  <c r="Q223" i="7941"/>
  <c r="R442" i="18"/>
  <c r="Q316" i="18"/>
  <c r="Q652" i="18"/>
  <c r="Q522" i="18"/>
  <c r="Q91" i="7941"/>
  <c r="R449" i="18"/>
  <c r="R30" i="7944"/>
  <c r="R10" i="7944"/>
  <c r="Q82" i="18"/>
  <c r="Q634" i="18"/>
  <c r="Q504" i="18"/>
  <c r="Q73" i="7941"/>
  <c r="Q351" i="7944"/>
  <c r="Q281" i="7944"/>
  <c r="R13" i="7944"/>
  <c r="Q85" i="7944"/>
  <c r="Q35" i="7941"/>
  <c r="Q205" i="7941"/>
  <c r="Q421" i="7944"/>
  <c r="Q204" i="7941"/>
  <c r="Q477" i="7944"/>
  <c r="R438" i="18"/>
  <c r="R17" i="7944"/>
  <c r="Q264" i="18"/>
  <c r="Q648" i="18"/>
  <c r="Q407" i="18"/>
  <c r="Q659" i="18"/>
  <c r="Q529" i="18"/>
  <c r="Q98" i="7941"/>
  <c r="Q212" i="18"/>
  <c r="Q644" i="18"/>
  <c r="Q514" i="18"/>
  <c r="Q83" i="7941"/>
  <c r="Q394" i="18"/>
  <c r="Q658" i="18"/>
  <c r="Q528" i="18"/>
  <c r="Q97" i="7941"/>
  <c r="Q95" i="18"/>
  <c r="Q635" i="18"/>
  <c r="Q505" i="18"/>
  <c r="Q74" i="7941"/>
  <c r="R440" i="18"/>
  <c r="Q216" i="7941"/>
  <c r="Q19" i="7941"/>
  <c r="Q186" i="18"/>
  <c r="Q642" i="18"/>
  <c r="Q512" i="18"/>
  <c r="Q81" i="7941"/>
  <c r="R28" i="7944"/>
  <c r="Q10" i="7941"/>
  <c r="Q34" i="7941"/>
  <c r="R20" i="7944"/>
  <c r="Q365" i="7944"/>
  <c r="R24" i="7944"/>
  <c r="Q69" i="18"/>
  <c r="Q633" i="18"/>
  <c r="R455" i="18"/>
  <c r="Q203" i="7941"/>
  <c r="Q197" i="7944"/>
  <c r="Q200" i="7941"/>
  <c r="Q449" i="7944"/>
  <c r="Q407" i="7944"/>
  <c r="Q381" i="18"/>
  <c r="Q657" i="18"/>
  <c r="Q527" i="18"/>
  <c r="Q96" i="7941"/>
  <c r="Q25" i="7941"/>
  <c r="Q23" i="7941"/>
  <c r="Q155" i="7944"/>
  <c r="R14" i="7944"/>
  <c r="R36" i="7944"/>
  <c r="Q13" i="7941"/>
  <c r="Q227" i="7941"/>
  <c r="Q213" i="7941"/>
  <c r="Q147" i="18"/>
  <c r="Q639" i="18"/>
  <c r="Q509" i="18"/>
  <c r="Q78" i="7941"/>
  <c r="Q8" i="7941"/>
  <c r="R16" i="7944"/>
  <c r="Q217" i="7941"/>
  <c r="R465" i="18"/>
  <c r="Q173" i="18"/>
  <c r="Q641" i="18"/>
  <c r="R460" i="18"/>
  <c r="Q368" i="18"/>
  <c r="Q656" i="18"/>
  <c r="Q526" i="18"/>
  <c r="Q95" i="7941"/>
  <c r="Q16" i="7941"/>
  <c r="Q12" i="7941"/>
  <c r="Q99" i="7944"/>
  <c r="R18" i="7944"/>
  <c r="R463" i="18"/>
  <c r="R447" i="18"/>
  <c r="Q239" i="7944"/>
  <c r="Q15" i="7941"/>
  <c r="R8" i="7944"/>
  <c r="Q208" i="7941"/>
  <c r="Q433" i="18"/>
  <c r="Q661" i="18"/>
  <c r="Q531" i="18"/>
  <c r="Q100" i="7941"/>
  <c r="Q211" i="7941"/>
  <c r="R446" i="18"/>
  <c r="Q342" i="18"/>
  <c r="Q654" i="18"/>
  <c r="Q524" i="18"/>
  <c r="Q93" i="7941"/>
  <c r="R464" i="18"/>
  <c r="Q206" i="7941"/>
  <c r="Q29" i="7941"/>
  <c r="R31" i="7944"/>
  <c r="R457" i="18"/>
  <c r="Q323" i="7944"/>
  <c r="Q21" i="7941"/>
  <c r="Q214" i="7941"/>
  <c r="R466" i="18"/>
  <c r="Q27" i="7941"/>
  <c r="Q199" i="18"/>
  <c r="Q643" i="18"/>
  <c r="Q513" i="18"/>
  <c r="Q82" i="7941"/>
  <c r="R35" i="7944"/>
  <c r="Q160" i="18"/>
  <c r="Q640" i="18"/>
  <c r="Q510" i="18"/>
  <c r="Q79" i="7941"/>
  <c r="R452" i="18"/>
  <c r="R33" i="7944"/>
  <c r="Q228" i="7941"/>
  <c r="Q201" i="7941"/>
  <c r="Q211" i="7944"/>
  <c r="R459" i="18"/>
  <c r="R444" i="18"/>
  <c r="Q30" i="7941"/>
  <c r="Q251" i="18"/>
  <c r="Q647" i="18"/>
  <c r="Q517" i="18"/>
  <c r="Q86" i="7941"/>
  <c r="R453" i="18"/>
  <c r="Q222" i="7941"/>
  <c r="Q28" i="7941"/>
  <c r="Q221" i="7941"/>
  <c r="R451" i="18"/>
  <c r="R454" i="18"/>
  <c r="Q183" i="7944"/>
  <c r="Q207" i="7941"/>
  <c r="Q11" i="7941"/>
  <c r="Q212" i="7941"/>
  <c r="R448" i="18"/>
  <c r="R461" i="18"/>
  <c r="Q121" i="18"/>
  <c r="Q637" i="18"/>
  <c r="Q507" i="18"/>
  <c r="Q76" i="7941"/>
  <c r="Q56" i="18"/>
  <c r="R9" i="7944"/>
  <c r="R443" i="18"/>
  <c r="Q26" i="7941"/>
  <c r="Q253" i="7944"/>
  <c r="Q24" i="7941"/>
  <c r="R32" i="7944"/>
  <c r="Q225" i="7941"/>
  <c r="R37" i="7944"/>
  <c r="Q277" i="18"/>
  <c r="Q649" i="18"/>
  <c r="Q519" i="18"/>
  <c r="Q88" i="7941"/>
  <c r="Q134" i="18"/>
  <c r="Q638" i="18"/>
  <c r="Q508" i="18"/>
  <c r="Q77" i="7941"/>
  <c r="R27" i="7944"/>
  <c r="Q14" i="7941"/>
  <c r="Q7" i="7941"/>
  <c r="Q218" i="7941"/>
  <c r="R21" i="7944"/>
  <c r="Q355" i="18"/>
  <c r="Q655" i="18"/>
  <c r="Q525" i="18"/>
  <c r="Q94" i="7941"/>
  <c r="Q202" i="7941"/>
  <c r="Q491" i="7944"/>
  <c r="Q393" i="7944"/>
  <c r="Q127" i="7944"/>
  <c r="R456" i="18"/>
  <c r="Q20" i="7941"/>
  <c r="R12" i="7944"/>
  <c r="Q210" i="7941"/>
  <c r="Q17" i="7941"/>
  <c r="Q420" i="18"/>
  <c r="Q660" i="18"/>
  <c r="Q530" i="18"/>
  <c r="Q99" i="7941"/>
  <c r="Q295" i="7944"/>
  <c r="Q141" i="7944"/>
  <c r="Q215" i="7941"/>
  <c r="R462" i="18"/>
  <c r="Q238" i="18"/>
  <c r="Q646" i="18"/>
  <c r="Q516" i="18"/>
  <c r="Q85" i="7941"/>
  <c r="Q290" i="18"/>
  <c r="Q650" i="18"/>
  <c r="Q520" i="18"/>
  <c r="Q89" i="7941"/>
  <c r="Q22" i="7941"/>
  <c r="R22" i="7944"/>
  <c r="Q209" i="7941"/>
  <c r="Q18" i="7941"/>
  <c r="Q9" i="7941"/>
  <c r="R29" i="7944"/>
  <c r="R450" i="18"/>
  <c r="R26" i="7944"/>
  <c r="Q379" i="7944"/>
  <c r="Q31" i="7941"/>
  <c r="Q435" i="7944"/>
  <c r="R445" i="18"/>
  <c r="R23" i="7944"/>
  <c r="Q108" i="18"/>
  <c r="Q636" i="18"/>
  <c r="Q506" i="18"/>
  <c r="Q75" i="7941"/>
  <c r="Q199" i="7941"/>
  <c r="Q198" i="7941"/>
  <c r="Q32" i="7941"/>
  <c r="R458" i="18"/>
  <c r="R34" i="7944"/>
  <c r="Q225" i="7944"/>
  <c r="Q463" i="7944"/>
  <c r="R467" i="18"/>
  <c r="Q36" i="7941"/>
  <c r="Q169" i="7944"/>
  <c r="R439" i="18"/>
  <c r="Q329" i="18"/>
  <c r="Q653" i="18"/>
  <c r="Q523" i="18"/>
  <c r="Q92" i="7941"/>
  <c r="Q224" i="7941"/>
  <c r="R15" i="7944"/>
  <c r="R174" i="1"/>
  <c r="P71" i="7944"/>
  <c r="O243" i="7941"/>
  <c r="O304" i="7941"/>
  <c r="O300" i="7941"/>
  <c r="O260" i="7941"/>
  <c r="O299" i="7941"/>
  <c r="O322" i="7941"/>
  <c r="O256" i="7941"/>
  <c r="O235" i="7941"/>
  <c r="O248" i="7941"/>
  <c r="O242" i="7941"/>
  <c r="O298" i="7941"/>
  <c r="O247" i="7941"/>
  <c r="O252" i="7941"/>
  <c r="O240" i="7941"/>
  <c r="O502" i="18"/>
  <c r="Q11" i="18"/>
  <c r="P43" i="18"/>
  <c r="P632" i="18"/>
  <c r="P198" i="7941"/>
  <c r="P324" i="7941"/>
  <c r="Q666" i="18"/>
  <c r="Q437" i="18"/>
  <c r="P6" i="7941"/>
  <c r="I303" i="7945"/>
  <c r="J289" i="7945"/>
  <c r="K289" i="7945" s="1"/>
  <c r="O71" i="7941"/>
  <c r="P260" i="7941"/>
  <c r="P311" i="7941"/>
  <c r="P295" i="7941"/>
  <c r="P300" i="7941"/>
  <c r="P236" i="7941"/>
  <c r="P317" i="7941"/>
  <c r="P302" i="7941"/>
  <c r="P239" i="7941"/>
  <c r="P315" i="7941"/>
  <c r="P312" i="7941"/>
  <c r="P255" i="7941"/>
  <c r="P316" i="7941"/>
  <c r="P256" i="7941"/>
  <c r="P303" i="7941"/>
  <c r="P233" i="7941"/>
  <c r="P243" i="7941"/>
  <c r="P309" i="7941"/>
  <c r="P259" i="7941"/>
  <c r="P254" i="7941"/>
  <c r="P321" i="7941"/>
  <c r="P299" i="7941"/>
  <c r="P235" i="7941"/>
  <c r="P298" i="7941"/>
  <c r="P305" i="7941"/>
  <c r="P322" i="7941"/>
  <c r="P237" i="7941"/>
  <c r="P323" i="7941"/>
  <c r="P296" i="7941"/>
  <c r="P250" i="7941"/>
  <c r="P241" i="7941"/>
  <c r="Q632" i="18"/>
  <c r="Q631" i="18"/>
  <c r="Q71" i="7944"/>
  <c r="I317" i="7945"/>
  <c r="J303" i="7945"/>
  <c r="K303" i="7945" s="1"/>
  <c r="J317" i="7945"/>
  <c r="K317" i="7945" s="1"/>
  <c r="I331" i="7945"/>
  <c r="I345" i="7945"/>
  <c r="J331" i="7945"/>
  <c r="K331" i="7945" s="1"/>
  <c r="I359" i="7945"/>
  <c r="J345" i="7945"/>
  <c r="K345" i="7945" s="1"/>
  <c r="I373" i="7945"/>
  <c r="J359" i="7945"/>
  <c r="J373" i="7945"/>
  <c r="K373" i="7945" s="1"/>
  <c r="I387" i="7945"/>
  <c r="I401" i="7945"/>
  <c r="J387" i="7945"/>
  <c r="K387" i="7945" s="1"/>
  <c r="I415" i="7945"/>
  <c r="J415" i="7945"/>
  <c r="K415" i="7945" s="1"/>
  <c r="J401" i="7945"/>
  <c r="K401" i="7945" s="1"/>
  <c r="Q243" i="7941"/>
  <c r="Q324" i="7941"/>
  <c r="Q322" i="7941"/>
  <c r="Q307" i="7941"/>
  <c r="Q260" i="7941"/>
  <c r="Q305" i="7941"/>
  <c r="Q250" i="7941"/>
  <c r="Q38" i="7941"/>
  <c r="O514" i="18"/>
  <c r="O83" i="7941"/>
  <c r="O503" i="18"/>
  <c r="O631" i="18"/>
  <c r="P62" i="7941"/>
  <c r="P38" i="7941"/>
  <c r="P469" i="18"/>
  <c r="Q503" i="18"/>
  <c r="Q72" i="7941"/>
  <c r="Q43" i="18"/>
  <c r="P304" i="7941"/>
  <c r="P244" i="7941"/>
  <c r="P257" i="7941"/>
  <c r="P320" i="7941"/>
  <c r="P248" i="7941"/>
  <c r="P232" i="7941"/>
  <c r="P234" i="7941"/>
  <c r="P246" i="7941"/>
  <c r="P251" i="7941"/>
  <c r="P307" i="7941"/>
  <c r="P258" i="7941"/>
  <c r="P253" i="7941"/>
  <c r="P238" i="7941"/>
  <c r="P306" i="7941"/>
  <c r="P249" i="7941"/>
  <c r="P240" i="7941"/>
  <c r="P247" i="7941"/>
  <c r="P242" i="7941"/>
  <c r="P314" i="7941"/>
  <c r="P319" i="7941"/>
  <c r="P252" i="7941"/>
  <c r="P245" i="7941"/>
  <c r="P308" i="7941"/>
  <c r="P313" i="7941"/>
  <c r="P297" i="7941"/>
  <c r="P301" i="7941"/>
  <c r="P318" i="7941"/>
  <c r="P310" i="7941"/>
  <c r="P231" i="7941"/>
  <c r="P631" i="18"/>
  <c r="E18" i="7945"/>
  <c r="F18" i="7945" s="1"/>
  <c r="O315" i="7941"/>
  <c r="O324" i="7941"/>
  <c r="O319" i="7941"/>
  <c r="O307" i="7941"/>
  <c r="O246" i="7941"/>
  <c r="O232" i="7941"/>
  <c r="O320" i="7941"/>
  <c r="O238" i="7941"/>
  <c r="O255" i="7941"/>
  <c r="O258" i="7941"/>
  <c r="O316" i="7941"/>
  <c r="O302" i="7941"/>
  <c r="O257" i="7941"/>
  <c r="O321" i="7941"/>
  <c r="O309" i="7941"/>
  <c r="O306" i="7941"/>
  <c r="Q518" i="18"/>
  <c r="Q87" i="7941"/>
  <c r="N230" i="7941"/>
  <c r="P665" i="18"/>
  <c r="P513" i="18"/>
  <c r="P82" i="7941"/>
  <c r="P515" i="18"/>
  <c r="P84" i="7941"/>
  <c r="P512" i="18"/>
  <c r="P81" i="7941"/>
  <c r="O508" i="18"/>
  <c r="O77" i="7941"/>
  <c r="O513" i="18"/>
  <c r="O82" i="7941"/>
  <c r="O665" i="18"/>
  <c r="Q511" i="18"/>
  <c r="Q80" i="7941"/>
  <c r="Q515" i="18"/>
  <c r="Q84" i="7941"/>
  <c r="M230" i="7941"/>
  <c r="O521" i="18"/>
  <c r="O90" i="7941"/>
  <c r="O512" i="18"/>
  <c r="O81" i="7941"/>
  <c r="N531" i="18"/>
  <c r="N100" i="7941"/>
  <c r="M38" i="7941"/>
  <c r="M43" i="18"/>
  <c r="M6" i="7941"/>
  <c r="G63" i="7942"/>
  <c r="G95" i="7942"/>
  <c r="G55" i="7942"/>
  <c r="G87" i="7942"/>
  <c r="G64" i="7942"/>
  <c r="G96" i="7942"/>
  <c r="G52" i="7942"/>
  <c r="G84" i="7942"/>
  <c r="G50" i="7942"/>
  <c r="G82" i="7942"/>
  <c r="G58" i="7942"/>
  <c r="G90" i="7942"/>
  <c r="G49" i="7942"/>
  <c r="G81" i="7942"/>
  <c r="G61" i="7942"/>
  <c r="G93" i="7942"/>
  <c r="G65" i="7942"/>
  <c r="G97" i="7942"/>
  <c r="G51" i="7942"/>
  <c r="G83" i="7942"/>
  <c r="G69" i="7942"/>
  <c r="G101" i="7942"/>
  <c r="G71" i="7942"/>
  <c r="G103" i="7942"/>
  <c r="G47" i="7942"/>
  <c r="G79" i="7942"/>
  <c r="G56" i="7942"/>
  <c r="G88" i="7942"/>
  <c r="G54" i="7942"/>
  <c r="G86" i="7942"/>
  <c r="G70" i="7942"/>
  <c r="G102" i="7942"/>
  <c r="G57" i="7942"/>
  <c r="G89" i="7942"/>
  <c r="G48" i="7942"/>
  <c r="G80" i="7942"/>
  <c r="G68" i="7942"/>
  <c r="G100" i="7942"/>
  <c r="G73" i="7942"/>
  <c r="G105" i="7942"/>
  <c r="G53" i="7942"/>
  <c r="G85" i="7942"/>
  <c r="G66" i="7942"/>
  <c r="G98" i="7942"/>
  <c r="G46" i="7942"/>
  <c r="G78" i="7942"/>
  <c r="G45" i="7942"/>
  <c r="G77" i="7942"/>
  <c r="G60" i="7942"/>
  <c r="G92" i="7942"/>
  <c r="G72" i="7942"/>
  <c r="G104" i="7942"/>
  <c r="G59" i="7942"/>
  <c r="G91" i="7942"/>
  <c r="G62" i="7942"/>
  <c r="G94" i="7942"/>
  <c r="G67" i="7942"/>
  <c r="G99" i="7942"/>
  <c r="G44" i="7942"/>
  <c r="Q319" i="18"/>
  <c r="H31" i="18"/>
  <c r="H489" i="18"/>
  <c r="H58" i="7941"/>
  <c r="H13" i="18"/>
  <c r="H471" i="18"/>
  <c r="H40" i="7941"/>
  <c r="H12" i="18"/>
  <c r="H14" i="18"/>
  <c r="H16" i="18"/>
  <c r="H474" i="18"/>
  <c r="H43" i="7941"/>
  <c r="H19" i="18"/>
  <c r="H21" i="18"/>
  <c r="H23" i="18"/>
  <c r="H481" i="18"/>
  <c r="H50" i="7941"/>
  <c r="H25" i="18"/>
  <c r="I183" i="1"/>
  <c r="E31" i="7945"/>
  <c r="F31" i="7945" s="1"/>
  <c r="E59" i="7945"/>
  <c r="F59" i="7945" s="1"/>
  <c r="E44" i="7945"/>
  <c r="F44" i="7945" s="1"/>
  <c r="J30" i="7945"/>
  <c r="K30" i="7945" s="1"/>
  <c r="J27" i="7945"/>
  <c r="K27" i="7945" s="1"/>
  <c r="J26" i="7945"/>
  <c r="K26" i="7945" s="1"/>
  <c r="D43" i="7945"/>
  <c r="D57" i="7945"/>
  <c r="D71" i="7945" s="1"/>
  <c r="D85" i="7945"/>
  <c r="D99" i="7945" s="1"/>
  <c r="E99" i="7945" s="1"/>
  <c r="F99" i="7945" s="1"/>
  <c r="I58" i="7945"/>
  <c r="I72" i="7945" s="1"/>
  <c r="I38" i="7945"/>
  <c r="J38" i="7945" s="1"/>
  <c r="K38" i="7945" s="1"/>
  <c r="I46" i="7945"/>
  <c r="I60" i="7945"/>
  <c r="J32" i="7945"/>
  <c r="K32" i="7945" s="1"/>
  <c r="J40" i="7945"/>
  <c r="K40" i="7945" s="1"/>
  <c r="J39" i="7945"/>
  <c r="K39" i="7945" s="1"/>
  <c r="Q258" i="7941"/>
  <c r="Q314" i="7941"/>
  <c r="Q297" i="7941"/>
  <c r="Q319" i="7941"/>
  <c r="Q242" i="7941"/>
  <c r="M294" i="7941"/>
  <c r="Q256" i="7941"/>
  <c r="Q302" i="7941"/>
  <c r="Q239" i="7941"/>
  <c r="Q253" i="7941"/>
  <c r="Q240" i="7941"/>
  <c r="Q249" i="7941"/>
  <c r="Q304" i="7941"/>
  <c r="Q320" i="7941"/>
  <c r="Q312" i="7941"/>
  <c r="Q254" i="7941"/>
  <c r="Q237" i="7941"/>
  <c r="Q299" i="7941"/>
  <c r="Q238" i="7941"/>
  <c r="Q252" i="7941"/>
  <c r="Q296" i="7941"/>
  <c r="Q235" i="7941"/>
  <c r="Q247" i="7941"/>
  <c r="P294" i="7941"/>
  <c r="Q469" i="18"/>
  <c r="P502" i="18"/>
  <c r="O38" i="7941"/>
  <c r="O501" i="18"/>
  <c r="O72" i="7941"/>
  <c r="O70" i="7941"/>
  <c r="N631" i="18"/>
  <c r="N503" i="18"/>
  <c r="M631" i="18"/>
  <c r="P230" i="7941"/>
  <c r="Q315" i="7941"/>
  <c r="Q316" i="7941"/>
  <c r="Q231" i="7941"/>
  <c r="Q311" i="7941"/>
  <c r="Q310" i="7941"/>
  <c r="Q303" i="7941"/>
  <c r="Q313" i="7941"/>
  <c r="Q306" i="7941"/>
  <c r="Q298" i="7941"/>
  <c r="Q234" i="7941"/>
  <c r="Q259" i="7941"/>
  <c r="Q318" i="7941"/>
  <c r="Q323" i="7941"/>
  <c r="Q236" i="7941"/>
  <c r="Q295" i="7941"/>
  <c r="Q232" i="7941"/>
  <c r="Q321" i="7941"/>
  <c r="Q300" i="7941"/>
  <c r="Q257" i="7941"/>
  <c r="Q251" i="7941"/>
  <c r="Q241" i="7941"/>
  <c r="Q246" i="7941"/>
  <c r="Q248" i="7941"/>
  <c r="Q255" i="7941"/>
  <c r="Q233" i="7941"/>
  <c r="Q308" i="7941"/>
  <c r="Q317" i="7941"/>
  <c r="Q301" i="7941"/>
  <c r="Q245" i="7941"/>
  <c r="Q244" i="7941"/>
  <c r="Q309" i="7941"/>
  <c r="Q665" i="18"/>
  <c r="Q502" i="18"/>
  <c r="Q6" i="7941"/>
  <c r="R437" i="18"/>
  <c r="N519" i="18"/>
  <c r="N88" i="7941"/>
  <c r="N665" i="18"/>
  <c r="P233" i="18"/>
  <c r="Q233" i="18"/>
  <c r="G631" i="18"/>
  <c r="O305" i="7941"/>
  <c r="O318" i="7941"/>
  <c r="O244" i="7941"/>
  <c r="O313" i="7941"/>
  <c r="O241" i="7941"/>
  <c r="O231" i="7941"/>
  <c r="O303" i="7941"/>
  <c r="O296" i="7941"/>
  <c r="O317" i="7941"/>
  <c r="O237" i="7941"/>
  <c r="O259" i="7941"/>
  <c r="O310" i="7941"/>
  <c r="O250" i="7941"/>
  <c r="O308" i="7941"/>
  <c r="O253" i="7941"/>
  <c r="O233" i="7941"/>
  <c r="O239" i="7941"/>
  <c r="O254" i="7941"/>
  <c r="O311" i="7941"/>
  <c r="O249" i="7941"/>
  <c r="O295" i="7941"/>
  <c r="O251" i="7941"/>
  <c r="O297" i="7941"/>
  <c r="O236" i="7941"/>
  <c r="O323" i="7941"/>
  <c r="O245" i="7941"/>
  <c r="O314" i="7941"/>
  <c r="O312" i="7941"/>
  <c r="O234" i="7941"/>
  <c r="O437" i="18"/>
  <c r="N437" i="18"/>
  <c r="H44" i="18"/>
  <c r="H70" i="18"/>
  <c r="H291" i="18"/>
  <c r="H57" i="18"/>
  <c r="H83" i="18"/>
  <c r="H96" i="18"/>
  <c r="H109" i="18"/>
  <c r="H135" i="18"/>
  <c r="H161" i="18"/>
  <c r="H187" i="18"/>
  <c r="H148" i="18"/>
  <c r="H200" i="18"/>
  <c r="H226" i="18"/>
  <c r="H252" i="18"/>
  <c r="H122" i="18"/>
  <c r="H174" i="18"/>
  <c r="H213" i="18"/>
  <c r="H239" i="18"/>
  <c r="H265" i="18"/>
  <c r="H304" i="18"/>
  <c r="H330" i="18"/>
  <c r="O163" i="18"/>
  <c r="L421" i="18"/>
  <c r="L433" i="18"/>
  <c r="L661" i="18"/>
  <c r="K421" i="18"/>
  <c r="K433" i="18"/>
  <c r="K661" i="18"/>
  <c r="H421" i="18"/>
  <c r="L408" i="18"/>
  <c r="L420" i="18"/>
  <c r="L660" i="18"/>
  <c r="K408" i="18"/>
  <c r="K420" i="18"/>
  <c r="K660" i="18"/>
  <c r="H408" i="18"/>
  <c r="L395" i="18"/>
  <c r="K397" i="18"/>
  <c r="J397" i="18"/>
  <c r="I395" i="18"/>
  <c r="H395" i="18"/>
  <c r="L369" i="18"/>
  <c r="L381" i="18"/>
  <c r="L657" i="18"/>
  <c r="I369" i="18"/>
  <c r="I381" i="18"/>
  <c r="I657" i="18"/>
  <c r="H369" i="18"/>
  <c r="L343" i="18"/>
  <c r="L355" i="18"/>
  <c r="L655" i="18"/>
  <c r="K343" i="18"/>
  <c r="K355" i="18"/>
  <c r="K655" i="18"/>
  <c r="J343" i="18"/>
  <c r="J355" i="18"/>
  <c r="J655" i="18"/>
  <c r="H343" i="18"/>
  <c r="H317" i="18"/>
  <c r="L278" i="18"/>
  <c r="H278" i="18"/>
  <c r="K265" i="18"/>
  <c r="K277" i="18"/>
  <c r="K649" i="18"/>
  <c r="J265" i="18"/>
  <c r="J277" i="18"/>
  <c r="J649" i="18"/>
  <c r="H683" i="18"/>
  <c r="H18" i="7941"/>
  <c r="H9" i="7941"/>
  <c r="P421" i="18"/>
  <c r="L291" i="18"/>
  <c r="L44" i="18"/>
  <c r="L59" i="18"/>
  <c r="L293" i="18"/>
  <c r="L57" i="18"/>
  <c r="L83" i="18"/>
  <c r="L70" i="18"/>
  <c r="L82" i="18"/>
  <c r="L634" i="18"/>
  <c r="L85" i="18"/>
  <c r="L96" i="18"/>
  <c r="L98" i="18"/>
  <c r="L109" i="18"/>
  <c r="L121" i="18"/>
  <c r="L637" i="18"/>
  <c r="L135" i="18"/>
  <c r="L147" i="18"/>
  <c r="L639" i="18"/>
  <c r="L161" i="18"/>
  <c r="L173" i="18"/>
  <c r="L641" i="18"/>
  <c r="L176" i="18"/>
  <c r="L122" i="18"/>
  <c r="L134" i="18"/>
  <c r="L638" i="18"/>
  <c r="L189" i="18"/>
  <c r="L200" i="18"/>
  <c r="L212" i="18"/>
  <c r="L644" i="18"/>
  <c r="L241" i="18"/>
  <c r="L148" i="18"/>
  <c r="L160" i="18"/>
  <c r="L640" i="18"/>
  <c r="L187" i="18"/>
  <c r="L213" i="18"/>
  <c r="L225" i="18"/>
  <c r="L645" i="18"/>
  <c r="L239" i="18"/>
  <c r="L265" i="18"/>
  <c r="L277" i="18"/>
  <c r="L649" i="18"/>
  <c r="L280" i="18"/>
  <c r="K291" i="18"/>
  <c r="K44" i="18"/>
  <c r="K57" i="18"/>
  <c r="K293" i="18"/>
  <c r="K59" i="18"/>
  <c r="K85" i="18"/>
  <c r="K70" i="18"/>
  <c r="K82" i="18"/>
  <c r="K634" i="18"/>
  <c r="K83" i="18"/>
  <c r="K98" i="18"/>
  <c r="K96" i="18"/>
  <c r="K109" i="18"/>
  <c r="K121" i="18"/>
  <c r="K637" i="18"/>
  <c r="K135" i="18"/>
  <c r="K147" i="18"/>
  <c r="K639" i="18"/>
  <c r="K161" i="18"/>
  <c r="K173" i="18"/>
  <c r="K641" i="18"/>
  <c r="K174" i="18"/>
  <c r="K189" i="18"/>
  <c r="K122" i="18"/>
  <c r="K134" i="18"/>
  <c r="K638" i="18"/>
  <c r="K176" i="18"/>
  <c r="K187" i="18"/>
  <c r="K200" i="18"/>
  <c r="K212" i="18"/>
  <c r="K644" i="18"/>
  <c r="K239" i="18"/>
  <c r="K148" i="18"/>
  <c r="K160" i="18"/>
  <c r="K640" i="18"/>
  <c r="K213" i="18"/>
  <c r="K225" i="18"/>
  <c r="K645" i="18"/>
  <c r="K241" i="18"/>
  <c r="K278" i="18"/>
  <c r="J293" i="18"/>
  <c r="J44" i="18"/>
  <c r="J57" i="18"/>
  <c r="J291" i="18"/>
  <c r="J59" i="18"/>
  <c r="J85" i="18"/>
  <c r="J70" i="18"/>
  <c r="J82" i="18"/>
  <c r="J634" i="18"/>
  <c r="J83" i="18"/>
  <c r="J98" i="18"/>
  <c r="J96" i="18"/>
  <c r="J109" i="18"/>
  <c r="J121" i="18"/>
  <c r="J637" i="18"/>
  <c r="J135" i="18"/>
  <c r="J147" i="18"/>
  <c r="J639" i="18"/>
  <c r="J161" i="18"/>
  <c r="J173" i="18"/>
  <c r="J641" i="18"/>
  <c r="J174" i="18"/>
  <c r="J189" i="18"/>
  <c r="J122" i="18"/>
  <c r="J134" i="18"/>
  <c r="J638" i="18"/>
  <c r="J176" i="18"/>
  <c r="J200" i="18"/>
  <c r="J212" i="18"/>
  <c r="J644" i="18"/>
  <c r="J239" i="18"/>
  <c r="J148" i="18"/>
  <c r="J160" i="18"/>
  <c r="J640" i="18"/>
  <c r="J187" i="18"/>
  <c r="J213" i="18"/>
  <c r="J225" i="18"/>
  <c r="J645" i="18"/>
  <c r="J226" i="18"/>
  <c r="J241" i="18"/>
  <c r="J278" i="18"/>
  <c r="I293" i="18"/>
  <c r="E275" i="7945"/>
  <c r="F275" i="7945" s="1"/>
  <c r="I44" i="18"/>
  <c r="I59" i="18"/>
  <c r="E23" i="7945"/>
  <c r="F23" i="7945" s="1"/>
  <c r="I70" i="18"/>
  <c r="I82" i="18"/>
  <c r="I634" i="18"/>
  <c r="I291" i="18"/>
  <c r="I303" i="18"/>
  <c r="I651" i="18"/>
  <c r="I57" i="18"/>
  <c r="I83" i="18"/>
  <c r="I95" i="18"/>
  <c r="I635" i="18"/>
  <c r="I85" i="18"/>
  <c r="I96" i="18"/>
  <c r="I108" i="18"/>
  <c r="I636" i="18"/>
  <c r="I98" i="18"/>
  <c r="I135" i="18"/>
  <c r="I147" i="18"/>
  <c r="I639" i="18"/>
  <c r="I161" i="18"/>
  <c r="I173" i="18"/>
  <c r="I641" i="18"/>
  <c r="I176" i="18"/>
  <c r="E149" i="7945"/>
  <c r="F149" i="7945" s="1"/>
  <c r="I187" i="18"/>
  <c r="I122" i="18"/>
  <c r="I134" i="18"/>
  <c r="I638" i="18"/>
  <c r="I174" i="18"/>
  <c r="I200" i="18"/>
  <c r="I212" i="18"/>
  <c r="I644" i="18"/>
  <c r="I226" i="18"/>
  <c r="I241" i="18"/>
  <c r="E219" i="7945"/>
  <c r="F219" i="7945" s="1"/>
  <c r="I252" i="18"/>
  <c r="I264" i="18"/>
  <c r="I648" i="18"/>
  <c r="I109" i="18"/>
  <c r="I121" i="18"/>
  <c r="I637" i="18"/>
  <c r="I148" i="18"/>
  <c r="I160" i="18"/>
  <c r="I640" i="18"/>
  <c r="I189" i="18"/>
  <c r="E163" i="7945"/>
  <c r="F163" i="7945" s="1"/>
  <c r="I213" i="18"/>
  <c r="I225" i="18"/>
  <c r="I645" i="18"/>
  <c r="I228" i="18"/>
  <c r="I239" i="18"/>
  <c r="I265" i="18"/>
  <c r="I277" i="18"/>
  <c r="I649" i="18"/>
  <c r="I280" i="18"/>
  <c r="I304" i="18"/>
  <c r="I316" i="18"/>
  <c r="I652" i="18"/>
  <c r="J421" i="18"/>
  <c r="J433" i="18"/>
  <c r="J661" i="18"/>
  <c r="I421" i="18"/>
  <c r="I433" i="18"/>
  <c r="I661" i="18"/>
  <c r="J408" i="18"/>
  <c r="J420" i="18"/>
  <c r="J660" i="18"/>
  <c r="I408" i="18"/>
  <c r="I420" i="18"/>
  <c r="I660" i="18"/>
  <c r="L397" i="18"/>
  <c r="K395" i="18"/>
  <c r="J395" i="18"/>
  <c r="I397" i="18"/>
  <c r="L382" i="18"/>
  <c r="L394" i="18"/>
  <c r="L658" i="18"/>
  <c r="K382" i="18"/>
  <c r="K394" i="18"/>
  <c r="K658" i="18"/>
  <c r="J382" i="18"/>
  <c r="J394" i="18"/>
  <c r="J658" i="18"/>
  <c r="I382" i="18"/>
  <c r="I394" i="18"/>
  <c r="I658" i="18"/>
  <c r="H382" i="18"/>
  <c r="K369" i="18"/>
  <c r="K381" i="18"/>
  <c r="K657" i="18"/>
  <c r="J369" i="18"/>
  <c r="J381" i="18"/>
  <c r="J657" i="18"/>
  <c r="L356" i="18"/>
  <c r="L368" i="18"/>
  <c r="L656" i="18"/>
  <c r="K356" i="18"/>
  <c r="K368" i="18"/>
  <c r="K656" i="18"/>
  <c r="J356" i="18"/>
  <c r="J368" i="18"/>
  <c r="J656" i="18"/>
  <c r="I356" i="18"/>
  <c r="I368" i="18"/>
  <c r="I656" i="18"/>
  <c r="H356" i="18"/>
  <c r="L330" i="18"/>
  <c r="L342" i="18"/>
  <c r="L654" i="18"/>
  <c r="K330" i="18"/>
  <c r="K342" i="18"/>
  <c r="K654" i="18"/>
  <c r="J330" i="18"/>
  <c r="J342" i="18"/>
  <c r="J654" i="18"/>
  <c r="I330" i="18"/>
  <c r="I342" i="18"/>
  <c r="I654" i="18"/>
  <c r="L317" i="18"/>
  <c r="L329" i="18"/>
  <c r="L653" i="18"/>
  <c r="K317" i="18"/>
  <c r="K329" i="18"/>
  <c r="K653" i="18"/>
  <c r="J317" i="18"/>
  <c r="J329" i="18"/>
  <c r="J653" i="18"/>
  <c r="I317" i="18"/>
  <c r="I329" i="18"/>
  <c r="I653" i="18"/>
  <c r="H28" i="7941"/>
  <c r="K280" i="18"/>
  <c r="J280" i="18"/>
  <c r="I278" i="18"/>
  <c r="I290" i="18"/>
  <c r="I650" i="18"/>
  <c r="H25" i="7941"/>
  <c r="H23" i="7941"/>
  <c r="H21" i="7941"/>
  <c r="H19" i="7941"/>
  <c r="H677" i="18"/>
  <c r="H665" i="18"/>
  <c r="H15" i="7941"/>
  <c r="H17" i="7941"/>
  <c r="H13" i="7941"/>
  <c r="H12" i="7941"/>
  <c r="H10" i="7941"/>
  <c r="H26" i="7941"/>
  <c r="H8" i="7941"/>
  <c r="I184" i="1"/>
  <c r="J183" i="1"/>
  <c r="H477" i="18"/>
  <c r="H46" i="7941"/>
  <c r="E107" i="7945"/>
  <c r="F107" i="7945" s="1"/>
  <c r="H472" i="18"/>
  <c r="H41" i="7941"/>
  <c r="E37" i="7945"/>
  <c r="F37" i="7945" s="1"/>
  <c r="H154" i="7942"/>
  <c r="H138" i="7942"/>
  <c r="H140" i="7942"/>
  <c r="H112" i="7942"/>
  <c r="H126" i="7942"/>
  <c r="H156" i="7942"/>
  <c r="H134" i="7942"/>
  <c r="H128" i="7942"/>
  <c r="H114" i="7942"/>
  <c r="H158" i="7942"/>
  <c r="H150" i="7942"/>
  <c r="H118" i="7942"/>
  <c r="H120" i="7942"/>
  <c r="H148" i="7942"/>
  <c r="H146" i="7942"/>
  <c r="E51" i="7945"/>
  <c r="F51" i="7945" s="1"/>
  <c r="H483" i="18"/>
  <c r="H52" i="7941"/>
  <c r="E191" i="7945"/>
  <c r="F191" i="7945" s="1"/>
  <c r="H479" i="18"/>
  <c r="H48" i="7941"/>
  <c r="E135" i="7945"/>
  <c r="F135" i="7945" s="1"/>
  <c r="H470" i="18"/>
  <c r="E9" i="7945"/>
  <c r="F9" i="7945" s="1"/>
  <c r="H11" i="18"/>
  <c r="G43" i="7942"/>
  <c r="G76" i="7942"/>
  <c r="H144" i="7942"/>
  <c r="H164" i="7942"/>
  <c r="H110" i="7942"/>
  <c r="H152" i="7942"/>
  <c r="H166" i="7942"/>
  <c r="H116" i="7942"/>
  <c r="H160" i="7942"/>
  <c r="H132" i="7942"/>
  <c r="H162" i="7942"/>
  <c r="H122" i="7942"/>
  <c r="H142" i="7942"/>
  <c r="H136" i="7942"/>
  <c r="H124" i="7942"/>
  <c r="H130" i="7942"/>
  <c r="I68" i="7945"/>
  <c r="I82" i="7945"/>
  <c r="I96" i="7945" s="1"/>
  <c r="J54" i="7945"/>
  <c r="K54" i="7945" s="1"/>
  <c r="J46" i="7945"/>
  <c r="K46" i="7945" s="1"/>
  <c r="I52" i="7945"/>
  <c r="I66" i="7945" s="1"/>
  <c r="E43" i="7945"/>
  <c r="F43" i="7945" s="1"/>
  <c r="H6" i="7941"/>
  <c r="E372" i="7945"/>
  <c r="H394" i="18"/>
  <c r="H658" i="18"/>
  <c r="H528" i="18"/>
  <c r="J228" i="18"/>
  <c r="K56" i="18"/>
  <c r="L56" i="18"/>
  <c r="H355" i="18"/>
  <c r="H655" i="18"/>
  <c r="H525" i="18"/>
  <c r="E330" i="7945"/>
  <c r="O343" i="18"/>
  <c r="P343" i="18"/>
  <c r="H381" i="18"/>
  <c r="H657" i="18"/>
  <c r="H527" i="18"/>
  <c r="E358" i="7945"/>
  <c r="H407" i="18"/>
  <c r="H659" i="18"/>
  <c r="H529" i="18"/>
  <c r="E386" i="7945"/>
  <c r="H433" i="18"/>
  <c r="H661" i="18"/>
  <c r="H531" i="18"/>
  <c r="E414" i="7945"/>
  <c r="O330" i="18"/>
  <c r="Q330" i="18"/>
  <c r="H342" i="18"/>
  <c r="H654" i="18"/>
  <c r="H524" i="18"/>
  <c r="E316" i="7945"/>
  <c r="P330" i="18"/>
  <c r="H277" i="18"/>
  <c r="H649" i="18"/>
  <c r="H519" i="18"/>
  <c r="E246" i="7945"/>
  <c r="H225" i="18"/>
  <c r="H645" i="18"/>
  <c r="H515" i="18"/>
  <c r="N213" i="18"/>
  <c r="P213" i="18"/>
  <c r="E190" i="7945"/>
  <c r="M213" i="18"/>
  <c r="Q213" i="18"/>
  <c r="O213" i="18"/>
  <c r="H134" i="18"/>
  <c r="H638" i="18"/>
  <c r="H508" i="18"/>
  <c r="E92" i="7945"/>
  <c r="H238" i="18"/>
  <c r="H646" i="18"/>
  <c r="H516" i="18"/>
  <c r="H160" i="18"/>
  <c r="H640" i="18"/>
  <c r="H510" i="18"/>
  <c r="E120" i="7945"/>
  <c r="H173" i="18"/>
  <c r="H641" i="18"/>
  <c r="H511" i="18"/>
  <c r="E134" i="7945"/>
  <c r="H121" i="18"/>
  <c r="H637" i="18"/>
  <c r="H507" i="18"/>
  <c r="E78" i="7945"/>
  <c r="H95" i="18"/>
  <c r="H635" i="18"/>
  <c r="H505" i="18"/>
  <c r="E50" i="7945"/>
  <c r="H303" i="18"/>
  <c r="H651" i="18"/>
  <c r="H521" i="18"/>
  <c r="E274" i="7945"/>
  <c r="N291" i="18"/>
  <c r="P291" i="18"/>
  <c r="O291" i="18"/>
  <c r="Q291" i="18"/>
  <c r="H56" i="18"/>
  <c r="E8" i="7945"/>
  <c r="H712" i="18"/>
  <c r="O294" i="7941"/>
  <c r="O230" i="7941"/>
  <c r="Q71" i="7941"/>
  <c r="Q70" i="7941"/>
  <c r="Q501" i="18"/>
  <c r="Q230" i="7941"/>
  <c r="E344" i="7945"/>
  <c r="P356" i="18"/>
  <c r="H368" i="18"/>
  <c r="H656" i="18"/>
  <c r="H526" i="18"/>
  <c r="Q356" i="18"/>
  <c r="E387" i="7945"/>
  <c r="F387" i="7945" s="1"/>
  <c r="E261" i="7945"/>
  <c r="F261" i="7945" s="1"/>
  <c r="I251" i="18"/>
  <c r="I647" i="18"/>
  <c r="I238" i="18"/>
  <c r="I646" i="18"/>
  <c r="I186" i="18"/>
  <c r="I642" i="18"/>
  <c r="I199" i="18"/>
  <c r="I643" i="18"/>
  <c r="E65" i="7945"/>
  <c r="F65" i="7945" s="1"/>
  <c r="I69" i="18"/>
  <c r="I633" i="18"/>
  <c r="I56" i="18"/>
  <c r="I712" i="18"/>
  <c r="J304" i="18"/>
  <c r="J316" i="18"/>
  <c r="J652" i="18"/>
  <c r="J56" i="18"/>
  <c r="J712" i="18"/>
  <c r="K304" i="18"/>
  <c r="K316" i="18"/>
  <c r="K652" i="18"/>
  <c r="K226" i="18"/>
  <c r="K228" i="18"/>
  <c r="L304" i="18"/>
  <c r="L316" i="18"/>
  <c r="L652" i="18"/>
  <c r="L174" i="18"/>
  <c r="L226" i="18"/>
  <c r="H290" i="18"/>
  <c r="H650" i="18"/>
  <c r="H520" i="18"/>
  <c r="E260" i="7945"/>
  <c r="H329" i="18"/>
  <c r="H653" i="18"/>
  <c r="H523" i="18"/>
  <c r="E302" i="7945"/>
  <c r="M317" i="18"/>
  <c r="N317" i="18"/>
  <c r="I407" i="18"/>
  <c r="I659" i="18"/>
  <c r="H420" i="18"/>
  <c r="H660" i="18"/>
  <c r="H530" i="18"/>
  <c r="E400" i="7945"/>
  <c r="H316" i="18"/>
  <c r="H652" i="18"/>
  <c r="H522" i="18"/>
  <c r="M304" i="18"/>
  <c r="E288" i="7945"/>
  <c r="N304" i="18"/>
  <c r="O304" i="18"/>
  <c r="H251" i="18"/>
  <c r="H647" i="18"/>
  <c r="H517" i="18"/>
  <c r="E218" i="7945"/>
  <c r="H186" i="18"/>
  <c r="H642" i="18"/>
  <c r="H512" i="18"/>
  <c r="M174" i="18"/>
  <c r="E148" i="7945"/>
  <c r="N174" i="18"/>
  <c r="O174" i="18"/>
  <c r="H264" i="18"/>
  <c r="H648" i="18"/>
  <c r="H518" i="18"/>
  <c r="H212" i="18"/>
  <c r="H644" i="18"/>
  <c r="H514" i="18"/>
  <c r="E176" i="7945"/>
  <c r="H199" i="18"/>
  <c r="H643" i="18"/>
  <c r="H513" i="18"/>
  <c r="E162" i="7945"/>
  <c r="M187" i="18"/>
  <c r="N187" i="18"/>
  <c r="H147" i="18"/>
  <c r="H639" i="18"/>
  <c r="H509" i="18"/>
  <c r="E106" i="7945"/>
  <c r="H108" i="18"/>
  <c r="H636" i="18"/>
  <c r="H506" i="18"/>
  <c r="E64" i="7945"/>
  <c r="H69" i="18"/>
  <c r="H633" i="18"/>
  <c r="H503" i="18"/>
  <c r="E22" i="7945"/>
  <c r="H82" i="18"/>
  <c r="H634" i="18"/>
  <c r="H504" i="18"/>
  <c r="E36" i="7945"/>
  <c r="K252" i="18"/>
  <c r="K264" i="18"/>
  <c r="K648" i="18"/>
  <c r="Q294" i="7941"/>
  <c r="N72" i="7941"/>
  <c r="N70" i="7941"/>
  <c r="N501" i="18"/>
  <c r="P501" i="18"/>
  <c r="P71" i="7941"/>
  <c r="P70" i="7941"/>
  <c r="J184" i="1"/>
  <c r="K183" i="1"/>
  <c r="H108" i="7942"/>
  <c r="H107" i="7942"/>
  <c r="G75" i="7942"/>
  <c r="H39" i="7941"/>
  <c r="H38" i="7941"/>
  <c r="H469" i="18"/>
  <c r="I12" i="18"/>
  <c r="I13" i="18"/>
  <c r="I31" i="18"/>
  <c r="I489" i="18"/>
  <c r="I58" i="7941"/>
  <c r="I14" i="18"/>
  <c r="I16" i="18"/>
  <c r="I18" i="18"/>
  <c r="I20" i="18"/>
  <c r="I22" i="18"/>
  <c r="I480" i="18"/>
  <c r="I49" i="7941"/>
  <c r="I24" i="18"/>
  <c r="I26" i="18"/>
  <c r="I29" i="18"/>
  <c r="I37" i="18"/>
  <c r="I495" i="18"/>
  <c r="I64" i="7941"/>
  <c r="I15" i="18"/>
  <c r="I473" i="18"/>
  <c r="I42" i="7941"/>
  <c r="I17" i="18"/>
  <c r="I19" i="18"/>
  <c r="I21" i="18"/>
  <c r="I23" i="18"/>
  <c r="I481" i="18"/>
  <c r="I50" i="7941"/>
  <c r="I25" i="18"/>
  <c r="I27" i="18"/>
  <c r="I485" i="18"/>
  <c r="I54" i="7941"/>
  <c r="I28" i="18"/>
  <c r="I30" i="18"/>
  <c r="I488" i="18"/>
  <c r="I57" i="7941"/>
  <c r="I32" i="18"/>
  <c r="I490" i="18"/>
  <c r="I59" i="7941"/>
  <c r="I33" i="18"/>
  <c r="I491" i="18"/>
  <c r="I60" i="7941"/>
  <c r="I34" i="18"/>
  <c r="I492" i="18"/>
  <c r="I61" i="7941"/>
  <c r="I35" i="18"/>
  <c r="I493" i="18"/>
  <c r="I62" i="7941"/>
  <c r="I36" i="18"/>
  <c r="I494" i="18"/>
  <c r="I63" i="7941"/>
  <c r="I38" i="18"/>
  <c r="I496" i="18"/>
  <c r="I65" i="7941"/>
  <c r="I39" i="18"/>
  <c r="I497" i="18"/>
  <c r="I66" i="7941"/>
  <c r="I41" i="18"/>
  <c r="I499" i="18"/>
  <c r="I68" i="7941"/>
  <c r="M86" i="18"/>
  <c r="P86" i="18"/>
  <c r="O164" i="18"/>
  <c r="Q164" i="18"/>
  <c r="O203" i="18"/>
  <c r="P320" i="18"/>
  <c r="O346" i="18"/>
  <c r="Q346" i="18"/>
  <c r="O385" i="18"/>
  <c r="P112" i="18"/>
  <c r="Q112" i="18"/>
  <c r="N242" i="18"/>
  <c r="Q242" i="18"/>
  <c r="N294" i="18"/>
  <c r="Q294" i="18"/>
  <c r="O294" i="18"/>
  <c r="P60" i="18"/>
  <c r="P281" i="18"/>
  <c r="O216" i="18"/>
  <c r="Q138" i="18"/>
  <c r="P125" i="18"/>
  <c r="P99" i="18"/>
  <c r="Q73" i="18"/>
  <c r="Q60" i="18"/>
  <c r="N281" i="18"/>
  <c r="M190" i="18"/>
  <c r="P138" i="18"/>
  <c r="Q99" i="18"/>
  <c r="Q47" i="18"/>
  <c r="P333" i="18"/>
  <c r="P216" i="18"/>
  <c r="Q190" i="18"/>
  <c r="P151" i="18"/>
  <c r="M60" i="18"/>
  <c r="M281" i="18"/>
  <c r="O255" i="18"/>
  <c r="M177" i="18"/>
  <c r="O99" i="18"/>
  <c r="Q333" i="18"/>
  <c r="Q177" i="18"/>
  <c r="P177" i="18"/>
  <c r="O398" i="18"/>
  <c r="O190" i="18"/>
  <c r="I40" i="18"/>
  <c r="I498" i="18"/>
  <c r="I67" i="7941"/>
  <c r="I7" i="7942"/>
  <c r="I108" i="7942"/>
  <c r="O86" i="18"/>
  <c r="N86" i="18"/>
  <c r="O151" i="18"/>
  <c r="P164" i="18"/>
  <c r="P203" i="18"/>
  <c r="Q203" i="18"/>
  <c r="O320" i="18"/>
  <c r="Q320" i="18"/>
  <c r="P346" i="18"/>
  <c r="Q385" i="18"/>
  <c r="P385" i="18"/>
  <c r="O112" i="18"/>
  <c r="O242" i="18"/>
  <c r="M242" i="18"/>
  <c r="P242" i="18"/>
  <c r="M294" i="18"/>
  <c r="P294" i="18"/>
  <c r="O60" i="18"/>
  <c r="Q281" i="18"/>
  <c r="Q359" i="18"/>
  <c r="O138" i="18"/>
  <c r="N99" i="18"/>
  <c r="M99" i="18"/>
  <c r="P47" i="18"/>
  <c r="O281" i="18"/>
  <c r="Q216" i="18"/>
  <c r="N190" i="18"/>
  <c r="O125" i="18"/>
  <c r="P73" i="18"/>
  <c r="P398" i="18"/>
  <c r="O307" i="18"/>
  <c r="P307" i="18"/>
  <c r="Q307" i="18"/>
  <c r="P359" i="18"/>
  <c r="O177" i="18"/>
  <c r="N60" i="18"/>
  <c r="O359" i="18"/>
  <c r="P255" i="18"/>
  <c r="Q255" i="18"/>
  <c r="Q125" i="18"/>
  <c r="N398" i="18"/>
  <c r="Q151" i="18"/>
  <c r="P190" i="18"/>
  <c r="Q398" i="18"/>
  <c r="Q86" i="18"/>
  <c r="N177" i="18"/>
  <c r="M398" i="18"/>
  <c r="O333" i="18"/>
  <c r="L398" i="18"/>
  <c r="L294" i="18"/>
  <c r="L60" i="18"/>
  <c r="K60" i="18"/>
  <c r="K99" i="18"/>
  <c r="K177" i="18"/>
  <c r="K190" i="18"/>
  <c r="K281" i="18"/>
  <c r="J60" i="18"/>
  <c r="J69" i="18"/>
  <c r="J633" i="18"/>
  <c r="J294" i="18"/>
  <c r="J303" i="18"/>
  <c r="J651" i="18"/>
  <c r="J99" i="18"/>
  <c r="J108" i="18"/>
  <c r="J636" i="18"/>
  <c r="J242" i="18"/>
  <c r="J281" i="18"/>
  <c r="J290" i="18"/>
  <c r="J650" i="18"/>
  <c r="K398" i="18"/>
  <c r="J398" i="18"/>
  <c r="J407" i="18"/>
  <c r="J659" i="18"/>
  <c r="L281" i="18"/>
  <c r="L177" i="18"/>
  <c r="L190" i="18"/>
  <c r="K294" i="18"/>
  <c r="J86" i="18"/>
  <c r="J190" i="18"/>
  <c r="J229" i="18"/>
  <c r="L86" i="18"/>
  <c r="L99" i="18"/>
  <c r="L242" i="18"/>
  <c r="K86" i="18"/>
  <c r="K242" i="18"/>
  <c r="J177" i="18"/>
  <c r="E57" i="7945"/>
  <c r="F57" i="7945" s="1"/>
  <c r="J68" i="7945"/>
  <c r="K68" i="7945" s="1"/>
  <c r="P317" i="18"/>
  <c r="O317" i="18"/>
  <c r="Q317" i="18"/>
  <c r="Q174" i="18"/>
  <c r="P174" i="18"/>
  <c r="H73" i="7941"/>
  <c r="I440" i="18"/>
  <c r="H72" i="7941"/>
  <c r="I439" i="18"/>
  <c r="H75" i="7941"/>
  <c r="I442" i="18"/>
  <c r="H78" i="7941"/>
  <c r="I445" i="18"/>
  <c r="O187" i="18"/>
  <c r="H87" i="7941"/>
  <c r="I454" i="18"/>
  <c r="P304" i="18"/>
  <c r="Q304" i="18"/>
  <c r="H91" i="7941"/>
  <c r="I458" i="18"/>
  <c r="H99" i="7941"/>
  <c r="I466" i="18"/>
  <c r="I459" i="18"/>
  <c r="H92" i="7941"/>
  <c r="L228" i="18"/>
  <c r="M228" i="18"/>
  <c r="J632" i="18"/>
  <c r="L252" i="18"/>
  <c r="L264" i="18"/>
  <c r="L648" i="18"/>
  <c r="E204" i="7945"/>
  <c r="M226" i="18"/>
  <c r="M712" i="18"/>
  <c r="I451" i="18"/>
  <c r="H84" i="7941"/>
  <c r="H88" i="7941"/>
  <c r="I455" i="18"/>
  <c r="H100" i="7941"/>
  <c r="I467" i="18"/>
  <c r="H98" i="7941"/>
  <c r="I465" i="18"/>
  <c r="H96" i="7941"/>
  <c r="I463" i="18"/>
  <c r="Q343" i="18"/>
  <c r="I461" i="18"/>
  <c r="H94" i="7941"/>
  <c r="L632" i="18"/>
  <c r="K632" i="18"/>
  <c r="E205" i="7945"/>
  <c r="F205" i="7945" s="1"/>
  <c r="H82" i="7941"/>
  <c r="I449" i="18"/>
  <c r="H83" i="7941"/>
  <c r="I450" i="18"/>
  <c r="M252" i="18"/>
  <c r="E232" i="7945"/>
  <c r="I448" i="18"/>
  <c r="H81" i="7941"/>
  <c r="H86" i="7941"/>
  <c r="I453" i="18"/>
  <c r="I456" i="18"/>
  <c r="H89" i="7941"/>
  <c r="I632" i="18"/>
  <c r="I43" i="18"/>
  <c r="H95" i="7941"/>
  <c r="I462" i="18"/>
  <c r="H632" i="18"/>
  <c r="H43" i="18"/>
  <c r="H90" i="7941"/>
  <c r="I457" i="18"/>
  <c r="H74" i="7941"/>
  <c r="I441" i="18"/>
  <c r="H76" i="7941"/>
  <c r="I443" i="18"/>
  <c r="H80" i="7941"/>
  <c r="I447" i="18"/>
  <c r="I446" i="18"/>
  <c r="H79" i="7941"/>
  <c r="O226" i="18"/>
  <c r="N226" i="18"/>
  <c r="H85" i="7941"/>
  <c r="I452" i="18"/>
  <c r="I444" i="18"/>
  <c r="H77" i="7941"/>
  <c r="H93" i="7941"/>
  <c r="I460" i="18"/>
  <c r="L712" i="18"/>
  <c r="K712" i="18"/>
  <c r="J238" i="18"/>
  <c r="J646" i="18"/>
  <c r="H97" i="7941"/>
  <c r="I464" i="18"/>
  <c r="N228" i="18"/>
  <c r="O228" i="18"/>
  <c r="P228" i="18"/>
  <c r="Q228" i="18"/>
  <c r="E150" i="7945"/>
  <c r="F150" i="7945" s="1"/>
  <c r="J186" i="18"/>
  <c r="J642" i="18"/>
  <c r="E52" i="7945"/>
  <c r="F52" i="7945" s="1"/>
  <c r="J95" i="18"/>
  <c r="J635" i="18"/>
  <c r="J251" i="18"/>
  <c r="J647" i="18"/>
  <c r="I486" i="18"/>
  <c r="I55" i="7941"/>
  <c r="I483" i="18"/>
  <c r="I52" i="7941"/>
  <c r="E192" i="7945"/>
  <c r="F192" i="7945" s="1"/>
  <c r="I479" i="18"/>
  <c r="I48" i="7941"/>
  <c r="E136" i="7945"/>
  <c r="F136" i="7945" s="1"/>
  <c r="I475" i="18"/>
  <c r="I44" i="7941"/>
  <c r="E80" i="7945"/>
  <c r="F80" i="7945" s="1"/>
  <c r="I484" i="18"/>
  <c r="I53" i="7941"/>
  <c r="I476" i="18"/>
  <c r="I45" i="7941"/>
  <c r="E94" i="7945"/>
  <c r="F94" i="7945" s="1"/>
  <c r="I472" i="18"/>
  <c r="I41" i="7941"/>
  <c r="E38" i="7945"/>
  <c r="F38" i="7945" s="1"/>
  <c r="I471" i="18"/>
  <c r="I40" i="7941"/>
  <c r="E24" i="7945"/>
  <c r="F24" i="7945" s="1"/>
  <c r="K184" i="1"/>
  <c r="L183" i="1"/>
  <c r="E164" i="7945"/>
  <c r="F164" i="7945" s="1"/>
  <c r="J199" i="18"/>
  <c r="J643" i="18"/>
  <c r="K229" i="18"/>
  <c r="I307" i="7942"/>
  <c r="I291" i="7942"/>
  <c r="I273" i="7942"/>
  <c r="I311" i="7942"/>
  <c r="I293" i="7942"/>
  <c r="I309" i="7942"/>
  <c r="I285" i="7942"/>
  <c r="I327" i="7942"/>
  <c r="I287" i="7942"/>
  <c r="I301" i="7942"/>
  <c r="I321" i="7942"/>
  <c r="I269" i="7942"/>
  <c r="I315" i="7942"/>
  <c r="I313" i="7942"/>
  <c r="I317" i="7942"/>
  <c r="I299" i="7942"/>
  <c r="I277" i="7942"/>
  <c r="I283" i="7942"/>
  <c r="I281" i="7942"/>
  <c r="I295" i="7942"/>
  <c r="I305" i="7942"/>
  <c r="I297" i="7942"/>
  <c r="I279" i="7942"/>
  <c r="I325" i="7942"/>
  <c r="I271" i="7942"/>
  <c r="I323" i="7942"/>
  <c r="I289" i="7942"/>
  <c r="I275" i="7942"/>
  <c r="I319" i="7942"/>
  <c r="I303" i="7942"/>
  <c r="I140" i="7942"/>
  <c r="I156" i="7942"/>
  <c r="I128" i="7942"/>
  <c r="I114" i="7942"/>
  <c r="I150" i="7942"/>
  <c r="I118" i="7942"/>
  <c r="I148" i="7942"/>
  <c r="I164" i="7942"/>
  <c r="I110" i="7942"/>
  <c r="I152" i="7942"/>
  <c r="I166" i="7942"/>
  <c r="I160" i="7942"/>
  <c r="I132" i="7942"/>
  <c r="I122" i="7942"/>
  <c r="I136" i="7942"/>
  <c r="I124" i="7942"/>
  <c r="I130" i="7942"/>
  <c r="I154" i="7942"/>
  <c r="I138" i="7942"/>
  <c r="I112" i="7942"/>
  <c r="I126" i="7942"/>
  <c r="I134" i="7942"/>
  <c r="I158" i="7942"/>
  <c r="I120" i="7942"/>
  <c r="I146" i="7942"/>
  <c r="I144" i="7942"/>
  <c r="I116" i="7942"/>
  <c r="I162" i="7942"/>
  <c r="I142" i="7942"/>
  <c r="I477" i="18"/>
  <c r="I46" i="7941"/>
  <c r="E108" i="7945"/>
  <c r="F108" i="7945" s="1"/>
  <c r="I487" i="18"/>
  <c r="I56" i="7941"/>
  <c r="I482" i="18"/>
  <c r="I51" i="7941"/>
  <c r="E178" i="7945"/>
  <c r="F178" i="7945" s="1"/>
  <c r="I478" i="18"/>
  <c r="I47" i="7941"/>
  <c r="E122" i="7945"/>
  <c r="F122" i="7945" s="1"/>
  <c r="I474" i="18"/>
  <c r="I43" i="7941"/>
  <c r="E66" i="7945"/>
  <c r="F66" i="7945" s="1"/>
  <c r="I470" i="18"/>
  <c r="E10" i="7945"/>
  <c r="F10" i="7945" s="1"/>
  <c r="I11" i="18"/>
  <c r="J31" i="18"/>
  <c r="J489" i="18"/>
  <c r="J58" i="7941"/>
  <c r="J12" i="18"/>
  <c r="J13" i="18"/>
  <c r="J471" i="18"/>
  <c r="J40" i="7941"/>
  <c r="J14" i="18"/>
  <c r="J15" i="18"/>
  <c r="J473" i="18"/>
  <c r="J42" i="7941"/>
  <c r="J17" i="18"/>
  <c r="J19" i="18"/>
  <c r="J477" i="18"/>
  <c r="J46" i="7941"/>
  <c r="J21" i="18"/>
  <c r="J479" i="18"/>
  <c r="J48" i="7941"/>
  <c r="J22" i="18"/>
  <c r="J480" i="18"/>
  <c r="J49" i="7941"/>
  <c r="J25" i="18"/>
  <c r="J483" i="18"/>
  <c r="J52" i="7941"/>
  <c r="J26" i="18"/>
  <c r="J484" i="18"/>
  <c r="J53" i="7941"/>
  <c r="J23" i="18"/>
  <c r="J481" i="18"/>
  <c r="J50" i="7941"/>
  <c r="J29" i="18"/>
  <c r="J487" i="18"/>
  <c r="J56" i="7941"/>
  <c r="J30" i="18"/>
  <c r="J488" i="18"/>
  <c r="J57" i="7941"/>
  <c r="J32" i="18"/>
  <c r="J490" i="18"/>
  <c r="J59" i="7941"/>
  <c r="J35" i="18"/>
  <c r="J493" i="18"/>
  <c r="J62" i="7941"/>
  <c r="J37" i="18"/>
  <c r="J495" i="18"/>
  <c r="J64" i="7941"/>
  <c r="J16" i="18"/>
  <c r="J18" i="18"/>
  <c r="J20" i="18"/>
  <c r="J478" i="18"/>
  <c r="J47" i="7941"/>
  <c r="J24" i="18"/>
  <c r="J482" i="18"/>
  <c r="J51" i="7941"/>
  <c r="J27" i="18"/>
  <c r="J485" i="18"/>
  <c r="J54" i="7941"/>
  <c r="J28" i="18"/>
  <c r="J486" i="18"/>
  <c r="J55" i="7941"/>
  <c r="J33" i="18"/>
  <c r="J491" i="18"/>
  <c r="J60" i="7941"/>
  <c r="J34" i="18"/>
  <c r="J492" i="18"/>
  <c r="J61" i="7941"/>
  <c r="J36" i="18"/>
  <c r="J494" i="18"/>
  <c r="J63" i="7941"/>
  <c r="J38" i="18"/>
  <c r="J496" i="18"/>
  <c r="J65" i="7941"/>
  <c r="J39" i="18"/>
  <c r="J497" i="18"/>
  <c r="J66" i="7941"/>
  <c r="J40" i="18"/>
  <c r="J498" i="18"/>
  <c r="J67" i="7941"/>
  <c r="J41" i="18"/>
  <c r="J499" i="18"/>
  <c r="J68" i="7941"/>
  <c r="O399" i="18"/>
  <c r="N399" i="18"/>
  <c r="P399" i="18"/>
  <c r="P243" i="18"/>
  <c r="Q243" i="18"/>
  <c r="P282" i="18"/>
  <c r="Q282" i="18"/>
  <c r="O282" i="18"/>
  <c r="Q256" i="18"/>
  <c r="O126" i="18"/>
  <c r="Q126" i="18"/>
  <c r="N295" i="18"/>
  <c r="P295" i="18"/>
  <c r="Q386" i="18"/>
  <c r="P386" i="18"/>
  <c r="Q152" i="18"/>
  <c r="O139" i="18"/>
  <c r="Q139" i="18"/>
  <c r="M191" i="18"/>
  <c r="Q191" i="18"/>
  <c r="P165" i="18"/>
  <c r="J7" i="7942"/>
  <c r="M399" i="18"/>
  <c r="Q399" i="18"/>
  <c r="N243" i="18"/>
  <c r="O243" i="18"/>
  <c r="M243" i="18"/>
  <c r="M282" i="18"/>
  <c r="N282" i="18"/>
  <c r="P256" i="18"/>
  <c r="O256" i="18"/>
  <c r="P126" i="18"/>
  <c r="O295" i="18"/>
  <c r="Q295" i="18"/>
  <c r="M295" i="18"/>
  <c r="O386" i="18"/>
  <c r="O152" i="18"/>
  <c r="P152" i="18"/>
  <c r="P139" i="18"/>
  <c r="N191" i="18"/>
  <c r="O191" i="18"/>
  <c r="P191" i="18"/>
  <c r="O165" i="18"/>
  <c r="P204" i="18"/>
  <c r="O204" i="18"/>
  <c r="O321" i="18"/>
  <c r="Q204" i="18"/>
  <c r="Q321" i="18"/>
  <c r="Q334" i="18"/>
  <c r="O334" i="18"/>
  <c r="N87" i="18"/>
  <c r="M87" i="18"/>
  <c r="O61" i="18"/>
  <c r="M61" i="18"/>
  <c r="Q61" i="18"/>
  <c r="Q360" i="18"/>
  <c r="P178" i="18"/>
  <c r="M178" i="18"/>
  <c r="Q178" i="18"/>
  <c r="P74" i="18"/>
  <c r="O217" i="18"/>
  <c r="Q113" i="18"/>
  <c r="O113" i="18"/>
  <c r="N100" i="18"/>
  <c r="O100" i="18"/>
  <c r="P48" i="18"/>
  <c r="O347" i="18"/>
  <c r="Q165" i="18"/>
  <c r="P321" i="18"/>
  <c r="O308" i="18"/>
  <c r="P308" i="18"/>
  <c r="Q308" i="18"/>
  <c r="P334" i="18"/>
  <c r="O87" i="18"/>
  <c r="Q87" i="18"/>
  <c r="P87" i="18"/>
  <c r="P61" i="18"/>
  <c r="N61" i="18"/>
  <c r="O360" i="18"/>
  <c r="P360" i="18"/>
  <c r="O178" i="18"/>
  <c r="N178" i="18"/>
  <c r="Q74" i="18"/>
  <c r="Q217" i="18"/>
  <c r="P217" i="18"/>
  <c r="P113" i="18"/>
  <c r="Q100" i="18"/>
  <c r="M100" i="18"/>
  <c r="P100" i="18"/>
  <c r="Q48" i="18"/>
  <c r="Q347" i="18"/>
  <c r="P347" i="18"/>
  <c r="K399" i="18"/>
  <c r="K407" i="18"/>
  <c r="K659" i="18"/>
  <c r="L61" i="18"/>
  <c r="L295" i="18"/>
  <c r="L100" i="18"/>
  <c r="K295" i="18"/>
  <c r="K303" i="18"/>
  <c r="K651" i="18"/>
  <c r="K61" i="18"/>
  <c r="K87" i="18"/>
  <c r="K95" i="18"/>
  <c r="K635" i="18"/>
  <c r="K191" i="18"/>
  <c r="K199" i="18"/>
  <c r="K643" i="18"/>
  <c r="K243" i="18"/>
  <c r="K251" i="18"/>
  <c r="K647" i="18"/>
  <c r="L399" i="18"/>
  <c r="L243" i="18"/>
  <c r="K100" i="18"/>
  <c r="K108" i="18"/>
  <c r="K636" i="18"/>
  <c r="K230" i="18"/>
  <c r="K178" i="18"/>
  <c r="K186" i="18"/>
  <c r="K642" i="18"/>
  <c r="K282" i="18"/>
  <c r="K290" i="18"/>
  <c r="K650" i="18"/>
  <c r="L87" i="18"/>
  <c r="L178" i="18"/>
  <c r="L191" i="18"/>
  <c r="L282" i="18"/>
  <c r="L230" i="18"/>
  <c r="E71" i="7945"/>
  <c r="F71" i="7945" s="1"/>
  <c r="H225" i="7941"/>
  <c r="I33" i="7941"/>
  <c r="H221" i="7941"/>
  <c r="I29" i="7941"/>
  <c r="J444" i="18"/>
  <c r="I672" i="18"/>
  <c r="I508" i="18"/>
  <c r="I77" i="7941"/>
  <c r="I21" i="7941"/>
  <c r="H213" i="7941"/>
  <c r="J446" i="18"/>
  <c r="I674" i="18"/>
  <c r="I510" i="18"/>
  <c r="I79" i="7941"/>
  <c r="H208" i="7941"/>
  <c r="I16" i="7941"/>
  <c r="H204" i="7941"/>
  <c r="I12" i="7941"/>
  <c r="I10" i="7941"/>
  <c r="H202" i="7941"/>
  <c r="I26" i="7941"/>
  <c r="H218" i="7941"/>
  <c r="H502" i="18"/>
  <c r="H631" i="18"/>
  <c r="H223" i="7941"/>
  <c r="I31" i="7941"/>
  <c r="I631" i="18"/>
  <c r="I25" i="7941"/>
  <c r="H217" i="7941"/>
  <c r="I681" i="18"/>
  <c r="I517" i="18"/>
  <c r="I86" i="7941"/>
  <c r="J453" i="18"/>
  <c r="H209" i="7941"/>
  <c r="I17" i="7941"/>
  <c r="H211" i="7941"/>
  <c r="I19" i="7941"/>
  <c r="H210" i="7941"/>
  <c r="I18" i="7941"/>
  <c r="I689" i="18"/>
  <c r="I525" i="18"/>
  <c r="I94" i="7941"/>
  <c r="I691" i="18"/>
  <c r="I527" i="18"/>
  <c r="I96" i="7941"/>
  <c r="J463" i="18"/>
  <c r="I693" i="18"/>
  <c r="I529" i="18"/>
  <c r="I98" i="7941"/>
  <c r="J465" i="18"/>
  <c r="H228" i="7941"/>
  <c r="I36" i="7941"/>
  <c r="H216" i="7941"/>
  <c r="I24" i="7941"/>
  <c r="I679" i="18"/>
  <c r="I515" i="18"/>
  <c r="I84" i="7941"/>
  <c r="J631" i="18"/>
  <c r="I687" i="18"/>
  <c r="I523" i="18"/>
  <c r="I92" i="7941"/>
  <c r="I35" i="7941"/>
  <c r="H227" i="7941"/>
  <c r="H219" i="7941"/>
  <c r="I27" i="7941"/>
  <c r="H215" i="7941"/>
  <c r="I23" i="7941"/>
  <c r="H206" i="7941"/>
  <c r="I14" i="7941"/>
  <c r="H203" i="7941"/>
  <c r="I11" i="7941"/>
  <c r="I8" i="7941"/>
  <c r="H200" i="7941"/>
  <c r="H201" i="7941"/>
  <c r="I9" i="7941"/>
  <c r="P187" i="18"/>
  <c r="Q187" i="18"/>
  <c r="I692" i="18"/>
  <c r="I528" i="18"/>
  <c r="I97" i="7941"/>
  <c r="J464" i="18"/>
  <c r="I688" i="18"/>
  <c r="I524" i="18"/>
  <c r="I93" i="7941"/>
  <c r="I13" i="7941"/>
  <c r="H205" i="7941"/>
  <c r="J452" i="18"/>
  <c r="I680" i="18"/>
  <c r="I516" i="18"/>
  <c r="I85" i="7941"/>
  <c r="H207" i="7941"/>
  <c r="I15" i="7941"/>
  <c r="I675" i="18"/>
  <c r="I511" i="18"/>
  <c r="I80" i="7941"/>
  <c r="I671" i="18"/>
  <c r="I507" i="18"/>
  <c r="I76" i="7941"/>
  <c r="J441" i="18"/>
  <c r="I669" i="18"/>
  <c r="I505" i="18"/>
  <c r="I74" i="7941"/>
  <c r="I685" i="18"/>
  <c r="I521" i="18"/>
  <c r="I90" i="7941"/>
  <c r="I690" i="18"/>
  <c r="I526" i="18"/>
  <c r="I95" i="7941"/>
  <c r="I684" i="18"/>
  <c r="I520" i="18"/>
  <c r="I89" i="7941"/>
  <c r="H214" i="7941"/>
  <c r="I22" i="7941"/>
  <c r="I676" i="18"/>
  <c r="I512" i="18"/>
  <c r="I81" i="7941"/>
  <c r="I678" i="18"/>
  <c r="I514" i="18"/>
  <c r="I83" i="7941"/>
  <c r="I677" i="18"/>
  <c r="I513" i="18"/>
  <c r="I82" i="7941"/>
  <c r="H222" i="7941"/>
  <c r="I30" i="7941"/>
  <c r="H224" i="7941"/>
  <c r="I32" i="7941"/>
  <c r="I34" i="7941"/>
  <c r="H226" i="7941"/>
  <c r="I695" i="18"/>
  <c r="I531" i="18"/>
  <c r="I100" i="7941"/>
  <c r="J467" i="18"/>
  <c r="I683" i="18"/>
  <c r="I519" i="18"/>
  <c r="I88" i="7941"/>
  <c r="H212" i="7941"/>
  <c r="I20" i="7941"/>
  <c r="P226" i="18"/>
  <c r="Q226" i="18"/>
  <c r="J43" i="18"/>
  <c r="I28" i="7941"/>
  <c r="H220" i="7941"/>
  <c r="I694" i="18"/>
  <c r="I530" i="18"/>
  <c r="I99" i="7941"/>
  <c r="I686" i="18"/>
  <c r="I522" i="18"/>
  <c r="I91" i="7941"/>
  <c r="I682" i="18"/>
  <c r="I518" i="18"/>
  <c r="I87" i="7941"/>
  <c r="N252" i="18"/>
  <c r="I673" i="18"/>
  <c r="I509" i="18"/>
  <c r="I78" i="7941"/>
  <c r="I670" i="18"/>
  <c r="I506" i="18"/>
  <c r="I75" i="7941"/>
  <c r="I667" i="18"/>
  <c r="I503" i="18"/>
  <c r="I72" i="7941"/>
  <c r="J440" i="18"/>
  <c r="I668" i="18"/>
  <c r="I504" i="18"/>
  <c r="I73" i="7941"/>
  <c r="J307" i="7942"/>
  <c r="J291" i="7942"/>
  <c r="J325" i="7942"/>
  <c r="J319" i="7942"/>
  <c r="J327" i="7942"/>
  <c r="J309" i="7942"/>
  <c r="J279" i="7942"/>
  <c r="J287" i="7942"/>
  <c r="J299" i="7942"/>
  <c r="J317" i="7942"/>
  <c r="J303" i="7942"/>
  <c r="J277" i="7942"/>
  <c r="J301" i="7942"/>
  <c r="J273" i="7942"/>
  <c r="J321" i="7942"/>
  <c r="J285" i="7942"/>
  <c r="J269" i="7942"/>
  <c r="J313" i="7942"/>
  <c r="J283" i="7942"/>
  <c r="J305" i="7942"/>
  <c r="J289" i="7942"/>
  <c r="J275" i="7942"/>
  <c r="J295" i="7942"/>
  <c r="J271" i="7942"/>
  <c r="J293" i="7942"/>
  <c r="J323" i="7942"/>
  <c r="J311" i="7942"/>
  <c r="J297" i="7942"/>
  <c r="J281" i="7942"/>
  <c r="J315" i="7942"/>
  <c r="J154" i="7942"/>
  <c r="J138" i="7942"/>
  <c r="J126" i="7942"/>
  <c r="J134" i="7942"/>
  <c r="J114" i="7942"/>
  <c r="J158" i="7942"/>
  <c r="J150" i="7942"/>
  <c r="J120" i="7942"/>
  <c r="J148" i="7942"/>
  <c r="J146" i="7942"/>
  <c r="J144" i="7942"/>
  <c r="J116" i="7942"/>
  <c r="J160" i="7942"/>
  <c r="J162" i="7942"/>
  <c r="J142" i="7942"/>
  <c r="J124" i="7942"/>
  <c r="J130" i="7942"/>
  <c r="J140" i="7942"/>
  <c r="J112" i="7942"/>
  <c r="J156" i="7942"/>
  <c r="J128" i="7942"/>
  <c r="J118" i="7942"/>
  <c r="J164" i="7942"/>
  <c r="J110" i="7942"/>
  <c r="J152" i="7942"/>
  <c r="J166" i="7942"/>
  <c r="J132" i="7942"/>
  <c r="J122" i="7942"/>
  <c r="J136" i="7942"/>
  <c r="J108" i="7942"/>
  <c r="J474" i="18"/>
  <c r="J43" i="7941"/>
  <c r="J475" i="18"/>
  <c r="J44" i="7941"/>
  <c r="J472" i="18"/>
  <c r="J41" i="7941"/>
  <c r="J470" i="18"/>
  <c r="E11" i="7945"/>
  <c r="F11" i="7945" s="1"/>
  <c r="J11" i="18"/>
  <c r="I39" i="7941"/>
  <c r="I38" i="7941"/>
  <c r="I469" i="18"/>
  <c r="K69" i="18"/>
  <c r="K238" i="18"/>
  <c r="K646" i="18"/>
  <c r="K31" i="18"/>
  <c r="K489" i="18"/>
  <c r="K58" i="7941"/>
  <c r="K12" i="18"/>
  <c r="K13" i="18"/>
  <c r="K471" i="18"/>
  <c r="K40" i="7941"/>
  <c r="K14" i="18"/>
  <c r="K16" i="18"/>
  <c r="K474" i="18"/>
  <c r="K43" i="7941"/>
  <c r="K18" i="18"/>
  <c r="K20" i="18"/>
  <c r="K478" i="18"/>
  <c r="K47" i="7941"/>
  <c r="K22" i="18"/>
  <c r="K480" i="18"/>
  <c r="K49" i="7941"/>
  <c r="K24" i="18"/>
  <c r="K482" i="18"/>
  <c r="K51" i="7941"/>
  <c r="K26" i="18"/>
  <c r="K484" i="18"/>
  <c r="K53" i="7941"/>
  <c r="K15" i="18"/>
  <c r="K473" i="18"/>
  <c r="K42" i="7941"/>
  <c r="K17" i="18"/>
  <c r="K19" i="18"/>
  <c r="K21" i="18"/>
  <c r="K479" i="18"/>
  <c r="K48" i="7941"/>
  <c r="K23" i="18"/>
  <c r="K481" i="18"/>
  <c r="K50" i="7941"/>
  <c r="K25" i="18"/>
  <c r="K483" i="18"/>
  <c r="K52" i="7941"/>
  <c r="K27" i="18"/>
  <c r="K485" i="18"/>
  <c r="K54" i="7941"/>
  <c r="K28" i="18"/>
  <c r="K486" i="18"/>
  <c r="K55" i="7941"/>
  <c r="K29" i="18"/>
  <c r="K487" i="18"/>
  <c r="K56" i="7941"/>
  <c r="K30" i="18"/>
  <c r="K488" i="18"/>
  <c r="K57" i="7941"/>
  <c r="K32" i="18"/>
  <c r="K490" i="18"/>
  <c r="K59" i="7941"/>
  <c r="K33" i="18"/>
  <c r="K491" i="18"/>
  <c r="K60" i="7941"/>
  <c r="K34" i="18"/>
  <c r="K492" i="18"/>
  <c r="K61" i="7941"/>
  <c r="K35" i="18"/>
  <c r="K493" i="18"/>
  <c r="K62" i="7941"/>
  <c r="K36" i="18"/>
  <c r="K494" i="18"/>
  <c r="K63" i="7941"/>
  <c r="K37" i="18"/>
  <c r="K495" i="18"/>
  <c r="K64" i="7941"/>
  <c r="K38" i="18"/>
  <c r="K496" i="18"/>
  <c r="K65" i="7941"/>
  <c r="K39" i="18"/>
  <c r="K497" i="18"/>
  <c r="K66" i="7941"/>
  <c r="K40" i="18"/>
  <c r="K498" i="18"/>
  <c r="K67" i="7941"/>
  <c r="K41" i="18"/>
  <c r="K499" i="18"/>
  <c r="K68" i="7941"/>
  <c r="K7" i="7942"/>
  <c r="P218" i="18"/>
  <c r="Q218" i="18"/>
  <c r="O296" i="18"/>
  <c r="Q296" i="18"/>
  <c r="Q140" i="18"/>
  <c r="O140" i="18"/>
  <c r="M283" i="18"/>
  <c r="Q283" i="18"/>
  <c r="Q153" i="18"/>
  <c r="O153" i="18"/>
  <c r="M400" i="18"/>
  <c r="P400" i="18"/>
  <c r="P179" i="18"/>
  <c r="N179" i="18"/>
  <c r="M179" i="18"/>
  <c r="P127" i="18"/>
  <c r="Q361" i="18"/>
  <c r="O361" i="18"/>
  <c r="M192" i="18"/>
  <c r="N192" i="18"/>
  <c r="P166" i="18"/>
  <c r="Q166" i="18"/>
  <c r="Q62" i="18"/>
  <c r="O62" i="18"/>
  <c r="P205" i="18"/>
  <c r="Q205" i="18"/>
  <c r="P348" i="18"/>
  <c r="O88" i="18"/>
  <c r="M88" i="18"/>
  <c r="P88" i="18"/>
  <c r="O309" i="18"/>
  <c r="Q244" i="18"/>
  <c r="O244" i="18"/>
  <c r="M244" i="18"/>
  <c r="Q257" i="18"/>
  <c r="Q49" i="18"/>
  <c r="Q335" i="18"/>
  <c r="Q387" i="18"/>
  <c r="P387" i="18"/>
  <c r="P114" i="18"/>
  <c r="Q75" i="18"/>
  <c r="N101" i="18"/>
  <c r="Q101" i="18"/>
  <c r="P101" i="18"/>
  <c r="O322" i="18"/>
  <c r="O218" i="18"/>
  <c r="N296" i="18"/>
  <c r="P296" i="18"/>
  <c r="M296" i="18"/>
  <c r="P140" i="18"/>
  <c r="N283" i="18"/>
  <c r="O283" i="18"/>
  <c r="P283" i="18"/>
  <c r="P153" i="18"/>
  <c r="O400" i="18"/>
  <c r="Q400" i="18"/>
  <c r="N400" i="18"/>
  <c r="O179" i="18"/>
  <c r="Q179" i="18"/>
  <c r="O127" i="18"/>
  <c r="Q127" i="18"/>
  <c r="P361" i="18"/>
  <c r="Q192" i="18"/>
  <c r="O192" i="18"/>
  <c r="P192" i="18"/>
  <c r="O166" i="18"/>
  <c r="N62" i="18"/>
  <c r="P62" i="18"/>
  <c r="M62" i="18"/>
  <c r="O205" i="18"/>
  <c r="O348" i="18"/>
  <c r="Q348" i="18"/>
  <c r="N88" i="18"/>
  <c r="Q88" i="18"/>
  <c r="P309" i="18"/>
  <c r="Q309" i="18"/>
  <c r="P244" i="18"/>
  <c r="N244" i="18"/>
  <c r="O257" i="18"/>
  <c r="P257" i="18"/>
  <c r="P49" i="18"/>
  <c r="P335" i="18"/>
  <c r="O335" i="18"/>
  <c r="O387" i="18"/>
  <c r="Q114" i="18"/>
  <c r="O114" i="18"/>
  <c r="P75" i="18"/>
  <c r="M101" i="18"/>
  <c r="O101" i="18"/>
  <c r="P322" i="18"/>
  <c r="Q322" i="18"/>
  <c r="L88" i="18"/>
  <c r="L101" i="18"/>
  <c r="L192" i="18"/>
  <c r="L199" i="18"/>
  <c r="L643" i="18"/>
  <c r="L244" i="18"/>
  <c r="L251" i="18"/>
  <c r="L647" i="18"/>
  <c r="L400" i="18"/>
  <c r="L407" i="18"/>
  <c r="L659" i="18"/>
  <c r="L283" i="18"/>
  <c r="L290" i="18"/>
  <c r="L650" i="18"/>
  <c r="L296" i="18"/>
  <c r="L303" i="18"/>
  <c r="L651" i="18"/>
  <c r="L62" i="18"/>
  <c r="L231" i="18"/>
  <c r="M231" i="18"/>
  <c r="L179" i="18"/>
  <c r="L186" i="18"/>
  <c r="L642" i="18"/>
  <c r="L229" i="18"/>
  <c r="J442" i="18"/>
  <c r="J454" i="18"/>
  <c r="J466" i="18"/>
  <c r="J449" i="18"/>
  <c r="J459" i="18"/>
  <c r="M230" i="18"/>
  <c r="J476" i="18"/>
  <c r="J45" i="7941"/>
  <c r="I268" i="7942"/>
  <c r="L184" i="1"/>
  <c r="M183" i="1"/>
  <c r="N183" i="1"/>
  <c r="O183" i="1"/>
  <c r="P183" i="1"/>
  <c r="Q183" i="1"/>
  <c r="M229" i="18"/>
  <c r="I107" i="7942"/>
  <c r="E85" i="7945"/>
  <c r="F85" i="7945" s="1"/>
  <c r="J668" i="18"/>
  <c r="J504" i="18"/>
  <c r="J73" i="7941"/>
  <c r="J670" i="18"/>
  <c r="J506" i="18"/>
  <c r="J75" i="7941"/>
  <c r="J682" i="18"/>
  <c r="J518" i="18"/>
  <c r="J87" i="7941"/>
  <c r="J28" i="7941"/>
  <c r="I220" i="7941"/>
  <c r="J20" i="7941"/>
  <c r="I212" i="7941"/>
  <c r="J695" i="18"/>
  <c r="J531" i="18"/>
  <c r="J100" i="7941"/>
  <c r="J32" i="7941"/>
  <c r="I224" i="7941"/>
  <c r="J30" i="7941"/>
  <c r="I222" i="7941"/>
  <c r="J450" i="18"/>
  <c r="J448" i="18"/>
  <c r="J22" i="7941"/>
  <c r="I214" i="7941"/>
  <c r="J456" i="18"/>
  <c r="J462" i="18"/>
  <c r="J457" i="18"/>
  <c r="J443" i="18"/>
  <c r="J447" i="18"/>
  <c r="J15" i="7941"/>
  <c r="I207" i="7941"/>
  <c r="J460" i="18"/>
  <c r="J8" i="7941"/>
  <c r="I200" i="7941"/>
  <c r="J23" i="7941"/>
  <c r="I215" i="7941"/>
  <c r="J27" i="7941"/>
  <c r="I219" i="7941"/>
  <c r="J24" i="7941"/>
  <c r="I216" i="7941"/>
  <c r="J36" i="7941"/>
  <c r="I228" i="7941"/>
  <c r="J693" i="18"/>
  <c r="J529" i="18"/>
  <c r="J98" i="7941"/>
  <c r="J691" i="18"/>
  <c r="J527" i="18"/>
  <c r="J96" i="7941"/>
  <c r="I217" i="7941"/>
  <c r="J25" i="7941"/>
  <c r="J31" i="7941"/>
  <c r="I223" i="7941"/>
  <c r="J12" i="7941"/>
  <c r="I204" i="7941"/>
  <c r="J16" i="7941"/>
  <c r="I208" i="7941"/>
  <c r="J29" i="7941"/>
  <c r="I221" i="7941"/>
  <c r="J33" i="7941"/>
  <c r="I225" i="7941"/>
  <c r="O252" i="18"/>
  <c r="J439" i="18"/>
  <c r="J445" i="18"/>
  <c r="P252" i="18"/>
  <c r="Q252" i="18"/>
  <c r="J458" i="18"/>
  <c r="J694" i="18"/>
  <c r="J530" i="18"/>
  <c r="J99" i="7941"/>
  <c r="J455" i="18"/>
  <c r="J34" i="7941"/>
  <c r="I226" i="7941"/>
  <c r="J677" i="18"/>
  <c r="J513" i="18"/>
  <c r="J82" i="7941"/>
  <c r="J669" i="18"/>
  <c r="J505" i="18"/>
  <c r="J74" i="7941"/>
  <c r="J680" i="18"/>
  <c r="J516" i="18"/>
  <c r="J85" i="7941"/>
  <c r="J13" i="7941"/>
  <c r="I205" i="7941"/>
  <c r="J692" i="18"/>
  <c r="J528" i="18"/>
  <c r="J97" i="7941"/>
  <c r="J9" i="7941"/>
  <c r="I201" i="7941"/>
  <c r="J11" i="7941"/>
  <c r="I203" i="7941"/>
  <c r="J14" i="7941"/>
  <c r="I206" i="7941"/>
  <c r="I227" i="7941"/>
  <c r="J35" i="7941"/>
  <c r="K459" i="18"/>
  <c r="J687" i="18"/>
  <c r="J523" i="18"/>
  <c r="J92" i="7941"/>
  <c r="J451" i="18"/>
  <c r="J461" i="18"/>
  <c r="J18" i="7941"/>
  <c r="I210" i="7941"/>
  <c r="J19" i="7941"/>
  <c r="I211" i="7941"/>
  <c r="J17" i="7941"/>
  <c r="I209" i="7941"/>
  <c r="J681" i="18"/>
  <c r="J517" i="18"/>
  <c r="J86" i="7941"/>
  <c r="H71" i="7941"/>
  <c r="I438" i="18"/>
  <c r="H501" i="18"/>
  <c r="J26" i="7941"/>
  <c r="I218" i="7941"/>
  <c r="J10" i="7941"/>
  <c r="I202" i="7941"/>
  <c r="J674" i="18"/>
  <c r="J510" i="18"/>
  <c r="J79" i="7941"/>
  <c r="J21" i="7941"/>
  <c r="I213" i="7941"/>
  <c r="J672" i="18"/>
  <c r="J508" i="18"/>
  <c r="J77" i="7941"/>
  <c r="N231" i="18"/>
  <c r="O231" i="18"/>
  <c r="P231" i="18"/>
  <c r="Q231" i="18"/>
  <c r="K307" i="7942"/>
  <c r="K291" i="7942"/>
  <c r="K319" i="7942"/>
  <c r="K287" i="7942"/>
  <c r="K317" i="7942"/>
  <c r="K327" i="7942"/>
  <c r="K303" i="7942"/>
  <c r="K325" i="7942"/>
  <c r="K283" i="7942"/>
  <c r="K277" i="7942"/>
  <c r="K309" i="7942"/>
  <c r="K295" i="7942"/>
  <c r="K305" i="7942"/>
  <c r="K321" i="7942"/>
  <c r="K315" i="7942"/>
  <c r="K293" i="7942"/>
  <c r="K275" i="7942"/>
  <c r="K311" i="7942"/>
  <c r="K323" i="7942"/>
  <c r="K313" i="7942"/>
  <c r="K281" i="7942"/>
  <c r="K297" i="7942"/>
  <c r="K273" i="7942"/>
  <c r="K301" i="7942"/>
  <c r="K285" i="7942"/>
  <c r="K271" i="7942"/>
  <c r="K269" i="7942"/>
  <c r="K289" i="7942"/>
  <c r="K299" i="7942"/>
  <c r="K279" i="7942"/>
  <c r="K154" i="7942"/>
  <c r="K112" i="7942"/>
  <c r="K164" i="7942"/>
  <c r="K152" i="7942"/>
  <c r="K116" i="7942"/>
  <c r="K132" i="7942"/>
  <c r="K162" i="7942"/>
  <c r="K122" i="7942"/>
  <c r="K138" i="7942"/>
  <c r="K140" i="7942"/>
  <c r="K126" i="7942"/>
  <c r="K156" i="7942"/>
  <c r="K134" i="7942"/>
  <c r="K128" i="7942"/>
  <c r="K114" i="7942"/>
  <c r="K158" i="7942"/>
  <c r="K150" i="7942"/>
  <c r="K118" i="7942"/>
  <c r="K120" i="7942"/>
  <c r="K148" i="7942"/>
  <c r="K146" i="7942"/>
  <c r="K144" i="7942"/>
  <c r="K110" i="7942"/>
  <c r="K166" i="7942"/>
  <c r="K160" i="7942"/>
  <c r="K142" i="7942"/>
  <c r="K136" i="7942"/>
  <c r="K124" i="7942"/>
  <c r="K130" i="7942"/>
  <c r="K108" i="7942"/>
  <c r="K107" i="7942"/>
  <c r="K477" i="18"/>
  <c r="K46" i="7941"/>
  <c r="J39" i="7941"/>
  <c r="J38" i="7941"/>
  <c r="J469" i="18"/>
  <c r="J268" i="7942"/>
  <c r="L108" i="18"/>
  <c r="L636" i="18"/>
  <c r="L95" i="18"/>
  <c r="L635" i="18"/>
  <c r="K444" i="18"/>
  <c r="K446" i="18"/>
  <c r="K453" i="18"/>
  <c r="K463" i="18"/>
  <c r="K465" i="18"/>
  <c r="K467" i="18"/>
  <c r="L13" i="18"/>
  <c r="L31" i="18"/>
  <c r="L489" i="18"/>
  <c r="L58" i="7941"/>
  <c r="L12" i="18"/>
  <c r="L14" i="18"/>
  <c r="L16" i="18"/>
  <c r="L17" i="18"/>
  <c r="L19" i="18"/>
  <c r="L477" i="18"/>
  <c r="L46" i="7941"/>
  <c r="L21" i="18"/>
  <c r="L479" i="18"/>
  <c r="L48" i="7941"/>
  <c r="L23" i="18"/>
  <c r="L481" i="18"/>
  <c r="L50" i="7941"/>
  <c r="L25" i="18"/>
  <c r="L483" i="18"/>
  <c r="L52" i="7941"/>
  <c r="L15" i="18"/>
  <c r="L27" i="18"/>
  <c r="L485" i="18"/>
  <c r="L54" i="7941"/>
  <c r="L29" i="18"/>
  <c r="L487" i="18"/>
  <c r="L56" i="7941"/>
  <c r="L32" i="18"/>
  <c r="L490" i="18"/>
  <c r="L59" i="7941"/>
  <c r="L35" i="18"/>
  <c r="L493" i="18"/>
  <c r="L62" i="7941"/>
  <c r="L37" i="18"/>
  <c r="L495" i="18"/>
  <c r="L64" i="7941"/>
  <c r="L18" i="18"/>
  <c r="L20" i="18"/>
  <c r="L478" i="18"/>
  <c r="L47" i="7941"/>
  <c r="L22" i="18"/>
  <c r="L480" i="18"/>
  <c r="L49" i="7941"/>
  <c r="L24" i="18"/>
  <c r="L482" i="18"/>
  <c r="L51" i="7941"/>
  <c r="L26" i="18"/>
  <c r="L484" i="18"/>
  <c r="L53" i="7941"/>
  <c r="L28" i="18"/>
  <c r="L486" i="18"/>
  <c r="L55" i="7941"/>
  <c r="L30" i="18"/>
  <c r="L488" i="18"/>
  <c r="L57" i="7941"/>
  <c r="L33" i="18"/>
  <c r="L491" i="18"/>
  <c r="L60" i="7941"/>
  <c r="L34" i="18"/>
  <c r="L492" i="18"/>
  <c r="L61" i="7941"/>
  <c r="L36" i="18"/>
  <c r="L494" i="18"/>
  <c r="L63" i="7941"/>
  <c r="L38" i="18"/>
  <c r="L496" i="18"/>
  <c r="L65" i="7941"/>
  <c r="L40" i="18"/>
  <c r="L498" i="18"/>
  <c r="L67" i="7941"/>
  <c r="L41" i="18"/>
  <c r="L499" i="18"/>
  <c r="L68" i="7941"/>
  <c r="L39" i="18"/>
  <c r="L497" i="18"/>
  <c r="L66" i="7941"/>
  <c r="L7" i="7942"/>
  <c r="P258" i="18"/>
  <c r="Q258" i="18"/>
  <c r="P310" i="18"/>
  <c r="M401" i="18"/>
  <c r="O401" i="18"/>
  <c r="O310" i="18"/>
  <c r="Q401" i="18"/>
  <c r="P401" i="18"/>
  <c r="Q362" i="18"/>
  <c r="P336" i="18"/>
  <c r="O336" i="18"/>
  <c r="O154" i="18"/>
  <c r="P102" i="18"/>
  <c r="N102" i="18"/>
  <c r="O102" i="18"/>
  <c r="P115" i="18"/>
  <c r="P89" i="18"/>
  <c r="M89" i="18"/>
  <c r="O89" i="18"/>
  <c r="M63" i="18"/>
  <c r="N63" i="18"/>
  <c r="P50" i="18"/>
  <c r="Q323" i="18"/>
  <c r="Q349" i="18"/>
  <c r="P349" i="18"/>
  <c r="Q284" i="18"/>
  <c r="M284" i="18"/>
  <c r="N180" i="18"/>
  <c r="P180" i="18"/>
  <c r="O180" i="18"/>
  <c r="O128" i="18"/>
  <c r="Q193" i="18"/>
  <c r="M193" i="18"/>
  <c r="P193" i="18"/>
  <c r="M232" i="18"/>
  <c r="N232" i="18"/>
  <c r="O141" i="18"/>
  <c r="O219" i="18"/>
  <c r="Q219" i="18"/>
  <c r="O167" i="18"/>
  <c r="P76" i="18"/>
  <c r="Q206" i="18"/>
  <c r="P206" i="18"/>
  <c r="O245" i="18"/>
  <c r="Q245" i="18"/>
  <c r="O297" i="18"/>
  <c r="Q297" i="18"/>
  <c r="P297" i="18"/>
  <c r="P388" i="18"/>
  <c r="O232" i="18"/>
  <c r="P232" i="18"/>
  <c r="O258" i="18"/>
  <c r="Q310" i="18"/>
  <c r="N401" i="18"/>
  <c r="P362" i="18"/>
  <c r="O362" i="18"/>
  <c r="Q336" i="18"/>
  <c r="Q154" i="18"/>
  <c r="P154" i="18"/>
  <c r="Q102" i="18"/>
  <c r="M102" i="18"/>
  <c r="O115" i="18"/>
  <c r="Q115" i="18"/>
  <c r="N89" i="18"/>
  <c r="Q89" i="18"/>
  <c r="P63" i="18"/>
  <c r="Q63" i="18"/>
  <c r="O63" i="18"/>
  <c r="Q50" i="18"/>
  <c r="P323" i="18"/>
  <c r="O323" i="18"/>
  <c r="O349" i="18"/>
  <c r="N284" i="18"/>
  <c r="O284" i="18"/>
  <c r="P284" i="18"/>
  <c r="Q180" i="18"/>
  <c r="M180" i="18"/>
  <c r="P128" i="18"/>
  <c r="Q128" i="18"/>
  <c r="O193" i="18"/>
  <c r="N193" i="18"/>
  <c r="Q141" i="18"/>
  <c r="P141" i="18"/>
  <c r="P219" i="18"/>
  <c r="Q167" i="18"/>
  <c r="P167" i="18"/>
  <c r="Q76" i="18"/>
  <c r="O206" i="18"/>
  <c r="M245" i="18"/>
  <c r="P245" i="18"/>
  <c r="N245" i="18"/>
  <c r="M297" i="18"/>
  <c r="N297" i="18"/>
  <c r="Q388" i="18"/>
  <c r="O388" i="18"/>
  <c r="Q232" i="18"/>
  <c r="N230" i="18"/>
  <c r="O230" i="18"/>
  <c r="P230" i="18"/>
  <c r="Q230" i="18"/>
  <c r="L238" i="18"/>
  <c r="L646" i="18"/>
  <c r="K475" i="18"/>
  <c r="K44" i="7941"/>
  <c r="K476" i="18"/>
  <c r="K45" i="7941"/>
  <c r="K472" i="18"/>
  <c r="K41" i="7941"/>
  <c r="E40" i="7945"/>
  <c r="F40" i="7945" s="1"/>
  <c r="K470" i="18"/>
  <c r="E12" i="7945"/>
  <c r="F12" i="7945" s="1"/>
  <c r="K11" i="18"/>
  <c r="N229" i="18"/>
  <c r="K633" i="18"/>
  <c r="K631" i="18"/>
  <c r="K43" i="18"/>
  <c r="J107" i="7942"/>
  <c r="L69" i="18"/>
  <c r="D113" i="7945"/>
  <c r="E113" i="7945" s="1"/>
  <c r="F113" i="7945" s="1"/>
  <c r="J689" i="18"/>
  <c r="J525" i="18"/>
  <c r="J94" i="7941"/>
  <c r="K30" i="7941"/>
  <c r="K35" i="7941"/>
  <c r="J227" i="7941"/>
  <c r="K464" i="18"/>
  <c r="K452" i="18"/>
  <c r="K441" i="18"/>
  <c r="K449" i="18"/>
  <c r="J683" i="18"/>
  <c r="J519" i="18"/>
  <c r="J88" i="7941"/>
  <c r="J216" i="7941"/>
  <c r="K466" i="18"/>
  <c r="J686" i="18"/>
  <c r="J522" i="18"/>
  <c r="J91" i="7941"/>
  <c r="J219" i="7941"/>
  <c r="J673" i="18"/>
  <c r="J509" i="18"/>
  <c r="J78" i="7941"/>
  <c r="J206" i="7941"/>
  <c r="K33" i="7941"/>
  <c r="J225" i="7941"/>
  <c r="K36" i="7941"/>
  <c r="J228" i="7941"/>
  <c r="K24" i="7941"/>
  <c r="K27" i="7941"/>
  <c r="K23" i="7941"/>
  <c r="J215" i="7941"/>
  <c r="J675" i="18"/>
  <c r="J511" i="18"/>
  <c r="J80" i="7941"/>
  <c r="J208" i="7941"/>
  <c r="J685" i="18"/>
  <c r="J521" i="18"/>
  <c r="J90" i="7941"/>
  <c r="K26" i="7941"/>
  <c r="J684" i="18"/>
  <c r="J520" i="18"/>
  <c r="J89" i="7941"/>
  <c r="K22" i="7941"/>
  <c r="J214" i="7941"/>
  <c r="J678" i="18"/>
  <c r="J514" i="18"/>
  <c r="J83" i="7941"/>
  <c r="J211" i="7941"/>
  <c r="J222" i="7941"/>
  <c r="J224" i="7941"/>
  <c r="K32" i="7941"/>
  <c r="K28" i="7941"/>
  <c r="J220" i="7941"/>
  <c r="K454" i="18"/>
  <c r="K442" i="18"/>
  <c r="K440" i="18"/>
  <c r="K672" i="18"/>
  <c r="K508" i="18"/>
  <c r="K77" i="7941"/>
  <c r="K21" i="7941"/>
  <c r="J213" i="7941"/>
  <c r="K674" i="18"/>
  <c r="K510" i="18"/>
  <c r="K79" i="7941"/>
  <c r="K10" i="7941"/>
  <c r="J202" i="7941"/>
  <c r="J218" i="7941"/>
  <c r="I666" i="18"/>
  <c r="I437" i="18"/>
  <c r="K681" i="18"/>
  <c r="K517" i="18"/>
  <c r="K86" i="7941"/>
  <c r="H199" i="7941"/>
  <c r="H198" i="7941"/>
  <c r="H70" i="7941"/>
  <c r="I7" i="7941"/>
  <c r="K19" i="7941"/>
  <c r="K18" i="7941"/>
  <c r="J210" i="7941"/>
  <c r="K451" i="18"/>
  <c r="J679" i="18"/>
  <c r="J515" i="18"/>
  <c r="J84" i="7941"/>
  <c r="J212" i="7941"/>
  <c r="L459" i="18"/>
  <c r="K687" i="18"/>
  <c r="K523" i="18"/>
  <c r="K92" i="7941"/>
  <c r="K14" i="7941"/>
  <c r="K11" i="7941"/>
  <c r="J203" i="7941"/>
  <c r="K9" i="7941"/>
  <c r="J201" i="7941"/>
  <c r="K13" i="7941"/>
  <c r="J205" i="7941"/>
  <c r="K34" i="7941"/>
  <c r="J226" i="7941"/>
  <c r="J667" i="18"/>
  <c r="J503" i="18"/>
  <c r="J72" i="7941"/>
  <c r="J200" i="7941"/>
  <c r="J217" i="7941"/>
  <c r="K25" i="7941"/>
  <c r="K691" i="18"/>
  <c r="K527" i="18"/>
  <c r="K96" i="7941"/>
  <c r="K693" i="18"/>
  <c r="K529" i="18"/>
  <c r="K98" i="7941"/>
  <c r="J688" i="18"/>
  <c r="J524" i="18"/>
  <c r="J93" i="7941"/>
  <c r="J221" i="7941"/>
  <c r="K15" i="7941"/>
  <c r="J207" i="7941"/>
  <c r="J671" i="18"/>
  <c r="J507" i="18"/>
  <c r="J76" i="7941"/>
  <c r="J204" i="7941"/>
  <c r="J690" i="18"/>
  <c r="J526" i="18"/>
  <c r="J95" i="7941"/>
  <c r="J223" i="7941"/>
  <c r="J676" i="18"/>
  <c r="J512" i="18"/>
  <c r="J81" i="7941"/>
  <c r="J209" i="7941"/>
  <c r="K695" i="18"/>
  <c r="K531" i="18"/>
  <c r="K100" i="7941"/>
  <c r="L633" i="18"/>
  <c r="L631" i="18"/>
  <c r="L43" i="18"/>
  <c r="K39" i="7941"/>
  <c r="K38" i="7941"/>
  <c r="K469" i="18"/>
  <c r="L475" i="18"/>
  <c r="L44" i="7941"/>
  <c r="L472" i="18"/>
  <c r="L41" i="7941"/>
  <c r="K268" i="7942"/>
  <c r="L467" i="18"/>
  <c r="L465" i="18"/>
  <c r="L463" i="18"/>
  <c r="L453" i="18"/>
  <c r="Q229" i="18"/>
  <c r="O229" i="18"/>
  <c r="P229" i="18"/>
  <c r="L307" i="7942"/>
  <c r="L291" i="7942"/>
  <c r="L275" i="7942"/>
  <c r="M275" i="7942"/>
  <c r="L276" i="7942"/>
  <c r="L330" i="7941"/>
  <c r="L277" i="7942"/>
  <c r="L309" i="7942"/>
  <c r="M309" i="7942"/>
  <c r="L310" i="7942"/>
  <c r="L347" i="7941"/>
  <c r="L269" i="7942"/>
  <c r="M269" i="7942"/>
  <c r="L273" i="7942"/>
  <c r="L313" i="7942"/>
  <c r="L299" i="7942"/>
  <c r="L323" i="7942"/>
  <c r="L283" i="7942"/>
  <c r="L301" i="7942"/>
  <c r="L327" i="7942"/>
  <c r="L319" i="7942"/>
  <c r="L293" i="7942"/>
  <c r="L289" i="7942"/>
  <c r="L279" i="7942"/>
  <c r="L285" i="7942"/>
  <c r="M285" i="7942"/>
  <c r="L286" i="7942"/>
  <c r="L335" i="7941"/>
  <c r="L287" i="7942"/>
  <c r="L317" i="7942"/>
  <c r="M317" i="7942"/>
  <c r="L318" i="7942"/>
  <c r="L351" i="7941"/>
  <c r="L271" i="7942"/>
  <c r="L321" i="7942"/>
  <c r="L297" i="7942"/>
  <c r="L281" i="7942"/>
  <c r="M281" i="7942"/>
  <c r="L282" i="7942"/>
  <c r="L333" i="7941"/>
  <c r="L303" i="7942"/>
  <c r="L311" i="7942"/>
  <c r="L295" i="7942"/>
  <c r="L315" i="7942"/>
  <c r="L325" i="7942"/>
  <c r="L305" i="7942"/>
  <c r="L138" i="7942"/>
  <c r="L140" i="7942"/>
  <c r="L156" i="7942"/>
  <c r="L134" i="7942"/>
  <c r="L128" i="7942"/>
  <c r="L114" i="7942"/>
  <c r="L158" i="7942"/>
  <c r="L150" i="7942"/>
  <c r="L118" i="7942"/>
  <c r="L120" i="7942"/>
  <c r="L148" i="7942"/>
  <c r="L146" i="7942"/>
  <c r="L144" i="7942"/>
  <c r="L110" i="7942"/>
  <c r="L166" i="7942"/>
  <c r="L132" i="7942"/>
  <c r="L142" i="7942"/>
  <c r="L136" i="7942"/>
  <c r="L154" i="7942"/>
  <c r="L112" i="7942"/>
  <c r="L126" i="7942"/>
  <c r="L164" i="7942"/>
  <c r="L152" i="7942"/>
  <c r="L116" i="7942"/>
  <c r="L160" i="7942"/>
  <c r="M160" i="7942"/>
  <c r="L161" i="7942"/>
  <c r="L289" i="7941"/>
  <c r="L162" i="7942"/>
  <c r="L122" i="7942"/>
  <c r="L124" i="7942"/>
  <c r="L130" i="7942"/>
  <c r="M130" i="7942"/>
  <c r="L131" i="7942"/>
  <c r="L274" i="7941"/>
  <c r="L108" i="7942"/>
  <c r="L476" i="18"/>
  <c r="L45" i="7941"/>
  <c r="L473" i="18"/>
  <c r="L42" i="7941"/>
  <c r="L474" i="18"/>
  <c r="L43" i="7941"/>
  <c r="L470" i="18"/>
  <c r="L11" i="18"/>
  <c r="E13" i="7945"/>
  <c r="F13" i="7945" s="1"/>
  <c r="L471" i="18"/>
  <c r="L40" i="7941"/>
  <c r="M124" i="7942"/>
  <c r="L125" i="7942"/>
  <c r="L271" i="7941"/>
  <c r="O124" i="7942"/>
  <c r="N125" i="7942"/>
  <c r="N271" i="7941"/>
  <c r="N124" i="7942"/>
  <c r="M125" i="7942"/>
  <c r="M271" i="7941"/>
  <c r="M142" i="7942"/>
  <c r="L143" i="7942"/>
  <c r="L280" i="7941"/>
  <c r="M166" i="7942"/>
  <c r="L167" i="7942"/>
  <c r="L292" i="7941"/>
  <c r="N166" i="7942"/>
  <c r="M167" i="7942"/>
  <c r="M292" i="7941"/>
  <c r="M144" i="7942"/>
  <c r="L145" i="7942"/>
  <c r="L281" i="7941"/>
  <c r="M148" i="7942"/>
  <c r="L149" i="7942"/>
  <c r="L283" i="7941"/>
  <c r="N148" i="7942"/>
  <c r="M149" i="7942"/>
  <c r="M283" i="7941"/>
  <c r="M118" i="7942"/>
  <c r="L119" i="7942"/>
  <c r="L268" i="7941"/>
  <c r="N158" i="7942"/>
  <c r="M159" i="7942"/>
  <c r="M288" i="7941"/>
  <c r="M158" i="7942"/>
  <c r="L159" i="7942"/>
  <c r="L288" i="7941"/>
  <c r="M128" i="7942"/>
  <c r="L129" i="7942"/>
  <c r="L273" i="7941"/>
  <c r="N128" i="7942"/>
  <c r="M129" i="7942"/>
  <c r="M273" i="7941"/>
  <c r="M156" i="7942"/>
  <c r="L157" i="7942"/>
  <c r="L287" i="7941"/>
  <c r="M140" i="7942"/>
  <c r="L141" i="7942"/>
  <c r="L279" i="7941"/>
  <c r="O122" i="7942"/>
  <c r="N123" i="7942"/>
  <c r="N270" i="7941"/>
  <c r="M122" i="7942"/>
  <c r="L123" i="7942"/>
  <c r="L270" i="7941"/>
  <c r="P122" i="7942"/>
  <c r="O123" i="7942"/>
  <c r="O270" i="7941"/>
  <c r="N122" i="7942"/>
  <c r="M123" i="7942"/>
  <c r="M270" i="7941"/>
  <c r="M132" i="7942"/>
  <c r="L133" i="7942"/>
  <c r="L275" i="7941"/>
  <c r="N132" i="7942"/>
  <c r="M133" i="7942"/>
  <c r="M275" i="7941"/>
  <c r="M152" i="7942"/>
  <c r="L153" i="7942"/>
  <c r="L285" i="7941"/>
  <c r="M112" i="7942"/>
  <c r="L113" i="7942"/>
  <c r="L265" i="7941"/>
  <c r="M279" i="7942"/>
  <c r="L280" i="7942"/>
  <c r="L332" i="7941"/>
  <c r="N289" i="7942"/>
  <c r="M290" i="7942"/>
  <c r="M337" i="7941"/>
  <c r="M289" i="7942"/>
  <c r="L290" i="7942"/>
  <c r="L337" i="7941"/>
  <c r="M271" i="7942"/>
  <c r="L272" i="7942"/>
  <c r="L328" i="7941"/>
  <c r="M301" i="7942"/>
  <c r="L302" i="7942"/>
  <c r="L343" i="7941"/>
  <c r="N301" i="7942"/>
  <c r="M302" i="7942"/>
  <c r="M343" i="7941"/>
  <c r="M297" i="7942"/>
  <c r="L298" i="7942"/>
  <c r="L341" i="7941"/>
  <c r="N297" i="7942"/>
  <c r="M298" i="7942"/>
  <c r="M341" i="7941"/>
  <c r="M313" i="7942"/>
  <c r="L314" i="7942"/>
  <c r="L349" i="7941"/>
  <c r="N313" i="7942"/>
  <c r="M314" i="7942"/>
  <c r="M349" i="7941"/>
  <c r="M311" i="7942"/>
  <c r="L312" i="7942"/>
  <c r="L348" i="7941"/>
  <c r="M293" i="7942"/>
  <c r="L294" i="7942"/>
  <c r="L339" i="7941"/>
  <c r="N293" i="7942"/>
  <c r="M294" i="7942"/>
  <c r="M339" i="7941"/>
  <c r="M321" i="7942"/>
  <c r="L322" i="7942"/>
  <c r="L353" i="7941"/>
  <c r="M295" i="7942"/>
  <c r="L296" i="7942"/>
  <c r="L340" i="7941"/>
  <c r="M277" i="7942"/>
  <c r="L278" i="7942"/>
  <c r="L331" i="7941"/>
  <c r="M325" i="7942"/>
  <c r="L326" i="7942"/>
  <c r="L355" i="7941"/>
  <c r="M327" i="7942"/>
  <c r="L328" i="7942"/>
  <c r="L356" i="7941"/>
  <c r="N327" i="7942"/>
  <c r="M328" i="7942"/>
  <c r="M356" i="7941"/>
  <c r="M287" i="7942"/>
  <c r="L288" i="7942"/>
  <c r="L336" i="7941"/>
  <c r="N291" i="7942"/>
  <c r="M292" i="7942"/>
  <c r="M338" i="7941"/>
  <c r="M291" i="7942"/>
  <c r="L292" i="7942"/>
  <c r="L338" i="7941"/>
  <c r="D127" i="7945"/>
  <c r="E127" i="7945" s="1"/>
  <c r="F127" i="7945" s="1"/>
  <c r="L695" i="18"/>
  <c r="L531" i="18"/>
  <c r="L100" i="7941"/>
  <c r="M467" i="18"/>
  <c r="M695" i="18"/>
  <c r="M531" i="18"/>
  <c r="M100" i="7941"/>
  <c r="L15" i="7941"/>
  <c r="K207" i="7941"/>
  <c r="L693" i="18"/>
  <c r="L529" i="18"/>
  <c r="L98" i="7941"/>
  <c r="M465" i="18"/>
  <c r="M693" i="18"/>
  <c r="M529" i="18"/>
  <c r="M98" i="7941"/>
  <c r="L691" i="18"/>
  <c r="L527" i="18"/>
  <c r="L96" i="7941"/>
  <c r="M463" i="18"/>
  <c r="M691" i="18"/>
  <c r="M527" i="18"/>
  <c r="M96" i="7941"/>
  <c r="L34" i="7941"/>
  <c r="L226" i="7941"/>
  <c r="K226" i="7941"/>
  <c r="L13" i="7941"/>
  <c r="K205" i="7941"/>
  <c r="L687" i="18"/>
  <c r="L523" i="18"/>
  <c r="L92" i="7941"/>
  <c r="M459" i="18"/>
  <c r="M687" i="18"/>
  <c r="M523" i="18"/>
  <c r="M92" i="7941"/>
  <c r="K679" i="18"/>
  <c r="K515" i="18"/>
  <c r="K84" i="7941"/>
  <c r="K17" i="7941"/>
  <c r="L681" i="18"/>
  <c r="L517" i="18"/>
  <c r="L86" i="7941"/>
  <c r="L440" i="18"/>
  <c r="K668" i="18"/>
  <c r="K504" i="18"/>
  <c r="K73" i="7941"/>
  <c r="L9" i="7941"/>
  <c r="L454" i="18"/>
  <c r="K682" i="18"/>
  <c r="K518" i="18"/>
  <c r="K87" i="7941"/>
  <c r="L28" i="7941"/>
  <c r="L220" i="7941"/>
  <c r="K220" i="7941"/>
  <c r="K20" i="7941"/>
  <c r="L22" i="7941"/>
  <c r="K214" i="7941"/>
  <c r="K8" i="7941"/>
  <c r="L23" i="7941"/>
  <c r="K215" i="7941"/>
  <c r="L36" i="7941"/>
  <c r="L228" i="7941"/>
  <c r="K228" i="7941"/>
  <c r="K31" i="7941"/>
  <c r="K12" i="7941"/>
  <c r="K16" i="7941"/>
  <c r="K29" i="7941"/>
  <c r="K677" i="18"/>
  <c r="K513" i="18"/>
  <c r="K82" i="7941"/>
  <c r="L18" i="7941"/>
  <c r="K680" i="18"/>
  <c r="K516" i="18"/>
  <c r="K85" i="7941"/>
  <c r="K448" i="18"/>
  <c r="K462" i="18"/>
  <c r="K443" i="18"/>
  <c r="K460" i="18"/>
  <c r="K439" i="18"/>
  <c r="I6" i="7941"/>
  <c r="I665" i="18"/>
  <c r="I502" i="18"/>
  <c r="L446" i="18"/>
  <c r="L21" i="7941"/>
  <c r="K213" i="7941"/>
  <c r="L444" i="18"/>
  <c r="K670" i="18"/>
  <c r="K506" i="18"/>
  <c r="K75" i="7941"/>
  <c r="L11" i="7941"/>
  <c r="L32" i="7941"/>
  <c r="L224" i="7941"/>
  <c r="K224" i="7941"/>
  <c r="K450" i="18"/>
  <c r="K456" i="18"/>
  <c r="K457" i="18"/>
  <c r="K447" i="18"/>
  <c r="K445" i="18"/>
  <c r="K458" i="18"/>
  <c r="K694" i="18"/>
  <c r="K530" i="18"/>
  <c r="K99" i="7941"/>
  <c r="K227" i="7941"/>
  <c r="K455" i="18"/>
  <c r="K669" i="18"/>
  <c r="K505" i="18"/>
  <c r="K74" i="7941"/>
  <c r="L10" i="7941"/>
  <c r="K692" i="18"/>
  <c r="K528" i="18"/>
  <c r="K97" i="7941"/>
  <c r="K225" i="7941"/>
  <c r="L35" i="7941"/>
  <c r="K461" i="18"/>
  <c r="L270" i="7942"/>
  <c r="L327" i="7941"/>
  <c r="L442" i="18"/>
  <c r="O291" i="7942"/>
  <c r="N292" i="7942"/>
  <c r="N338" i="7941"/>
  <c r="O327" i="7942"/>
  <c r="N328" i="7942"/>
  <c r="N356" i="7941"/>
  <c r="N325" i="7942"/>
  <c r="N295" i="7942"/>
  <c r="O313" i="7942"/>
  <c r="N314" i="7942"/>
  <c r="N349" i="7941"/>
  <c r="O297" i="7942"/>
  <c r="N298" i="7942"/>
  <c r="N341" i="7941"/>
  <c r="M371" i="7941"/>
  <c r="O132" i="7942"/>
  <c r="N133" i="7942"/>
  <c r="N275" i="7941"/>
  <c r="M369" i="7941"/>
  <c r="N144" i="7942"/>
  <c r="M388" i="7941"/>
  <c r="L39" i="7941"/>
  <c r="L38" i="7941"/>
  <c r="L469" i="18"/>
  <c r="M319" i="7942"/>
  <c r="L320" i="7942"/>
  <c r="L352" i="7941"/>
  <c r="N317" i="7942"/>
  <c r="M318" i="7942"/>
  <c r="M351" i="7941"/>
  <c r="O317" i="7942"/>
  <c r="N318" i="7942"/>
  <c r="N351" i="7941"/>
  <c r="M303" i="7942"/>
  <c r="L304" i="7942"/>
  <c r="L344" i="7941"/>
  <c r="M283" i="7942"/>
  <c r="L284" i="7942"/>
  <c r="L334" i="7941"/>
  <c r="N309" i="7942"/>
  <c r="M310" i="7942"/>
  <c r="M347" i="7941"/>
  <c r="M379" i="7941"/>
  <c r="O309" i="7942"/>
  <c r="N310" i="7942"/>
  <c r="N347" i="7941"/>
  <c r="M305" i="7942"/>
  <c r="L306" i="7942"/>
  <c r="L345" i="7941"/>
  <c r="M315" i="7942"/>
  <c r="L316" i="7942"/>
  <c r="L350" i="7941"/>
  <c r="M323" i="7942"/>
  <c r="L324" i="7942"/>
  <c r="L354" i="7941"/>
  <c r="N281" i="7942"/>
  <c r="M282" i="7942"/>
  <c r="M333" i="7941"/>
  <c r="M273" i="7942"/>
  <c r="L274" i="7942"/>
  <c r="L329" i="7941"/>
  <c r="N285" i="7942"/>
  <c r="M286" i="7942"/>
  <c r="M335" i="7941"/>
  <c r="M299" i="7942"/>
  <c r="L300" i="7942"/>
  <c r="L342" i="7941"/>
  <c r="M154" i="7942"/>
  <c r="L155" i="7942"/>
  <c r="L286" i="7941"/>
  <c r="M164" i="7942"/>
  <c r="L165" i="7942"/>
  <c r="L291" i="7941"/>
  <c r="M138" i="7942"/>
  <c r="L139" i="7942"/>
  <c r="L278" i="7941"/>
  <c r="M134" i="7942"/>
  <c r="L135" i="7942"/>
  <c r="L276" i="7941"/>
  <c r="M114" i="7942"/>
  <c r="L115" i="7942"/>
  <c r="L266" i="7941"/>
  <c r="M150" i="7942"/>
  <c r="L151" i="7942"/>
  <c r="L284" i="7941"/>
  <c r="M120" i="7942"/>
  <c r="L121" i="7942"/>
  <c r="L269" i="7941"/>
  <c r="N120" i="7942"/>
  <c r="M121" i="7942"/>
  <c r="M269" i="7941"/>
  <c r="M365" i="7941"/>
  <c r="M146" i="7942"/>
  <c r="L147" i="7942"/>
  <c r="L282" i="7941"/>
  <c r="M110" i="7942"/>
  <c r="L111" i="7942"/>
  <c r="L264" i="7941"/>
  <c r="M136" i="7942"/>
  <c r="L137" i="7942"/>
  <c r="L277" i="7941"/>
  <c r="P291" i="7942"/>
  <c r="O292" i="7942"/>
  <c r="O338" i="7941"/>
  <c r="Q291" i="7942"/>
  <c r="N287" i="7942"/>
  <c r="P327" i="7942"/>
  <c r="O328" i="7942"/>
  <c r="O356" i="7941"/>
  <c r="O325" i="7942"/>
  <c r="N326" i="7942"/>
  <c r="N355" i="7941"/>
  <c r="N277" i="7942"/>
  <c r="O295" i="7942"/>
  <c r="N296" i="7942"/>
  <c r="N340" i="7941"/>
  <c r="P295" i="7942"/>
  <c r="O296" i="7942"/>
  <c r="O340" i="7941"/>
  <c r="N321" i="7942"/>
  <c r="M322" i="7942"/>
  <c r="M353" i="7941"/>
  <c r="O293" i="7942"/>
  <c r="N311" i="7942"/>
  <c r="P313" i="7942"/>
  <c r="O314" i="7942"/>
  <c r="O349" i="7941"/>
  <c r="P297" i="7942"/>
  <c r="O298" i="7942"/>
  <c r="O341" i="7941"/>
  <c r="Q297" i="7942"/>
  <c r="O301" i="7942"/>
  <c r="P301" i="7942"/>
  <c r="O302" i="7942"/>
  <c r="O343" i="7941"/>
  <c r="N271" i="7942"/>
  <c r="O289" i="7942"/>
  <c r="N279" i="7942"/>
  <c r="N112" i="7942"/>
  <c r="O112" i="7942"/>
  <c r="O152" i="7942"/>
  <c r="N153" i="7942"/>
  <c r="N285" i="7941"/>
  <c r="N381" i="7941"/>
  <c r="N152" i="7942"/>
  <c r="Q122" i="7942"/>
  <c r="N140" i="7942"/>
  <c r="N156" i="7942"/>
  <c r="O128" i="7942"/>
  <c r="N129" i="7942"/>
  <c r="N273" i="7941"/>
  <c r="O158" i="7942"/>
  <c r="N118" i="7942"/>
  <c r="O148" i="7942"/>
  <c r="N149" i="7942"/>
  <c r="N283" i="7941"/>
  <c r="P144" i="7942"/>
  <c r="O145" i="7942"/>
  <c r="O281" i="7941"/>
  <c r="O144" i="7942"/>
  <c r="N145" i="7942"/>
  <c r="N281" i="7941"/>
  <c r="P166" i="7942"/>
  <c r="O167" i="7942"/>
  <c r="O292" i="7941"/>
  <c r="O388" i="7941"/>
  <c r="O166" i="7942"/>
  <c r="N142" i="7942"/>
  <c r="M367" i="7941"/>
  <c r="P124" i="7942"/>
  <c r="O125" i="7942"/>
  <c r="O271" i="7941"/>
  <c r="L107" i="7942"/>
  <c r="M108" i="7942"/>
  <c r="L268" i="7942"/>
  <c r="M307" i="7942"/>
  <c r="L308" i="7942"/>
  <c r="L346" i="7941"/>
  <c r="N307" i="7942"/>
  <c r="M308" i="7942"/>
  <c r="M346" i="7941"/>
  <c r="P317" i="7942"/>
  <c r="O318" i="7942"/>
  <c r="O351" i="7941"/>
  <c r="P309" i="7942"/>
  <c r="O310" i="7942"/>
  <c r="O347" i="7941"/>
  <c r="N305" i="7942"/>
  <c r="M306" i="7942"/>
  <c r="M345" i="7941"/>
  <c r="N275" i="7942"/>
  <c r="M276" i="7942"/>
  <c r="M330" i="7941"/>
  <c r="N323" i="7942"/>
  <c r="M324" i="7942"/>
  <c r="M354" i="7941"/>
  <c r="N273" i="7942"/>
  <c r="M274" i="7942"/>
  <c r="M329" i="7941"/>
  <c r="O285" i="7942"/>
  <c r="N286" i="7942"/>
  <c r="N335" i="7941"/>
  <c r="N367" i="7941"/>
  <c r="N269" i="7942"/>
  <c r="N299" i="7942"/>
  <c r="M300" i="7942"/>
  <c r="M342" i="7941"/>
  <c r="M116" i="7942"/>
  <c r="L117" i="7942"/>
  <c r="L267" i="7941"/>
  <c r="M162" i="7942"/>
  <c r="L163" i="7942"/>
  <c r="L290" i="7941"/>
  <c r="O138" i="7942"/>
  <c r="N139" i="7942"/>
  <c r="N278" i="7941"/>
  <c r="N138" i="7942"/>
  <c r="M139" i="7942"/>
  <c r="M278" i="7941"/>
  <c r="M374" i="7941"/>
  <c r="M126" i="7942"/>
  <c r="L127" i="7942"/>
  <c r="L272" i="7941"/>
  <c r="N110" i="7942"/>
  <c r="M111" i="7942"/>
  <c r="M264" i="7941"/>
  <c r="N160" i="7942"/>
  <c r="M161" i="7942"/>
  <c r="M289" i="7941"/>
  <c r="M385" i="7941"/>
  <c r="N130" i="7942"/>
  <c r="M131" i="7942"/>
  <c r="M274" i="7941"/>
  <c r="M370" i="7941"/>
  <c r="D141" i="7945"/>
  <c r="E141" i="7945" s="1"/>
  <c r="F141" i="7945" s="1"/>
  <c r="K689" i="18"/>
  <c r="K525" i="18"/>
  <c r="K94" i="7941"/>
  <c r="K686" i="18"/>
  <c r="K522" i="18"/>
  <c r="K91" i="7941"/>
  <c r="K675" i="18"/>
  <c r="K511" i="18"/>
  <c r="K80" i="7941"/>
  <c r="K208" i="7941"/>
  <c r="L456" i="18"/>
  <c r="K684" i="18"/>
  <c r="K520" i="18"/>
  <c r="K89" i="7941"/>
  <c r="L670" i="18"/>
  <c r="L506" i="18"/>
  <c r="L75" i="7941"/>
  <c r="L203" i="7941"/>
  <c r="L672" i="18"/>
  <c r="L508" i="18"/>
  <c r="L77" i="7941"/>
  <c r="K202" i="7941"/>
  <c r="I71" i="7941"/>
  <c r="I501" i="18"/>
  <c r="J438" i="18"/>
  <c r="K688" i="18"/>
  <c r="K524" i="18"/>
  <c r="K93" i="7941"/>
  <c r="K221" i="7941"/>
  <c r="K690" i="18"/>
  <c r="K526" i="18"/>
  <c r="K95" i="7941"/>
  <c r="K223" i="7941"/>
  <c r="L33" i="7941"/>
  <c r="L16" i="7941"/>
  <c r="L31" i="7941"/>
  <c r="L20" i="7941"/>
  <c r="K212" i="7941"/>
  <c r="L682" i="18"/>
  <c r="L518" i="18"/>
  <c r="L87" i="7941"/>
  <c r="L215" i="7941"/>
  <c r="L668" i="18"/>
  <c r="L504" i="18"/>
  <c r="L73" i="7941"/>
  <c r="L201" i="7941"/>
  <c r="K210" i="7941"/>
  <c r="K203" i="7941"/>
  <c r="K201" i="7941"/>
  <c r="L464" i="18"/>
  <c r="L441" i="18"/>
  <c r="K683" i="18"/>
  <c r="K519" i="18"/>
  <c r="K88" i="7941"/>
  <c r="L466" i="18"/>
  <c r="K673" i="18"/>
  <c r="K509" i="18"/>
  <c r="K78" i="7941"/>
  <c r="L445" i="18"/>
  <c r="K685" i="18"/>
  <c r="K521" i="18"/>
  <c r="K90" i="7941"/>
  <c r="L457" i="18"/>
  <c r="K678" i="18"/>
  <c r="K514" i="18"/>
  <c r="K83" i="7941"/>
  <c r="L450" i="18"/>
  <c r="L674" i="18"/>
  <c r="L510" i="18"/>
  <c r="L79" i="7941"/>
  <c r="K667" i="18"/>
  <c r="K503" i="18"/>
  <c r="K72" i="7941"/>
  <c r="L8" i="7941"/>
  <c r="K671" i="18"/>
  <c r="K507" i="18"/>
  <c r="K76" i="7941"/>
  <c r="L443" i="18"/>
  <c r="K676" i="18"/>
  <c r="K512" i="18"/>
  <c r="K81" i="7941"/>
  <c r="L17" i="7941"/>
  <c r="L452" i="18"/>
  <c r="L449" i="18"/>
  <c r="L29" i="7941"/>
  <c r="L12" i="7941"/>
  <c r="K204" i="7941"/>
  <c r="K200" i="7941"/>
  <c r="L214" i="7941"/>
  <c r="M453" i="18"/>
  <c r="M681" i="18"/>
  <c r="M517" i="18"/>
  <c r="M86" i="7941"/>
  <c r="K209" i="7941"/>
  <c r="L451" i="18"/>
  <c r="L205" i="7941"/>
  <c r="L207" i="7941"/>
  <c r="M270" i="7942"/>
  <c r="M327" i="7941"/>
  <c r="L109" i="7942"/>
  <c r="L263" i="7941"/>
  <c r="L262" i="7941"/>
  <c r="M107" i="7942"/>
  <c r="L168" i="7942"/>
  <c r="M143" i="7942"/>
  <c r="M280" i="7941"/>
  <c r="O142" i="7942"/>
  <c r="N143" i="7942"/>
  <c r="N280" i="7941"/>
  <c r="M119" i="7942"/>
  <c r="M268" i="7941"/>
  <c r="O118" i="7942"/>
  <c r="N119" i="7942"/>
  <c r="N268" i="7941"/>
  <c r="N159" i="7942"/>
  <c r="N288" i="7941"/>
  <c r="M157" i="7942"/>
  <c r="M287" i="7941"/>
  <c r="M383" i="7941"/>
  <c r="M141" i="7942"/>
  <c r="M279" i="7941"/>
  <c r="M375" i="7941"/>
  <c r="O140" i="7942"/>
  <c r="N141" i="7942"/>
  <c r="N279" i="7941"/>
  <c r="Q123" i="7942"/>
  <c r="Q270" i="7941"/>
  <c r="P123" i="7942"/>
  <c r="P270" i="7941"/>
  <c r="N113" i="7942"/>
  <c r="N265" i="7941"/>
  <c r="P112" i="7942"/>
  <c r="O113" i="7942"/>
  <c r="O265" i="7941"/>
  <c r="M280" i="7942"/>
  <c r="M332" i="7941"/>
  <c r="N290" i="7942"/>
  <c r="N337" i="7941"/>
  <c r="N369" i="7941"/>
  <c r="P289" i="7942"/>
  <c r="O290" i="7942"/>
  <c r="O337" i="7941"/>
  <c r="Q298" i="7942"/>
  <c r="Q341" i="7941"/>
  <c r="P298" i="7942"/>
  <c r="P341" i="7941"/>
  <c r="N294" i="7942"/>
  <c r="N339" i="7941"/>
  <c r="P293" i="7942"/>
  <c r="O294" i="7942"/>
  <c r="O339" i="7941"/>
  <c r="M278" i="7942"/>
  <c r="M331" i="7941"/>
  <c r="O277" i="7942"/>
  <c r="N278" i="7942"/>
  <c r="N331" i="7941"/>
  <c r="P277" i="7942"/>
  <c r="O278" i="7942"/>
  <c r="O331" i="7941"/>
  <c r="Q292" i="7942"/>
  <c r="Q338" i="7941"/>
  <c r="P292" i="7942"/>
  <c r="P338" i="7941"/>
  <c r="O160" i="7942"/>
  <c r="N161" i="7942"/>
  <c r="N289" i="7941"/>
  <c r="N126" i="7942"/>
  <c r="N162" i="7942"/>
  <c r="M163" i="7942"/>
  <c r="M290" i="7941"/>
  <c r="M386" i="7941"/>
  <c r="O162" i="7942"/>
  <c r="O299" i="7942"/>
  <c r="N300" i="7942"/>
  <c r="N342" i="7941"/>
  <c r="N374" i="7941"/>
  <c r="O269" i="7942"/>
  <c r="P285" i="7942"/>
  <c r="O275" i="7942"/>
  <c r="N276" i="7942"/>
  <c r="N330" i="7941"/>
  <c r="O305" i="7942"/>
  <c r="N379" i="7941"/>
  <c r="Q309" i="7942"/>
  <c r="O307" i="7942"/>
  <c r="N308" i="7942"/>
  <c r="N346" i="7941"/>
  <c r="Q124" i="7942"/>
  <c r="P118" i="7942"/>
  <c r="P128" i="7942"/>
  <c r="N371" i="7941"/>
  <c r="O321" i="7942"/>
  <c r="M326" i="7942"/>
  <c r="M355" i="7941"/>
  <c r="P307" i="7942"/>
  <c r="O308" i="7942"/>
  <c r="O346" i="7941"/>
  <c r="P299" i="7942"/>
  <c r="O300" i="7942"/>
  <c r="O342" i="7941"/>
  <c r="N303" i="7942"/>
  <c r="M268" i="7942"/>
  <c r="L329" i="7942"/>
  <c r="O323" i="7942"/>
  <c r="N324" i="7942"/>
  <c r="N354" i="7941"/>
  <c r="N134" i="7942"/>
  <c r="N150" i="7942"/>
  <c r="N136" i="7942"/>
  <c r="M440" i="18"/>
  <c r="M668" i="18"/>
  <c r="M504" i="18"/>
  <c r="M73" i="7941"/>
  <c r="M454" i="18"/>
  <c r="M682" i="18"/>
  <c r="M518" i="18"/>
  <c r="M87" i="7941"/>
  <c r="L462" i="18"/>
  <c r="L460" i="18"/>
  <c r="P160" i="7942"/>
  <c r="O161" i="7942"/>
  <c r="O289" i="7941"/>
  <c r="P269" i="7942"/>
  <c r="Q317" i="7942"/>
  <c r="N108" i="7942"/>
  <c r="P142" i="7942"/>
  <c r="O143" i="7942"/>
  <c r="O280" i="7941"/>
  <c r="N167" i="7942"/>
  <c r="N292" i="7941"/>
  <c r="Q166" i="7942"/>
  <c r="P148" i="7942"/>
  <c r="O149" i="7942"/>
  <c r="O283" i="7941"/>
  <c r="O379" i="7941"/>
  <c r="P158" i="7942"/>
  <c r="O159" i="7942"/>
  <c r="O288" i="7941"/>
  <c r="P156" i="7942"/>
  <c r="O157" i="7942"/>
  <c r="O287" i="7941"/>
  <c r="O383" i="7941"/>
  <c r="O156" i="7942"/>
  <c r="N157" i="7942"/>
  <c r="N287" i="7941"/>
  <c r="N383" i="7941"/>
  <c r="P140" i="7942"/>
  <c r="O141" i="7942"/>
  <c r="O279" i="7941"/>
  <c r="O375" i="7941"/>
  <c r="M153" i="7942"/>
  <c r="M285" i="7941"/>
  <c r="M381" i="7941"/>
  <c r="Q152" i="7942"/>
  <c r="P152" i="7942"/>
  <c r="O153" i="7942"/>
  <c r="O285" i="7941"/>
  <c r="O381" i="7941"/>
  <c r="M113" i="7942"/>
  <c r="M265" i="7941"/>
  <c r="M361" i="7941"/>
  <c r="Q112" i="7942"/>
  <c r="O279" i="7942"/>
  <c r="N280" i="7942"/>
  <c r="N332" i="7941"/>
  <c r="N364" i="7941"/>
  <c r="M272" i="7942"/>
  <c r="M328" i="7941"/>
  <c r="M360" i="7941"/>
  <c r="P271" i="7942"/>
  <c r="O272" i="7942"/>
  <c r="O328" i="7941"/>
  <c r="O271" i="7942"/>
  <c r="N272" i="7942"/>
  <c r="N328" i="7941"/>
  <c r="Q271" i="7942"/>
  <c r="N302" i="7942"/>
  <c r="N343" i="7941"/>
  <c r="N375" i="7941"/>
  <c r="Q301" i="7942"/>
  <c r="M312" i="7942"/>
  <c r="M348" i="7941"/>
  <c r="P311" i="7942"/>
  <c r="O312" i="7942"/>
  <c r="O348" i="7941"/>
  <c r="O311" i="7942"/>
  <c r="Q293" i="7942"/>
  <c r="P325" i="7942"/>
  <c r="O326" i="7942"/>
  <c r="O355" i="7941"/>
  <c r="Q327" i="7942"/>
  <c r="M288" i="7942"/>
  <c r="M336" i="7941"/>
  <c r="P287" i="7942"/>
  <c r="O288" i="7942"/>
  <c r="O336" i="7941"/>
  <c r="O287" i="7942"/>
  <c r="N288" i="7942"/>
  <c r="N336" i="7941"/>
  <c r="Q287" i="7942"/>
  <c r="O130" i="7942"/>
  <c r="Q160" i="7942"/>
  <c r="O110" i="7942"/>
  <c r="N111" i="7942"/>
  <c r="N264" i="7941"/>
  <c r="N360" i="7941"/>
  <c r="N146" i="7942"/>
  <c r="O120" i="7942"/>
  <c r="N116" i="7942"/>
  <c r="N164" i="7942"/>
  <c r="N154" i="7942"/>
  <c r="Q269" i="7942"/>
  <c r="O281" i="7942"/>
  <c r="P275" i="7942"/>
  <c r="O276" i="7942"/>
  <c r="O330" i="7941"/>
  <c r="N315" i="7942"/>
  <c r="N319" i="7942"/>
  <c r="Q307" i="7942"/>
  <c r="M145" i="7942"/>
  <c r="M281" i="7941"/>
  <c r="M377" i="7941"/>
  <c r="Q144" i="7942"/>
  <c r="P132" i="7942"/>
  <c r="Q313" i="7942"/>
  <c r="M296" i="7942"/>
  <c r="M340" i="7941"/>
  <c r="Q295" i="7942"/>
  <c r="N388" i="7941"/>
  <c r="O273" i="7942"/>
  <c r="N274" i="7942"/>
  <c r="N329" i="7941"/>
  <c r="N283" i="7942"/>
  <c r="P138" i="7942"/>
  <c r="L326" i="7941"/>
  <c r="P305" i="7942"/>
  <c r="O306" i="7942"/>
  <c r="O345" i="7941"/>
  <c r="O377" i="7941"/>
  <c r="N114" i="7942"/>
  <c r="O114" i="7942"/>
  <c r="N115" i="7942"/>
  <c r="N266" i="7941"/>
  <c r="N362" i="7941"/>
  <c r="L677" i="18"/>
  <c r="L513" i="18"/>
  <c r="L82" i="7941"/>
  <c r="L210" i="7941"/>
  <c r="M449" i="18"/>
  <c r="M677" i="18"/>
  <c r="M513" i="18"/>
  <c r="M82" i="7941"/>
  <c r="L671" i="18"/>
  <c r="L507" i="18"/>
  <c r="L76" i="7941"/>
  <c r="M443" i="18"/>
  <c r="M671" i="18"/>
  <c r="M507" i="18"/>
  <c r="M76" i="7941"/>
  <c r="L678" i="18"/>
  <c r="L514" i="18"/>
  <c r="L83" i="7941"/>
  <c r="M450" i="18"/>
  <c r="M678" i="18"/>
  <c r="M514" i="18"/>
  <c r="M83" i="7941"/>
  <c r="L685" i="18"/>
  <c r="L521" i="18"/>
  <c r="L90" i="7941"/>
  <c r="M457" i="18"/>
  <c r="M685" i="18"/>
  <c r="M521" i="18"/>
  <c r="M90" i="7941"/>
  <c r="L673" i="18"/>
  <c r="L509" i="18"/>
  <c r="L78" i="7941"/>
  <c r="M445" i="18"/>
  <c r="M673" i="18"/>
  <c r="M509" i="18"/>
  <c r="M78" i="7941"/>
  <c r="L694" i="18"/>
  <c r="L530" i="18"/>
  <c r="L99" i="7941"/>
  <c r="L227" i="7941"/>
  <c r="M466" i="18"/>
  <c r="M694" i="18"/>
  <c r="M530" i="18"/>
  <c r="M99" i="7941"/>
  <c r="K216" i="7941"/>
  <c r="L24" i="7941"/>
  <c r="L692" i="18"/>
  <c r="L528" i="18"/>
  <c r="L97" i="7941"/>
  <c r="M464" i="18"/>
  <c r="M692" i="18"/>
  <c r="M528" i="18"/>
  <c r="M97" i="7941"/>
  <c r="L690" i="18"/>
  <c r="L526" i="18"/>
  <c r="L95" i="7941"/>
  <c r="L223" i="7941"/>
  <c r="L688" i="18"/>
  <c r="L524" i="18"/>
  <c r="L93" i="7941"/>
  <c r="L221" i="7941"/>
  <c r="J666" i="18"/>
  <c r="J437" i="18"/>
  <c r="I70" i="7941"/>
  <c r="I199" i="7941"/>
  <c r="I198" i="7941"/>
  <c r="J7" i="7941"/>
  <c r="L684" i="18"/>
  <c r="L520" i="18"/>
  <c r="L89" i="7941"/>
  <c r="K219" i="7941"/>
  <c r="L27" i="7941"/>
  <c r="L30" i="7941"/>
  <c r="K222" i="7941"/>
  <c r="L679" i="18"/>
  <c r="L515" i="18"/>
  <c r="L84" i="7941"/>
  <c r="L212" i="7941"/>
  <c r="L204" i="7941"/>
  <c r="L680" i="18"/>
  <c r="L516" i="18"/>
  <c r="L85" i="7941"/>
  <c r="L213" i="7941"/>
  <c r="L448" i="18"/>
  <c r="L439" i="18"/>
  <c r="M446" i="18"/>
  <c r="M674" i="18"/>
  <c r="M510" i="18"/>
  <c r="M79" i="7941"/>
  <c r="L19" i="7941"/>
  <c r="L211" i="7941"/>
  <c r="K211" i="7941"/>
  <c r="L26" i="7941"/>
  <c r="L218" i="7941"/>
  <c r="K218" i="7941"/>
  <c r="L14" i="7941"/>
  <c r="L206" i="7941"/>
  <c r="K206" i="7941"/>
  <c r="L455" i="18"/>
  <c r="L669" i="18"/>
  <c r="L505" i="18"/>
  <c r="L74" i="7941"/>
  <c r="L202" i="7941"/>
  <c r="L225" i="7941"/>
  <c r="M444" i="18"/>
  <c r="M672" i="18"/>
  <c r="M508" i="18"/>
  <c r="M77" i="7941"/>
  <c r="M442" i="18"/>
  <c r="M670" i="18"/>
  <c r="M506" i="18"/>
  <c r="M75" i="7941"/>
  <c r="L25" i="7941"/>
  <c r="K217" i="7941"/>
  <c r="L447" i="18"/>
  <c r="L458" i="18"/>
  <c r="L461" i="18"/>
  <c r="M284" i="7942"/>
  <c r="M334" i="7941"/>
  <c r="M366" i="7941"/>
  <c r="O133" i="7942"/>
  <c r="O275" i="7941"/>
  <c r="O371" i="7941"/>
  <c r="Q132" i="7942"/>
  <c r="M320" i="7942"/>
  <c r="M352" i="7941"/>
  <c r="M384" i="7941"/>
  <c r="O319" i="7942"/>
  <c r="O283" i="7942"/>
  <c r="N284" i="7942"/>
  <c r="N334" i="7941"/>
  <c r="N366" i="7941"/>
  <c r="M316" i="7942"/>
  <c r="M350" i="7941"/>
  <c r="P273" i="7942"/>
  <c r="O274" i="7942"/>
  <c r="O329" i="7941"/>
  <c r="M155" i="7942"/>
  <c r="M286" i="7941"/>
  <c r="M382" i="7941"/>
  <c r="O154" i="7942"/>
  <c r="M117" i="7942"/>
  <c r="M267" i="7941"/>
  <c r="M363" i="7941"/>
  <c r="O116" i="7942"/>
  <c r="M147" i="7942"/>
  <c r="M282" i="7941"/>
  <c r="M378" i="7941"/>
  <c r="O146" i="7942"/>
  <c r="P161" i="7942"/>
  <c r="P289" i="7941"/>
  <c r="Q161" i="7942"/>
  <c r="Q289" i="7941"/>
  <c r="Q288" i="7942"/>
  <c r="Q336" i="7941"/>
  <c r="P288" i="7942"/>
  <c r="P336" i="7941"/>
  <c r="P328" i="7942"/>
  <c r="P356" i="7941"/>
  <c r="Q328" i="7942"/>
  <c r="Q356" i="7941"/>
  <c r="Q294" i="7942"/>
  <c r="Q339" i="7941"/>
  <c r="P294" i="7942"/>
  <c r="P339" i="7941"/>
  <c r="Q302" i="7942"/>
  <c r="Q343" i="7941"/>
  <c r="P302" i="7942"/>
  <c r="P343" i="7941"/>
  <c r="Q272" i="7942"/>
  <c r="Q328" i="7941"/>
  <c r="P272" i="7942"/>
  <c r="P328" i="7941"/>
  <c r="Q153" i="7942"/>
  <c r="Q285" i="7941"/>
  <c r="P153" i="7942"/>
  <c r="P285" i="7941"/>
  <c r="M109" i="7942"/>
  <c r="M263" i="7941"/>
  <c r="N107" i="7942"/>
  <c r="M168" i="7942"/>
  <c r="O108" i="7942"/>
  <c r="Q318" i="7942"/>
  <c r="Q351" i="7941"/>
  <c r="P318" i="7942"/>
  <c r="P351" i="7941"/>
  <c r="O270" i="7942"/>
  <c r="O327" i="7941"/>
  <c r="M137" i="7942"/>
  <c r="M277" i="7941"/>
  <c r="M373" i="7941"/>
  <c r="O136" i="7942"/>
  <c r="N137" i="7942"/>
  <c r="N277" i="7941"/>
  <c r="N373" i="7941"/>
  <c r="P136" i="7942"/>
  <c r="O137" i="7942"/>
  <c r="O277" i="7941"/>
  <c r="O373" i="7941"/>
  <c r="M135" i="7942"/>
  <c r="M276" i="7941"/>
  <c r="M372" i="7941"/>
  <c r="O134" i="7942"/>
  <c r="M304" i="7942"/>
  <c r="M344" i="7941"/>
  <c r="M376" i="7941"/>
  <c r="O303" i="7942"/>
  <c r="O119" i="7942"/>
  <c r="O268" i="7941"/>
  <c r="Q118" i="7942"/>
  <c r="Q125" i="7942"/>
  <c r="Q271" i="7941"/>
  <c r="P125" i="7942"/>
  <c r="P271" i="7941"/>
  <c r="Q273" i="7942"/>
  <c r="N270" i="7942"/>
  <c r="N327" i="7941"/>
  <c r="N163" i="7942"/>
  <c r="N290" i="7941"/>
  <c r="N386" i="7941"/>
  <c r="P162" i="7942"/>
  <c r="M127" i="7942"/>
  <c r="M272" i="7941"/>
  <c r="M368" i="7941"/>
  <c r="O126" i="7942"/>
  <c r="Q277" i="7942"/>
  <c r="O361" i="7941"/>
  <c r="Q140" i="7942"/>
  <c r="M364" i="7941"/>
  <c r="Q142" i="7942"/>
  <c r="M326" i="7941"/>
  <c r="L217" i="7941"/>
  <c r="M441" i="18"/>
  <c r="M669" i="18"/>
  <c r="M505" i="18"/>
  <c r="M74" i="7941"/>
  <c r="M452" i="18"/>
  <c r="M680" i="18"/>
  <c r="M516" i="18"/>
  <c r="M85" i="7941"/>
  <c r="M115" i="7942"/>
  <c r="M266" i="7941"/>
  <c r="M362" i="7941"/>
  <c r="P114" i="7942"/>
  <c r="O115" i="7942"/>
  <c r="O266" i="7941"/>
  <c r="O362" i="7941"/>
  <c r="Q114" i="7942"/>
  <c r="O139" i="7942"/>
  <c r="O278" i="7941"/>
  <c r="O374" i="7941"/>
  <c r="Q138" i="7942"/>
  <c r="P296" i="7942"/>
  <c r="P340" i="7941"/>
  <c r="Q296" i="7942"/>
  <c r="Q340" i="7941"/>
  <c r="Q314" i="7942"/>
  <c r="Q349" i="7941"/>
  <c r="P314" i="7942"/>
  <c r="P349" i="7941"/>
  <c r="Q145" i="7942"/>
  <c r="Q281" i="7941"/>
  <c r="P145" i="7942"/>
  <c r="P281" i="7941"/>
  <c r="P308" i="7942"/>
  <c r="P346" i="7941"/>
  <c r="Q308" i="7942"/>
  <c r="Q346" i="7941"/>
  <c r="N282" i="7942"/>
  <c r="N333" i="7941"/>
  <c r="P281" i="7942"/>
  <c r="O282" i="7942"/>
  <c r="O333" i="7941"/>
  <c r="Q270" i="7942"/>
  <c r="Q327" i="7941"/>
  <c r="P270" i="7942"/>
  <c r="P327" i="7941"/>
  <c r="M165" i="7942"/>
  <c r="M291" i="7941"/>
  <c r="M387" i="7941"/>
  <c r="O164" i="7942"/>
  <c r="N165" i="7942"/>
  <c r="N291" i="7941"/>
  <c r="N387" i="7941"/>
  <c r="N121" i="7942"/>
  <c r="N269" i="7941"/>
  <c r="P120" i="7942"/>
  <c r="N131" i="7942"/>
  <c r="N274" i="7941"/>
  <c r="N370" i="7941"/>
  <c r="N312" i="7942"/>
  <c r="N348" i="7941"/>
  <c r="N380" i="7941"/>
  <c r="Q311" i="7942"/>
  <c r="Q113" i="7942"/>
  <c r="Q265" i="7941"/>
  <c r="P113" i="7942"/>
  <c r="P265" i="7941"/>
  <c r="Q167" i="7942"/>
  <c r="Q292" i="7941"/>
  <c r="Q388" i="7941"/>
  <c r="P167" i="7942"/>
  <c r="P292" i="7941"/>
  <c r="Q275" i="7942"/>
  <c r="M151" i="7942"/>
  <c r="M284" i="7941"/>
  <c r="M380" i="7941"/>
  <c r="O150" i="7942"/>
  <c r="N151" i="7942"/>
  <c r="N284" i="7941"/>
  <c r="O315" i="7942"/>
  <c r="N316" i="7942"/>
  <c r="N350" i="7941"/>
  <c r="Q325" i="7942"/>
  <c r="N322" i="7942"/>
  <c r="N353" i="7941"/>
  <c r="N385" i="7941"/>
  <c r="P321" i="7942"/>
  <c r="O129" i="7942"/>
  <c r="O273" i="7941"/>
  <c r="O369" i="7941"/>
  <c r="Q128" i="7942"/>
  <c r="Q148" i="7942"/>
  <c r="Q310" i="7942"/>
  <c r="Q347" i="7941"/>
  <c r="P310" i="7942"/>
  <c r="P347" i="7941"/>
  <c r="N306" i="7942"/>
  <c r="N345" i="7941"/>
  <c r="N377" i="7941"/>
  <c r="Q305" i="7942"/>
  <c r="P323" i="7942"/>
  <c r="O286" i="7942"/>
  <c r="O335" i="7941"/>
  <c r="O367" i="7941"/>
  <c r="Q285" i="7942"/>
  <c r="Q299" i="7942"/>
  <c r="P110" i="7942"/>
  <c r="P130" i="7942"/>
  <c r="O131" i="7942"/>
  <c r="O274" i="7941"/>
  <c r="O370" i="7941"/>
  <c r="Q289" i="7942"/>
  <c r="P279" i="7942"/>
  <c r="O280" i="7942"/>
  <c r="O332" i="7941"/>
  <c r="N361" i="7941"/>
  <c r="Q156" i="7942"/>
  <c r="Q158" i="7942"/>
  <c r="N268" i="7942"/>
  <c r="M329" i="7942"/>
  <c r="L686" i="18"/>
  <c r="L522" i="18"/>
  <c r="L91" i="7941"/>
  <c r="L219" i="7941"/>
  <c r="L676" i="18"/>
  <c r="L512" i="18"/>
  <c r="L81" i="7941"/>
  <c r="L209" i="7941"/>
  <c r="M451" i="18"/>
  <c r="M679" i="18"/>
  <c r="M515" i="18"/>
  <c r="M84" i="7941"/>
  <c r="M456" i="18"/>
  <c r="M684" i="18"/>
  <c r="M520" i="18"/>
  <c r="M89" i="7941"/>
  <c r="J6" i="7941"/>
  <c r="M460" i="18"/>
  <c r="M688" i="18"/>
  <c r="M524" i="18"/>
  <c r="M93" i="7941"/>
  <c r="M462" i="18"/>
  <c r="M690" i="18"/>
  <c r="M526" i="18"/>
  <c r="M95" i="7941"/>
  <c r="L689" i="18"/>
  <c r="L525" i="18"/>
  <c r="L94" i="7941"/>
  <c r="L222" i="7941"/>
  <c r="L675" i="18"/>
  <c r="L511" i="18"/>
  <c r="L80" i="7941"/>
  <c r="L208" i="7941"/>
  <c r="L683" i="18"/>
  <c r="L519" i="18"/>
  <c r="L88" i="7941"/>
  <c r="M455" i="18"/>
  <c r="M683" i="18"/>
  <c r="M519" i="18"/>
  <c r="M88" i="7941"/>
  <c r="L667" i="18"/>
  <c r="L503" i="18"/>
  <c r="L72" i="7941"/>
  <c r="L200" i="7941"/>
  <c r="J665" i="18"/>
  <c r="J502" i="18"/>
  <c r="L216" i="7941"/>
  <c r="Q157" i="7942"/>
  <c r="Q287" i="7941"/>
  <c r="Q383" i="7941"/>
  <c r="P157" i="7942"/>
  <c r="P287" i="7941"/>
  <c r="P383" i="7941"/>
  <c r="P290" i="7942"/>
  <c r="P337" i="7941"/>
  <c r="Q290" i="7942"/>
  <c r="Q337" i="7941"/>
  <c r="O111" i="7942"/>
  <c r="O264" i="7941"/>
  <c r="O360" i="7941"/>
  <c r="Q110" i="7942"/>
  <c r="Q286" i="7942"/>
  <c r="Q335" i="7941"/>
  <c r="P286" i="7942"/>
  <c r="P335" i="7941"/>
  <c r="P367" i="7941"/>
  <c r="O324" i="7942"/>
  <c r="O354" i="7941"/>
  <c r="Q323" i="7942"/>
  <c r="Q149" i="7942"/>
  <c r="Q283" i="7941"/>
  <c r="Q379" i="7941"/>
  <c r="P149" i="7942"/>
  <c r="P283" i="7941"/>
  <c r="P379" i="7941"/>
  <c r="Q276" i="7942"/>
  <c r="Q330" i="7941"/>
  <c r="P276" i="7942"/>
  <c r="P330" i="7941"/>
  <c r="Q130" i="7942"/>
  <c r="O121" i="7942"/>
  <c r="O269" i="7941"/>
  <c r="O365" i="7941"/>
  <c r="Q120" i="7942"/>
  <c r="Q139" i="7942"/>
  <c r="Q278" i="7941"/>
  <c r="P139" i="7942"/>
  <c r="P278" i="7941"/>
  <c r="P115" i="7942"/>
  <c r="P266" i="7941"/>
  <c r="P362" i="7941"/>
  <c r="Q115" i="7942"/>
  <c r="Q266" i="7941"/>
  <c r="Q362" i="7941"/>
  <c r="P143" i="7942"/>
  <c r="P280" i="7941"/>
  <c r="Q143" i="7942"/>
  <c r="Q280" i="7941"/>
  <c r="Q279" i="7942"/>
  <c r="N127" i="7942"/>
  <c r="N272" i="7941"/>
  <c r="N368" i="7941"/>
  <c r="P126" i="7942"/>
  <c r="O163" i="7942"/>
  <c r="O290" i="7941"/>
  <c r="O386" i="7941"/>
  <c r="Q162" i="7942"/>
  <c r="O268" i="7942"/>
  <c r="N329" i="7942"/>
  <c r="P274" i="7942"/>
  <c r="P329" i="7941"/>
  <c r="Q274" i="7942"/>
  <c r="Q329" i="7941"/>
  <c r="Q361" i="7941"/>
  <c r="Q119" i="7942"/>
  <c r="Q268" i="7941"/>
  <c r="P119" i="7942"/>
  <c r="P268" i="7941"/>
  <c r="N304" i="7942"/>
  <c r="N344" i="7941"/>
  <c r="N376" i="7941"/>
  <c r="P381" i="7941"/>
  <c r="P315" i="7942"/>
  <c r="P283" i="7942"/>
  <c r="O284" i="7942"/>
  <c r="O334" i="7941"/>
  <c r="O366" i="7941"/>
  <c r="Q159" i="7942"/>
  <c r="Q288" i="7941"/>
  <c r="P159" i="7942"/>
  <c r="P288" i="7941"/>
  <c r="Q300" i="7942"/>
  <c r="Q342" i="7941"/>
  <c r="P300" i="7942"/>
  <c r="P342" i="7941"/>
  <c r="P374" i="7941"/>
  <c r="Q306" i="7942"/>
  <c r="Q345" i="7941"/>
  <c r="P306" i="7942"/>
  <c r="P345" i="7941"/>
  <c r="P377" i="7941"/>
  <c r="Q129" i="7942"/>
  <c r="Q273" i="7941"/>
  <c r="Q369" i="7941"/>
  <c r="P129" i="7942"/>
  <c r="P273" i="7941"/>
  <c r="P369" i="7941"/>
  <c r="O322" i="7942"/>
  <c r="O353" i="7941"/>
  <c r="O385" i="7941"/>
  <c r="Q321" i="7942"/>
  <c r="Q326" i="7942"/>
  <c r="Q355" i="7941"/>
  <c r="P326" i="7942"/>
  <c r="P355" i="7941"/>
  <c r="P150" i="7942"/>
  <c r="P361" i="7941"/>
  <c r="Q312" i="7942"/>
  <c r="Q348" i="7941"/>
  <c r="P312" i="7942"/>
  <c r="P348" i="7941"/>
  <c r="N365" i="7941"/>
  <c r="P164" i="7942"/>
  <c r="Q281" i="7942"/>
  <c r="Q377" i="7941"/>
  <c r="P141" i="7942"/>
  <c r="P279" i="7941"/>
  <c r="P375" i="7941"/>
  <c r="Q141" i="7942"/>
  <c r="Q279" i="7941"/>
  <c r="Q375" i="7941"/>
  <c r="Q278" i="7942"/>
  <c r="Q331" i="7941"/>
  <c r="P278" i="7942"/>
  <c r="P331" i="7941"/>
  <c r="Q367" i="7941"/>
  <c r="O364" i="7941"/>
  <c r="P303" i="7942"/>
  <c r="O304" i="7942"/>
  <c r="O344" i="7941"/>
  <c r="O376" i="7941"/>
  <c r="N135" i="7942"/>
  <c r="N276" i="7941"/>
  <c r="N372" i="7941"/>
  <c r="P134" i="7942"/>
  <c r="Q136" i="7942"/>
  <c r="N109" i="7942"/>
  <c r="N263" i="7941"/>
  <c r="O107" i="7942"/>
  <c r="N168" i="7942"/>
  <c r="P108" i="7942"/>
  <c r="M359" i="7941"/>
  <c r="M358" i="7941"/>
  <c r="M262" i="7941"/>
  <c r="Q381" i="7941"/>
  <c r="P388" i="7941"/>
  <c r="N147" i="7942"/>
  <c r="N282" i="7941"/>
  <c r="N378" i="7941"/>
  <c r="P146" i="7942"/>
  <c r="N117" i="7942"/>
  <c r="N267" i="7941"/>
  <c r="N363" i="7941"/>
  <c r="P116" i="7942"/>
  <c r="N155" i="7942"/>
  <c r="N286" i="7941"/>
  <c r="N382" i="7941"/>
  <c r="P154" i="7942"/>
  <c r="N320" i="7942"/>
  <c r="N352" i="7941"/>
  <c r="N384" i="7941"/>
  <c r="P319" i="7942"/>
  <c r="Q133" i="7942"/>
  <c r="Q275" i="7941"/>
  <c r="Q371" i="7941"/>
  <c r="P133" i="7942"/>
  <c r="P275" i="7941"/>
  <c r="P371" i="7941"/>
  <c r="Q283" i="7942"/>
  <c r="J71" i="7941"/>
  <c r="J501" i="18"/>
  <c r="K438" i="18"/>
  <c r="M439" i="18"/>
  <c r="M667" i="18"/>
  <c r="M503" i="18"/>
  <c r="M72" i="7941"/>
  <c r="M447" i="18"/>
  <c r="M675" i="18"/>
  <c r="M511" i="18"/>
  <c r="M80" i="7941"/>
  <c r="M461" i="18"/>
  <c r="M689" i="18"/>
  <c r="M525" i="18"/>
  <c r="M94" i="7941"/>
  <c r="M448" i="18"/>
  <c r="M676" i="18"/>
  <c r="M512" i="18"/>
  <c r="M81" i="7941"/>
  <c r="M458" i="18"/>
  <c r="M686" i="18"/>
  <c r="M522" i="18"/>
  <c r="M91" i="7941"/>
  <c r="O320" i="7942"/>
  <c r="O352" i="7941"/>
  <c r="O384" i="7941"/>
  <c r="Q319" i="7942"/>
  <c r="O155" i="7942"/>
  <c r="O286" i="7941"/>
  <c r="Q154" i="7942"/>
  <c r="O117" i="7942"/>
  <c r="O267" i="7941"/>
  <c r="O363" i="7941"/>
  <c r="Q116" i="7942"/>
  <c r="O147" i="7942"/>
  <c r="O282" i="7941"/>
  <c r="O378" i="7941"/>
  <c r="Q146" i="7942"/>
  <c r="P268" i="7942"/>
  <c r="O329" i="7942"/>
  <c r="O135" i="7942"/>
  <c r="O276" i="7941"/>
  <c r="O372" i="7941"/>
  <c r="Q134" i="7942"/>
  <c r="O165" i="7942"/>
  <c r="O291" i="7941"/>
  <c r="O387" i="7941"/>
  <c r="Q164" i="7942"/>
  <c r="Q322" i="7942"/>
  <c r="Q353" i="7941"/>
  <c r="Q385" i="7941"/>
  <c r="P322" i="7942"/>
  <c r="P353" i="7941"/>
  <c r="P385" i="7941"/>
  <c r="Q303" i="7942"/>
  <c r="Q121" i="7942"/>
  <c r="Q269" i="7941"/>
  <c r="P121" i="7942"/>
  <c r="P269" i="7941"/>
  <c r="Q131" i="7942"/>
  <c r="Q274" i="7941"/>
  <c r="Q370" i="7941"/>
  <c r="P131" i="7942"/>
  <c r="P274" i="7941"/>
  <c r="P370" i="7941"/>
  <c r="Q324" i="7942"/>
  <c r="Q354" i="7941"/>
  <c r="P324" i="7942"/>
  <c r="P354" i="7941"/>
  <c r="Q111" i="7942"/>
  <c r="Q264" i="7941"/>
  <c r="Q360" i="7941"/>
  <c r="P111" i="7942"/>
  <c r="P264" i="7941"/>
  <c r="P360" i="7941"/>
  <c r="P284" i="7942"/>
  <c r="P334" i="7941"/>
  <c r="P366" i="7941"/>
  <c r="Q284" i="7942"/>
  <c r="Q334" i="7941"/>
  <c r="Q366" i="7941"/>
  <c r="P107" i="7942"/>
  <c r="O168" i="7942"/>
  <c r="O109" i="7942"/>
  <c r="O263" i="7941"/>
  <c r="Q108" i="7942"/>
  <c r="N359" i="7941"/>
  <c r="N358" i="7941"/>
  <c r="N262" i="7941"/>
  <c r="Q137" i="7942"/>
  <c r="Q277" i="7941"/>
  <c r="Q373" i="7941"/>
  <c r="P137" i="7942"/>
  <c r="P277" i="7941"/>
  <c r="P373" i="7941"/>
  <c r="N326" i="7941"/>
  <c r="Q282" i="7942"/>
  <c r="Q333" i="7941"/>
  <c r="P282" i="7942"/>
  <c r="P333" i="7941"/>
  <c r="Q268" i="7942"/>
  <c r="O151" i="7942"/>
  <c r="O284" i="7941"/>
  <c r="O380" i="7941"/>
  <c r="Q150" i="7942"/>
  <c r="O316" i="7942"/>
  <c r="O350" i="7941"/>
  <c r="Q315" i="7942"/>
  <c r="O326" i="7941"/>
  <c r="Q163" i="7942"/>
  <c r="Q290" i="7941"/>
  <c r="Q386" i="7941"/>
  <c r="P163" i="7942"/>
  <c r="P290" i="7941"/>
  <c r="P386" i="7941"/>
  <c r="O127" i="7942"/>
  <c r="O272" i="7941"/>
  <c r="O368" i="7941"/>
  <c r="Q126" i="7942"/>
  <c r="Q280" i="7942"/>
  <c r="Q332" i="7941"/>
  <c r="P280" i="7942"/>
  <c r="P332" i="7941"/>
  <c r="P364" i="7941"/>
  <c r="Q374" i="7941"/>
  <c r="K666" i="18"/>
  <c r="K437" i="18"/>
  <c r="J70" i="7941"/>
  <c r="J199" i="7941"/>
  <c r="J198" i="7941"/>
  <c r="K7" i="7941"/>
  <c r="P151" i="7942"/>
  <c r="P284" i="7941"/>
  <c r="P380" i="7941"/>
  <c r="Q151" i="7942"/>
  <c r="Q284" i="7941"/>
  <c r="Q380" i="7941"/>
  <c r="Q329" i="7942"/>
  <c r="P329" i="7942"/>
  <c r="P109" i="7942"/>
  <c r="P263" i="7941"/>
  <c r="Q109" i="7942"/>
  <c r="Q263" i="7941"/>
  <c r="Q107" i="7942"/>
  <c r="Q365" i="7941"/>
  <c r="Q304" i="7942"/>
  <c r="Q344" i="7941"/>
  <c r="Q376" i="7941"/>
  <c r="P304" i="7942"/>
  <c r="P344" i="7941"/>
  <c r="P376" i="7941"/>
  <c r="Q165" i="7942"/>
  <c r="Q291" i="7941"/>
  <c r="Q387" i="7941"/>
  <c r="P165" i="7942"/>
  <c r="P291" i="7941"/>
  <c r="P387" i="7941"/>
  <c r="P135" i="7942"/>
  <c r="P276" i="7941"/>
  <c r="P372" i="7941"/>
  <c r="Q135" i="7942"/>
  <c r="Q276" i="7941"/>
  <c r="Q372" i="7941"/>
  <c r="O382" i="7941"/>
  <c r="Q127" i="7942"/>
  <c r="Q272" i="7941"/>
  <c r="Q368" i="7941"/>
  <c r="P127" i="7942"/>
  <c r="P272" i="7941"/>
  <c r="P368" i="7941"/>
  <c r="Q364" i="7941"/>
  <c r="Q316" i="7942"/>
  <c r="Q350" i="7941"/>
  <c r="P316" i="7942"/>
  <c r="P350" i="7941"/>
  <c r="O262" i="7941"/>
  <c r="O359" i="7941"/>
  <c r="P365" i="7941"/>
  <c r="Q147" i="7942"/>
  <c r="Q282" i="7941"/>
  <c r="Q378" i="7941"/>
  <c r="P147" i="7942"/>
  <c r="P282" i="7941"/>
  <c r="P378" i="7941"/>
  <c r="P117" i="7942"/>
  <c r="P267" i="7941"/>
  <c r="P363" i="7941"/>
  <c r="Q117" i="7942"/>
  <c r="Q267" i="7941"/>
  <c r="Q363" i="7941"/>
  <c r="Q155" i="7942"/>
  <c r="Q286" i="7941"/>
  <c r="P155" i="7942"/>
  <c r="P286" i="7941"/>
  <c r="P382" i="7941"/>
  <c r="P320" i="7942"/>
  <c r="P352" i="7941"/>
  <c r="P384" i="7941"/>
  <c r="Q320" i="7942"/>
  <c r="Q352" i="7941"/>
  <c r="Q384" i="7941"/>
  <c r="P326" i="7941"/>
  <c r="K6" i="7941"/>
  <c r="K665" i="18"/>
  <c r="K502" i="18"/>
  <c r="P168" i="7942"/>
  <c r="Q168" i="7942"/>
  <c r="P359" i="7941"/>
  <c r="P358" i="7941"/>
  <c r="P262" i="7941"/>
  <c r="Q382" i="7941"/>
  <c r="O358" i="7941"/>
  <c r="Q262" i="7941"/>
  <c r="Q359" i="7941"/>
  <c r="Q358" i="7941"/>
  <c r="Q326" i="7941"/>
  <c r="K71" i="7941"/>
  <c r="K501" i="18"/>
  <c r="L438" i="18"/>
  <c r="L666" i="18"/>
  <c r="L437" i="18"/>
  <c r="K70" i="7941"/>
  <c r="L7" i="7941"/>
  <c r="K199" i="7941"/>
  <c r="K198" i="7941"/>
  <c r="L6" i="7941"/>
  <c r="L665" i="18"/>
  <c r="L502" i="18"/>
  <c r="L71" i="7941"/>
  <c r="L501" i="18"/>
  <c r="M438" i="18"/>
  <c r="M437" i="18"/>
  <c r="M666" i="18"/>
  <c r="L70" i="7941"/>
  <c r="L199" i="7941"/>
  <c r="L198" i="7941"/>
  <c r="M502" i="18"/>
  <c r="M665" i="18"/>
  <c r="M71" i="7941"/>
  <c r="M70" i="7941"/>
  <c r="M501" i="18"/>
  <c r="L306" i="7941"/>
  <c r="L250" i="7941"/>
  <c r="L314" i="7941"/>
  <c r="L242" i="7941"/>
  <c r="L244" i="7941"/>
  <c r="L247" i="7941"/>
  <c r="L324" i="7941"/>
  <c r="L251" i="7941"/>
  <c r="L305" i="7941"/>
  <c r="L260" i="7941"/>
  <c r="L302" i="7941"/>
  <c r="L319" i="7941"/>
  <c r="L320" i="7941"/>
  <c r="L256" i="7941"/>
  <c r="L258" i="7941"/>
  <c r="L240" i="7941"/>
  <c r="L236" i="7941"/>
  <c r="L246" i="7941"/>
  <c r="L295" i="7941"/>
  <c r="L301" i="7941"/>
  <c r="L313" i="7941"/>
  <c r="L239" i="7941"/>
  <c r="L238" i="7941"/>
  <c r="L366" i="7941"/>
  <c r="R366" i="7941"/>
  <c r="L304" i="7941"/>
  <c r="L253" i="7941"/>
  <c r="L252" i="7941"/>
  <c r="L248" i="7941"/>
  <c r="L312" i="7941"/>
  <c r="L297" i="7941"/>
  <c r="L311" i="7941"/>
  <c r="L257" i="7941"/>
  <c r="L255" i="7941"/>
  <c r="L383" i="7941"/>
  <c r="R383" i="7941"/>
  <c r="L241" i="7941"/>
  <c r="L369" i="7941"/>
  <c r="R369" i="7941"/>
  <c r="L232" i="7941"/>
  <c r="L323" i="7941"/>
  <c r="L296" i="7941"/>
  <c r="L317" i="7941"/>
  <c r="L234" i="7941"/>
  <c r="L307" i="7941"/>
  <c r="L245" i="7941"/>
  <c r="L318" i="7941"/>
  <c r="L316" i="7941"/>
  <c r="L303" i="7941"/>
  <c r="L254" i="7941"/>
  <c r="L315" i="7941"/>
  <c r="L298" i="7941"/>
  <c r="L309" i="7941"/>
  <c r="L237" i="7941"/>
  <c r="L365" i="7941"/>
  <c r="R365" i="7941"/>
  <c r="L249" i="7941"/>
  <c r="L377" i="7941"/>
  <c r="R377" i="7941"/>
  <c r="L299" i="7941"/>
  <c r="L321" i="7941"/>
  <c r="L231" i="7941"/>
  <c r="L300" i="7941"/>
  <c r="L235" i="7941"/>
  <c r="L363" i="7941"/>
  <c r="R363" i="7941"/>
  <c r="L259" i="7941"/>
  <c r="L387" i="7941"/>
  <c r="L322" i="7941"/>
  <c r="L310" i="7941"/>
  <c r="L308" i="7941"/>
  <c r="L243" i="7941"/>
  <c r="L371" i="7941"/>
  <c r="R371" i="7941"/>
  <c r="L233" i="7941"/>
  <c r="L361" i="7941"/>
  <c r="R361" i="7941"/>
  <c r="L382" i="7941"/>
  <c r="L373" i="7941"/>
  <c r="R373" i="7941"/>
  <c r="L367" i="7941"/>
  <c r="R367" i="7941"/>
  <c r="L384" i="7941"/>
  <c r="R384" i="7941"/>
  <c r="L388" i="7941"/>
  <c r="L370" i="7941"/>
  <c r="L378" i="7941"/>
  <c r="L230" i="7941"/>
  <c r="L359" i="7941"/>
  <c r="L362" i="7941"/>
  <c r="R362" i="7941"/>
  <c r="L360" i="7941"/>
  <c r="R360" i="7941"/>
  <c r="L380" i="7941"/>
  <c r="L374" i="7941"/>
  <c r="R374" i="7941"/>
  <c r="L368" i="7941"/>
  <c r="R368" i="7941"/>
  <c r="L379" i="7941"/>
  <c r="R379" i="7941"/>
  <c r="L375" i="7941"/>
  <c r="R375" i="7941"/>
  <c r="L385" i="7941"/>
  <c r="R385" i="7941"/>
  <c r="L376" i="7941"/>
  <c r="R376" i="7941"/>
  <c r="L381" i="7941"/>
  <c r="R381" i="7941"/>
  <c r="L294" i="7941"/>
  <c r="L364" i="7941"/>
  <c r="R364" i="7941"/>
  <c r="L386" i="7941"/>
  <c r="R386" i="7941"/>
  <c r="L372" i="7941"/>
  <c r="R372" i="7941"/>
  <c r="R359" i="7941"/>
  <c r="L358" i="7941"/>
  <c r="R358" i="7941"/>
  <c r="P7" i="7944"/>
  <c r="R7" i="7944"/>
  <c r="N7" i="7944"/>
  <c r="J72" i="7945"/>
  <c r="K72" i="7945" s="1"/>
  <c r="I86" i="7945"/>
  <c r="J86" i="7945" s="1"/>
  <c r="K86" i="7945" s="1"/>
  <c r="O7" i="7944"/>
  <c r="D56" i="7945"/>
  <c r="D70" i="7945" s="1"/>
  <c r="E42" i="7945"/>
  <c r="F42" i="7945" s="1"/>
  <c r="I67" i="7945"/>
  <c r="J53" i="7945"/>
  <c r="K53" i="7945" s="1"/>
  <c r="E26" i="7945"/>
  <c r="J52" i="7945"/>
  <c r="K52" i="7945" s="1"/>
  <c r="J58" i="7945"/>
  <c r="K58" i="7945" s="1"/>
  <c r="I43" i="7945"/>
  <c r="D68" i="7945"/>
  <c r="J45" i="7945"/>
  <c r="K45" i="7945" s="1"/>
  <c r="Q7" i="7944"/>
  <c r="D220" i="7945"/>
  <c r="E206" i="7945"/>
  <c r="F206" i="7945" s="1"/>
  <c r="D46" i="7945"/>
  <c r="E46" i="7945" s="1"/>
  <c r="E32" i="7945"/>
  <c r="F32" i="7945" s="1"/>
  <c r="D41" i="7945"/>
  <c r="E27" i="7945"/>
  <c r="F27" i="7945" s="1"/>
  <c r="D39" i="7945"/>
  <c r="D53" i="7945" s="1"/>
  <c r="D67" i="7945" s="1"/>
  <c r="D81" i="7945" s="1"/>
  <c r="D95" i="7945" s="1"/>
  <c r="D109" i="7945" s="1"/>
  <c r="D123" i="7945" s="1"/>
  <c r="D137" i="7945" s="1"/>
  <c r="E25" i="7945"/>
  <c r="F25" i="7945" s="1"/>
  <c r="I42" i="7945"/>
  <c r="J28" i="7945"/>
  <c r="K28" i="7945" s="1"/>
  <c r="I55" i="7945"/>
  <c r="I69" i="7945" s="1"/>
  <c r="J41" i="7945"/>
  <c r="K41" i="7945" s="1"/>
  <c r="J19" i="7945"/>
  <c r="I74" i="7945"/>
  <c r="J60" i="7945"/>
  <c r="K60" i="7945" s="1"/>
  <c r="J96" i="7945"/>
  <c r="K96" i="7945" s="1"/>
  <c r="I110" i="7945"/>
  <c r="I81" i="7945"/>
  <c r="J67" i="7945"/>
  <c r="K67" i="7945" s="1"/>
  <c r="I73" i="7945"/>
  <c r="J55" i="7945"/>
  <c r="K55" i="7945" s="1"/>
  <c r="D82" i="7945"/>
  <c r="E68" i="7945"/>
  <c r="F68" i="7945" s="1"/>
  <c r="I56" i="7945"/>
  <c r="J42" i="7945"/>
  <c r="E39" i="7945"/>
  <c r="F39" i="7945" s="1"/>
  <c r="E41" i="7945"/>
  <c r="F41" i="7945" s="1"/>
  <c r="D55" i="7945"/>
  <c r="D60" i="7945"/>
  <c r="E60" i="7945" s="1"/>
  <c r="F60" i="7945" s="1"/>
  <c r="F46" i="7945"/>
  <c r="D234" i="7945"/>
  <c r="E220" i="7945"/>
  <c r="F220" i="7945" s="1"/>
  <c r="J43" i="7945"/>
  <c r="K43" i="7945" s="1"/>
  <c r="I57" i="7945"/>
  <c r="E56" i="7945"/>
  <c r="F56" i="7945" s="1"/>
  <c r="I83" i="7945"/>
  <c r="J69" i="7945"/>
  <c r="K69" i="7945" s="1"/>
  <c r="I95" i="7945"/>
  <c r="J81" i="7945"/>
  <c r="K81" i="7945" s="1"/>
  <c r="J74" i="7945"/>
  <c r="K74" i="7945" s="1"/>
  <c r="I88" i="7945"/>
  <c r="J73" i="7945"/>
  <c r="K73" i="7945" s="1"/>
  <c r="I87" i="7945"/>
  <c r="J110" i="7945"/>
  <c r="K110" i="7945" s="1"/>
  <c r="I124" i="7945"/>
  <c r="J57" i="7945"/>
  <c r="K57" i="7945" s="1"/>
  <c r="I71" i="7945"/>
  <c r="D69" i="7945"/>
  <c r="D83" i="7945" s="1"/>
  <c r="D97" i="7945" s="1"/>
  <c r="E97" i="7945" s="1"/>
  <c r="F97" i="7945" s="1"/>
  <c r="E55" i="7945"/>
  <c r="F55" i="7945" s="1"/>
  <c r="K42" i="7945"/>
  <c r="E70" i="7945"/>
  <c r="F70" i="7945" s="1"/>
  <c r="D84" i="7945"/>
  <c r="E84" i="7945" s="1"/>
  <c r="F84" i="7945" s="1"/>
  <c r="E234" i="7945"/>
  <c r="F234" i="7945"/>
  <c r="D248" i="7945"/>
  <c r="D74" i="7945"/>
  <c r="E74" i="7945" s="1"/>
  <c r="F74" i="7945" s="1"/>
  <c r="E53" i="7945"/>
  <c r="J56" i="7945"/>
  <c r="I70" i="7945"/>
  <c r="I84" i="7945" s="1"/>
  <c r="J84" i="7945" s="1"/>
  <c r="K84" i="7945" s="1"/>
  <c r="D96" i="7945"/>
  <c r="E82" i="7945"/>
  <c r="F82" i="7945" s="1"/>
  <c r="J124" i="7945"/>
  <c r="K124" i="7945" s="1"/>
  <c r="I138" i="7945"/>
  <c r="I152" i="7945" s="1"/>
  <c r="I101" i="7945"/>
  <c r="J87" i="7945"/>
  <c r="K87" i="7945" s="1"/>
  <c r="J88" i="7945"/>
  <c r="K88" i="7945" s="1"/>
  <c r="I102" i="7945"/>
  <c r="I116" i="7945" s="1"/>
  <c r="J95" i="7945"/>
  <c r="K95" i="7945" s="1"/>
  <c r="I109" i="7945"/>
  <c r="J109" i="7945" s="1"/>
  <c r="K109" i="7945" s="1"/>
  <c r="I97" i="7945"/>
  <c r="I111" i="7945" s="1"/>
  <c r="J111" i="7945" s="1"/>
  <c r="J83" i="7945"/>
  <c r="J70" i="7945"/>
  <c r="K70" i="7945" s="1"/>
  <c r="F53" i="7945"/>
  <c r="D262" i="7945"/>
  <c r="D276" i="7945" s="1"/>
  <c r="D290" i="7945" s="1"/>
  <c r="E290" i="7945" s="1"/>
  <c r="F290" i="7945" s="1"/>
  <c r="E248" i="7945"/>
  <c r="D98" i="7945"/>
  <c r="E98" i="7945" s="1"/>
  <c r="F98" i="7945" s="1"/>
  <c r="J71" i="7945"/>
  <c r="K71" i="7945" s="1"/>
  <c r="I85" i="7945"/>
  <c r="J85" i="7945" s="1"/>
  <c r="D110" i="7945"/>
  <c r="E96" i="7945"/>
  <c r="F96" i="7945" s="1"/>
  <c r="K56" i="7945"/>
  <c r="E67" i="7945"/>
  <c r="D88" i="7945"/>
  <c r="E88" i="7945" s="1"/>
  <c r="K83" i="7945"/>
  <c r="J138" i="7945"/>
  <c r="K138" i="7945" s="1"/>
  <c r="J97" i="7945"/>
  <c r="K97" i="7945" s="1"/>
  <c r="I115" i="7945"/>
  <c r="J101" i="7945"/>
  <c r="K101" i="7945" s="1"/>
  <c r="E81" i="7945"/>
  <c r="F81" i="7945" s="1"/>
  <c r="K85" i="7945"/>
  <c r="I98" i="7945"/>
  <c r="I112" i="7945" s="1"/>
  <c r="I126" i="7945" s="1"/>
  <c r="I140" i="7945" s="1"/>
  <c r="J140" i="7945" s="1"/>
  <c r="K140" i="7945" s="1"/>
  <c r="D102" i="7945"/>
  <c r="D116" i="7945" s="1"/>
  <c r="D130" i="7945" s="1"/>
  <c r="D144" i="7945" s="1"/>
  <c r="E144" i="7945" s="1"/>
  <c r="F144" i="7945" s="1"/>
  <c r="F88" i="7945"/>
  <c r="F67" i="7945"/>
  <c r="E110" i="7945"/>
  <c r="F110" i="7945" s="1"/>
  <c r="D124" i="7945"/>
  <c r="D112" i="7945"/>
  <c r="E112" i="7945" s="1"/>
  <c r="F112" i="7945" s="1"/>
  <c r="E262" i="7945"/>
  <c r="F262" i="7945" s="1"/>
  <c r="J115" i="7945"/>
  <c r="K115" i="7945" s="1"/>
  <c r="I129" i="7945"/>
  <c r="I143" i="7945" s="1"/>
  <c r="E276" i="7945"/>
  <c r="F276" i="7945" s="1"/>
  <c r="D126" i="7945"/>
  <c r="E126" i="7945" s="1"/>
  <c r="F126" i="7945" s="1"/>
  <c r="D111" i="7945"/>
  <c r="D125" i="7945" s="1"/>
  <c r="J98" i="7945"/>
  <c r="K98" i="7945" s="1"/>
  <c r="D138" i="7945"/>
  <c r="D152" i="7945" s="1"/>
  <c r="E124" i="7945"/>
  <c r="F124" i="7945" s="1"/>
  <c r="E95" i="7945"/>
  <c r="J129" i="7945"/>
  <c r="K129" i="7945" s="1"/>
  <c r="K111" i="7945"/>
  <c r="E109" i="7945"/>
  <c r="E138" i="7945"/>
  <c r="F138" i="7945" s="1"/>
  <c r="D140" i="7945"/>
  <c r="E140" i="7945" s="1"/>
  <c r="F140" i="7945" s="1"/>
  <c r="F95" i="7945"/>
  <c r="E111" i="7945"/>
  <c r="F111" i="7945" s="1"/>
  <c r="E116" i="7945"/>
  <c r="F116" i="7945" s="1"/>
  <c r="D304" i="7945"/>
  <c r="J143" i="7945"/>
  <c r="K143" i="7945" s="1"/>
  <c r="I157" i="7945"/>
  <c r="J157" i="7945" s="1"/>
  <c r="K157" i="7945" s="1"/>
  <c r="E130" i="7945"/>
  <c r="F130" i="7945" s="1"/>
  <c r="F109" i="7945"/>
  <c r="D154" i="7945"/>
  <c r="E123" i="7945"/>
  <c r="F123" i="7945" s="1"/>
  <c r="I171" i="7945"/>
  <c r="D151" i="7945"/>
  <c r="E137" i="7945"/>
  <c r="E154" i="7945"/>
  <c r="F154" i="7945" s="1"/>
  <c r="D168" i="7945"/>
  <c r="D182" i="7945" s="1"/>
  <c r="D158" i="7945"/>
  <c r="D172" i="7945" s="1"/>
  <c r="I154" i="7945"/>
  <c r="J154" i="7945" s="1"/>
  <c r="K154" i="7945" s="1"/>
  <c r="J171" i="7945"/>
  <c r="K171" i="7945" s="1"/>
  <c r="I185" i="7945"/>
  <c r="I199" i="7945" s="1"/>
  <c r="E158" i="7945"/>
  <c r="F158" i="7945" s="1"/>
  <c r="F137" i="7945"/>
  <c r="I168" i="7945"/>
  <c r="J168" i="7945" s="1"/>
  <c r="K168" i="7945" s="1"/>
  <c r="E168" i="7945"/>
  <c r="F168" i="7945" s="1"/>
  <c r="D165" i="7945"/>
  <c r="E151" i="7945"/>
  <c r="F151" i="7945" s="1"/>
  <c r="J185" i="7945"/>
  <c r="K185" i="7945" s="1"/>
  <c r="D179" i="7945"/>
  <c r="E165" i="7945"/>
  <c r="F165" i="7945" s="1"/>
  <c r="I182" i="7945"/>
  <c r="I196" i="7945" s="1"/>
  <c r="J196" i="7945" s="1"/>
  <c r="K196" i="7945" s="1"/>
  <c r="J182" i="7945"/>
  <c r="K182" i="7945" s="1"/>
  <c r="D193" i="7945"/>
  <c r="E193" i="7945" s="1"/>
  <c r="F193" i="7945" s="1"/>
  <c r="E179" i="7945"/>
  <c r="F179" i="7945" s="1"/>
  <c r="D207" i="7945"/>
  <c r="E207" i="7945" s="1"/>
  <c r="F207" i="7945" s="1"/>
  <c r="D221" i="7945"/>
  <c r="D235" i="7945" s="1"/>
  <c r="D249" i="7945" s="1"/>
  <c r="D263" i="7945" s="1"/>
  <c r="D277" i="7945" s="1"/>
  <c r="E277" i="7945" s="1"/>
  <c r="E221" i="7945"/>
  <c r="F221" i="7945" s="1"/>
  <c r="E235" i="7945"/>
  <c r="F235" i="7945" s="1"/>
  <c r="E263" i="7945"/>
  <c r="F263" i="7945" s="1"/>
  <c r="F277" i="7945"/>
  <c r="K19" i="7945" l="1"/>
  <c r="K429" i="7945" s="1"/>
  <c r="J33" i="7945"/>
  <c r="E47" i="7945"/>
  <c r="E19" i="7945"/>
  <c r="F47" i="7945"/>
  <c r="F431" i="7945" s="1"/>
  <c r="K33" i="7945"/>
  <c r="K430" i="7945" s="1"/>
  <c r="E172" i="7945"/>
  <c r="F172" i="7945" s="1"/>
  <c r="D186" i="7945"/>
  <c r="D166" i="7945"/>
  <c r="E152" i="7945"/>
  <c r="F152" i="7945" s="1"/>
  <c r="I166" i="7945"/>
  <c r="J152" i="7945"/>
  <c r="K152" i="7945" s="1"/>
  <c r="D291" i="7945"/>
  <c r="E249" i="7945"/>
  <c r="I210" i="7945"/>
  <c r="J199" i="7945"/>
  <c r="K199" i="7945" s="1"/>
  <c r="I213" i="7945"/>
  <c r="E182" i="7945"/>
  <c r="F182" i="7945" s="1"/>
  <c r="D196" i="7945"/>
  <c r="E125" i="7945"/>
  <c r="F125" i="7945" s="1"/>
  <c r="D139" i="7945"/>
  <c r="J126" i="7945"/>
  <c r="K126" i="7945" s="1"/>
  <c r="J112" i="7945"/>
  <c r="K112" i="7945" s="1"/>
  <c r="E102" i="7945"/>
  <c r="F102" i="7945" s="1"/>
  <c r="I125" i="7945"/>
  <c r="E83" i="7945"/>
  <c r="F83" i="7945" s="1"/>
  <c r="I99" i="7945"/>
  <c r="J102" i="7945"/>
  <c r="K102" i="7945" s="1"/>
  <c r="I123" i="7945"/>
  <c r="E69" i="7945"/>
  <c r="F69" i="7945" s="1"/>
  <c r="J47" i="7945"/>
  <c r="K47" i="7945" s="1"/>
  <c r="K431" i="7945" s="1"/>
  <c r="E304" i="7945"/>
  <c r="D318" i="7945"/>
  <c r="J116" i="7945"/>
  <c r="K116" i="7945" s="1"/>
  <c r="I130" i="7945"/>
  <c r="J61" i="7945"/>
  <c r="K61" i="7945" s="1"/>
  <c r="K432" i="7945" s="1"/>
  <c r="I100" i="7945"/>
  <c r="F19" i="7945"/>
  <c r="F429" i="7945" s="1"/>
  <c r="D155" i="7945"/>
  <c r="J66" i="7945"/>
  <c r="I80" i="7945"/>
  <c r="F26" i="7945"/>
  <c r="E33" i="7945"/>
  <c r="J82" i="7945"/>
  <c r="K82" i="7945" s="1"/>
  <c r="E73" i="7945"/>
  <c r="F73" i="7945" s="1"/>
  <c r="D87" i="7945"/>
  <c r="D72" i="7945"/>
  <c r="E58" i="7945"/>
  <c r="F58" i="7945" s="1"/>
  <c r="F33" i="7945" l="1"/>
  <c r="F430" i="7945" s="1"/>
  <c r="E61" i="7945"/>
  <c r="F61" i="7945" s="1"/>
  <c r="F432" i="7945" s="1"/>
  <c r="D101" i="7945"/>
  <c r="E87" i="7945"/>
  <c r="F87" i="7945" s="1"/>
  <c r="K66" i="7945"/>
  <c r="J75" i="7945"/>
  <c r="E318" i="7945"/>
  <c r="D332" i="7945"/>
  <c r="E139" i="7945"/>
  <c r="D153" i="7945"/>
  <c r="D210" i="7945"/>
  <c r="E196" i="7945"/>
  <c r="F196" i="7945" s="1"/>
  <c r="J213" i="7945"/>
  <c r="K213" i="7945" s="1"/>
  <c r="I227" i="7945"/>
  <c r="E291" i="7945"/>
  <c r="D305" i="7945"/>
  <c r="J166" i="7945"/>
  <c r="K166" i="7945" s="1"/>
  <c r="I180" i="7945"/>
  <c r="E166" i="7945"/>
  <c r="D180" i="7945"/>
  <c r="E72" i="7945"/>
  <c r="D86" i="7945"/>
  <c r="I94" i="7945"/>
  <c r="J80" i="7945"/>
  <c r="D169" i="7945"/>
  <c r="E155" i="7945"/>
  <c r="F155" i="7945" s="1"/>
  <c r="J100" i="7945"/>
  <c r="K100" i="7945" s="1"/>
  <c r="I114" i="7945"/>
  <c r="I144" i="7945"/>
  <c r="J130" i="7945"/>
  <c r="K130" i="7945" s="1"/>
  <c r="F304" i="7945"/>
  <c r="I137" i="7945"/>
  <c r="J123" i="7945"/>
  <c r="K123" i="7945" s="1"/>
  <c r="J99" i="7945"/>
  <c r="K99" i="7945" s="1"/>
  <c r="I113" i="7945"/>
  <c r="I139" i="7945"/>
  <c r="J125" i="7945"/>
  <c r="K125" i="7945" s="1"/>
  <c r="I224" i="7945"/>
  <c r="J210" i="7945"/>
  <c r="K210" i="7945" s="1"/>
  <c r="D200" i="7945"/>
  <c r="E186" i="7945"/>
  <c r="F186" i="7945" s="1"/>
  <c r="E200" i="7945" l="1"/>
  <c r="F200" i="7945" s="1"/>
  <c r="D214" i="7945"/>
  <c r="I127" i="7945"/>
  <c r="J113" i="7945"/>
  <c r="K113" i="7945" s="1"/>
  <c r="J114" i="7945"/>
  <c r="K114" i="7945" s="1"/>
  <c r="I128" i="7945"/>
  <c r="J89" i="7945"/>
  <c r="K80" i="7945"/>
  <c r="D100" i="7945"/>
  <c r="E86" i="7945"/>
  <c r="E180" i="7945"/>
  <c r="D194" i="7945"/>
  <c r="J180" i="7945"/>
  <c r="K180" i="7945" s="1"/>
  <c r="I194" i="7945"/>
  <c r="D319" i="7945"/>
  <c r="E305" i="7945"/>
  <c r="E210" i="7945"/>
  <c r="F210" i="7945" s="1"/>
  <c r="D224" i="7945"/>
  <c r="E153" i="7945"/>
  <c r="D167" i="7945"/>
  <c r="D346" i="7945"/>
  <c r="E332" i="7945"/>
  <c r="K75" i="7945"/>
  <c r="K433" i="7945" s="1"/>
  <c r="J224" i="7945"/>
  <c r="K224" i="7945" s="1"/>
  <c r="I238" i="7945"/>
  <c r="J139" i="7945"/>
  <c r="K139" i="7945" s="1"/>
  <c r="I153" i="7945"/>
  <c r="J137" i="7945"/>
  <c r="K137" i="7945" s="1"/>
  <c r="I151" i="7945"/>
  <c r="J144" i="7945"/>
  <c r="K144" i="7945" s="1"/>
  <c r="I158" i="7945"/>
  <c r="E169" i="7945"/>
  <c r="F169" i="7945" s="1"/>
  <c r="D183" i="7945"/>
  <c r="I108" i="7945"/>
  <c r="J94" i="7945"/>
  <c r="F72" i="7945"/>
  <c r="E75" i="7945"/>
  <c r="F166" i="7945"/>
  <c r="F291" i="7945"/>
  <c r="J227" i="7945"/>
  <c r="K227" i="7945" s="1"/>
  <c r="I241" i="7945"/>
  <c r="F139" i="7945"/>
  <c r="F318" i="7945"/>
  <c r="D115" i="7945"/>
  <c r="E101" i="7945"/>
  <c r="F101" i="7945" s="1"/>
  <c r="K89" i="7945" l="1"/>
  <c r="K434" i="7945" s="1"/>
  <c r="D129" i="7945"/>
  <c r="E115" i="7945"/>
  <c r="F115" i="7945" s="1"/>
  <c r="J108" i="7945"/>
  <c r="I122" i="7945"/>
  <c r="D360" i="7945"/>
  <c r="E346" i="7945"/>
  <c r="F153" i="7945"/>
  <c r="D333" i="7945"/>
  <c r="E319" i="7945"/>
  <c r="F180" i="7945"/>
  <c r="E100" i="7945"/>
  <c r="D114" i="7945"/>
  <c r="I141" i="7945"/>
  <c r="J127" i="7945"/>
  <c r="K127" i="7945" s="1"/>
  <c r="J241" i="7945"/>
  <c r="K241" i="7945" s="1"/>
  <c r="I255" i="7945"/>
  <c r="F75" i="7945"/>
  <c r="F433" i="7945" s="1"/>
  <c r="K94" i="7945"/>
  <c r="J103" i="7945"/>
  <c r="E183" i="7945"/>
  <c r="F183" i="7945" s="1"/>
  <c r="D197" i="7945"/>
  <c r="J158" i="7945"/>
  <c r="K158" i="7945" s="1"/>
  <c r="I172" i="7945"/>
  <c r="J151" i="7945"/>
  <c r="K151" i="7945" s="1"/>
  <c r="I165" i="7945"/>
  <c r="J153" i="7945"/>
  <c r="K153" i="7945" s="1"/>
  <c r="I167" i="7945"/>
  <c r="I252" i="7945"/>
  <c r="J238" i="7945"/>
  <c r="K238" i="7945" s="1"/>
  <c r="F332" i="7945"/>
  <c r="E167" i="7945"/>
  <c r="D181" i="7945"/>
  <c r="E224" i="7945"/>
  <c r="F224" i="7945" s="1"/>
  <c r="D238" i="7945"/>
  <c r="F305" i="7945"/>
  <c r="J194" i="7945"/>
  <c r="K194" i="7945" s="1"/>
  <c r="I208" i="7945"/>
  <c r="E194" i="7945"/>
  <c r="D208" i="7945"/>
  <c r="F86" i="7945"/>
  <c r="E89" i="7945"/>
  <c r="I142" i="7945"/>
  <c r="J128" i="7945"/>
  <c r="K128" i="7945" s="1"/>
  <c r="D228" i="7945"/>
  <c r="E214" i="7945"/>
  <c r="F214" i="7945" s="1"/>
  <c r="F89" i="7945" l="1"/>
  <c r="F434" i="7945" s="1"/>
  <c r="K103" i="7945"/>
  <c r="K435" i="7945" s="1"/>
  <c r="D222" i="7945"/>
  <c r="E208" i="7945"/>
  <c r="I222" i="7945"/>
  <c r="J208" i="7945"/>
  <c r="K208" i="7945" s="1"/>
  <c r="E238" i="7945"/>
  <c r="F238" i="7945" s="1"/>
  <c r="D252" i="7945"/>
  <c r="E181" i="7945"/>
  <c r="D195" i="7945"/>
  <c r="J167" i="7945"/>
  <c r="K167" i="7945" s="1"/>
  <c r="I181" i="7945"/>
  <c r="J165" i="7945"/>
  <c r="K165" i="7945" s="1"/>
  <c r="I179" i="7945"/>
  <c r="J172" i="7945"/>
  <c r="K172" i="7945" s="1"/>
  <c r="I186" i="7945"/>
  <c r="I200" i="7945" s="1"/>
  <c r="D211" i="7945"/>
  <c r="E197" i="7945"/>
  <c r="F197" i="7945" s="1"/>
  <c r="D128" i="7945"/>
  <c r="E114" i="7945"/>
  <c r="F319" i="7945"/>
  <c r="F346" i="7945"/>
  <c r="J122" i="7945"/>
  <c r="I136" i="7945"/>
  <c r="D242" i="7945"/>
  <c r="E228" i="7945"/>
  <c r="F228" i="7945" s="1"/>
  <c r="J142" i="7945"/>
  <c r="K142" i="7945" s="1"/>
  <c r="I156" i="7945"/>
  <c r="F194" i="7945"/>
  <c r="F167" i="7945"/>
  <c r="J252" i="7945"/>
  <c r="I266" i="7945"/>
  <c r="I269" i="7945"/>
  <c r="J255" i="7945"/>
  <c r="J141" i="7945"/>
  <c r="K141" i="7945" s="1"/>
  <c r="I155" i="7945"/>
  <c r="F100" i="7945"/>
  <c r="E103" i="7945"/>
  <c r="E333" i="7945"/>
  <c r="D347" i="7945"/>
  <c r="E360" i="7945"/>
  <c r="D374" i="7945"/>
  <c r="K108" i="7945"/>
  <c r="J117" i="7945"/>
  <c r="E129" i="7945"/>
  <c r="F129" i="7945" s="1"/>
  <c r="D143" i="7945"/>
  <c r="F333" i="7945" l="1"/>
  <c r="D157" i="7945"/>
  <c r="E143" i="7945"/>
  <c r="F143" i="7945" s="1"/>
  <c r="K117" i="7945"/>
  <c r="K436" i="7945" s="1"/>
  <c r="D388" i="7945"/>
  <c r="E374" i="7945"/>
  <c r="D361" i="7945"/>
  <c r="E347" i="7945"/>
  <c r="F103" i="7945"/>
  <c r="F435" i="7945" s="1"/>
  <c r="I169" i="7945"/>
  <c r="J155" i="7945"/>
  <c r="K155" i="7945" s="1"/>
  <c r="I280" i="7945"/>
  <c r="J266" i="7945"/>
  <c r="K266" i="7945" s="1"/>
  <c r="I170" i="7945"/>
  <c r="J156" i="7945"/>
  <c r="K156" i="7945" s="1"/>
  <c r="I150" i="7945"/>
  <c r="J136" i="7945"/>
  <c r="F114" i="7945"/>
  <c r="E117" i="7945"/>
  <c r="F117" i="7945" s="1"/>
  <c r="F436" i="7945" s="1"/>
  <c r="J200" i="7945"/>
  <c r="K200" i="7945" s="1"/>
  <c r="I214" i="7945"/>
  <c r="J179" i="7945"/>
  <c r="K179" i="7945" s="1"/>
  <c r="I193" i="7945"/>
  <c r="I195" i="7945"/>
  <c r="J181" i="7945"/>
  <c r="K181" i="7945" s="1"/>
  <c r="E195" i="7945"/>
  <c r="D209" i="7945"/>
  <c r="E252" i="7945"/>
  <c r="D266" i="7945"/>
  <c r="F208" i="7945"/>
  <c r="J269" i="7945"/>
  <c r="K269" i="7945" s="1"/>
  <c r="I283" i="7945"/>
  <c r="E242" i="7945"/>
  <c r="F242" i="7945" s="1"/>
  <c r="D256" i="7945"/>
  <c r="K122" i="7945"/>
  <c r="J131" i="7945"/>
  <c r="E128" i="7945"/>
  <c r="D142" i="7945"/>
  <c r="D225" i="7945"/>
  <c r="E211" i="7945"/>
  <c r="F211" i="7945" s="1"/>
  <c r="F181" i="7945"/>
  <c r="J222" i="7945"/>
  <c r="K222" i="7945" s="1"/>
  <c r="I236" i="7945"/>
  <c r="E222" i="7945"/>
  <c r="D236" i="7945"/>
  <c r="K131" i="7945" l="1"/>
  <c r="K437" i="7945" s="1"/>
  <c r="E236" i="7945"/>
  <c r="D250" i="7945"/>
  <c r="J236" i="7945"/>
  <c r="K236" i="7945" s="1"/>
  <c r="I250" i="7945"/>
  <c r="F222" i="7945"/>
  <c r="E225" i="7945"/>
  <c r="F225" i="7945" s="1"/>
  <c r="D239" i="7945"/>
  <c r="F128" i="7945"/>
  <c r="E131" i="7945"/>
  <c r="E266" i="7945"/>
  <c r="F266" i="7945" s="1"/>
  <c r="D280" i="7945"/>
  <c r="E209" i="7945"/>
  <c r="D223" i="7945"/>
  <c r="J193" i="7945"/>
  <c r="K193" i="7945" s="1"/>
  <c r="I207" i="7945"/>
  <c r="J214" i="7945"/>
  <c r="K214" i="7945" s="1"/>
  <c r="I228" i="7945"/>
  <c r="K136" i="7945"/>
  <c r="J145" i="7945"/>
  <c r="D375" i="7945"/>
  <c r="E361" i="7945"/>
  <c r="E388" i="7945"/>
  <c r="D402" i="7945"/>
  <c r="D156" i="7945"/>
  <c r="E142" i="7945"/>
  <c r="D270" i="7945"/>
  <c r="E256" i="7945"/>
  <c r="I297" i="7945"/>
  <c r="J283" i="7945"/>
  <c r="K283" i="7945" s="1"/>
  <c r="F195" i="7945"/>
  <c r="J195" i="7945"/>
  <c r="K195" i="7945" s="1"/>
  <c r="I209" i="7945"/>
  <c r="I164" i="7945"/>
  <c r="J150" i="7945"/>
  <c r="J170" i="7945"/>
  <c r="K170" i="7945" s="1"/>
  <c r="I184" i="7945"/>
  <c r="J280" i="7945"/>
  <c r="K280" i="7945" s="1"/>
  <c r="I294" i="7945"/>
  <c r="J169" i="7945"/>
  <c r="K169" i="7945" s="1"/>
  <c r="I183" i="7945"/>
  <c r="F347" i="7945"/>
  <c r="F374" i="7945"/>
  <c r="E157" i="7945"/>
  <c r="F157" i="7945" s="1"/>
  <c r="D171" i="7945"/>
  <c r="I178" i="7945" l="1"/>
  <c r="J164" i="7945"/>
  <c r="D185" i="7945"/>
  <c r="E171" i="7945"/>
  <c r="F171" i="7945" s="1"/>
  <c r="J183" i="7945"/>
  <c r="K183" i="7945" s="1"/>
  <c r="I197" i="7945"/>
  <c r="J294" i="7945"/>
  <c r="K294" i="7945" s="1"/>
  <c r="I308" i="7945"/>
  <c r="J184" i="7945"/>
  <c r="K184" i="7945" s="1"/>
  <c r="I198" i="7945"/>
  <c r="K150" i="7945"/>
  <c r="J159" i="7945"/>
  <c r="J209" i="7945"/>
  <c r="K209" i="7945" s="1"/>
  <c r="I223" i="7945"/>
  <c r="F142" i="7945"/>
  <c r="E145" i="7945"/>
  <c r="D416" i="7945"/>
  <c r="E416" i="7945" s="1"/>
  <c r="E402" i="7945"/>
  <c r="K145" i="7945"/>
  <c r="K438" i="7945" s="1"/>
  <c r="J228" i="7945"/>
  <c r="K228" i="7945" s="1"/>
  <c r="I242" i="7945"/>
  <c r="I221" i="7945"/>
  <c r="J207" i="7945"/>
  <c r="K207" i="7945" s="1"/>
  <c r="E223" i="7945"/>
  <c r="D237" i="7945"/>
  <c r="D294" i="7945"/>
  <c r="E280" i="7945"/>
  <c r="F280" i="7945" s="1"/>
  <c r="F131" i="7945"/>
  <c r="F437" i="7945" s="1"/>
  <c r="E239" i="7945"/>
  <c r="F239" i="7945" s="1"/>
  <c r="D253" i="7945"/>
  <c r="I264" i="7945"/>
  <c r="J250" i="7945"/>
  <c r="D264" i="7945"/>
  <c r="E250" i="7945"/>
  <c r="I311" i="7945"/>
  <c r="J297" i="7945"/>
  <c r="K297" i="7945" s="1"/>
  <c r="D284" i="7945"/>
  <c r="E270" i="7945"/>
  <c r="F270" i="7945" s="1"/>
  <c r="E156" i="7945"/>
  <c r="D170" i="7945"/>
  <c r="F388" i="7945"/>
  <c r="E375" i="7945"/>
  <c r="D389" i="7945"/>
  <c r="F209" i="7945"/>
  <c r="F236" i="7945"/>
  <c r="F375" i="7945" l="1"/>
  <c r="F156" i="7945"/>
  <c r="E159" i="7945"/>
  <c r="F159" i="7945" s="1"/>
  <c r="F439" i="7945" s="1"/>
  <c r="D298" i="7945"/>
  <c r="E284" i="7945"/>
  <c r="F284" i="7945" s="1"/>
  <c r="I325" i="7945"/>
  <c r="J311" i="7945"/>
  <c r="K311" i="7945" s="1"/>
  <c r="E264" i="7945"/>
  <c r="D278" i="7945"/>
  <c r="J264" i="7945"/>
  <c r="K264" i="7945" s="1"/>
  <c r="I278" i="7945"/>
  <c r="E237" i="7945"/>
  <c r="D251" i="7945"/>
  <c r="J242" i="7945"/>
  <c r="K242" i="7945" s="1"/>
  <c r="I256" i="7945"/>
  <c r="F145" i="7945"/>
  <c r="F438" i="7945" s="1"/>
  <c r="I237" i="7945"/>
  <c r="J223" i="7945"/>
  <c r="K223" i="7945" s="1"/>
  <c r="K159" i="7945"/>
  <c r="K439" i="7945" s="1"/>
  <c r="J198" i="7945"/>
  <c r="K198" i="7945" s="1"/>
  <c r="I212" i="7945"/>
  <c r="J308" i="7945"/>
  <c r="K308" i="7945" s="1"/>
  <c r="I322" i="7945"/>
  <c r="J197" i="7945"/>
  <c r="K197" i="7945" s="1"/>
  <c r="I211" i="7945"/>
  <c r="K164" i="7945"/>
  <c r="J173" i="7945"/>
  <c r="D403" i="7945"/>
  <c r="E389" i="7945"/>
  <c r="E170" i="7945"/>
  <c r="D184" i="7945"/>
  <c r="D267" i="7945"/>
  <c r="E253" i="7945"/>
  <c r="E294" i="7945"/>
  <c r="F294" i="7945" s="1"/>
  <c r="D308" i="7945"/>
  <c r="F223" i="7945"/>
  <c r="J221" i="7945"/>
  <c r="K221" i="7945" s="1"/>
  <c r="I235" i="7945"/>
  <c r="E185" i="7945"/>
  <c r="F185" i="7945" s="1"/>
  <c r="D199" i="7945"/>
  <c r="J178" i="7945"/>
  <c r="I192" i="7945"/>
  <c r="K173" i="7945" l="1"/>
  <c r="K440" i="7945" s="1"/>
  <c r="J192" i="7945"/>
  <c r="I206" i="7945"/>
  <c r="D213" i="7945"/>
  <c r="E199" i="7945"/>
  <c r="F199" i="7945" s="1"/>
  <c r="K178" i="7945"/>
  <c r="J187" i="7945"/>
  <c r="J235" i="7945"/>
  <c r="K235" i="7945" s="1"/>
  <c r="I249" i="7945"/>
  <c r="E308" i="7945"/>
  <c r="F308" i="7945" s="1"/>
  <c r="D322" i="7945"/>
  <c r="F170" i="7945"/>
  <c r="E173" i="7945"/>
  <c r="E403" i="7945"/>
  <c r="D417" i="7945"/>
  <c r="E417" i="7945" s="1"/>
  <c r="J256" i="7945"/>
  <c r="I270" i="7945"/>
  <c r="E251" i="7945"/>
  <c r="D265" i="7945"/>
  <c r="I292" i="7945"/>
  <c r="J278" i="7945"/>
  <c r="K278" i="7945" s="1"/>
  <c r="E278" i="7945"/>
  <c r="D292" i="7945"/>
  <c r="E267" i="7945"/>
  <c r="F267" i="7945" s="1"/>
  <c r="D281" i="7945"/>
  <c r="E184" i="7945"/>
  <c r="D198" i="7945"/>
  <c r="F389" i="7945"/>
  <c r="J211" i="7945"/>
  <c r="K211" i="7945" s="1"/>
  <c r="I225" i="7945"/>
  <c r="I336" i="7945"/>
  <c r="J322" i="7945"/>
  <c r="K322" i="7945" s="1"/>
  <c r="J212" i="7945"/>
  <c r="K212" i="7945" s="1"/>
  <c r="I226" i="7945"/>
  <c r="J237" i="7945"/>
  <c r="K237" i="7945" s="1"/>
  <c r="I251" i="7945"/>
  <c r="F237" i="7945"/>
  <c r="F264" i="7945"/>
  <c r="J325" i="7945"/>
  <c r="K325" i="7945" s="1"/>
  <c r="I339" i="7945"/>
  <c r="E298" i="7945"/>
  <c r="F298" i="7945" s="1"/>
  <c r="D312" i="7945"/>
  <c r="D326" i="7945" l="1"/>
  <c r="E312" i="7945"/>
  <c r="F312" i="7945" s="1"/>
  <c r="J339" i="7945"/>
  <c r="K339" i="7945" s="1"/>
  <c r="I353" i="7945"/>
  <c r="J251" i="7945"/>
  <c r="I265" i="7945"/>
  <c r="J226" i="7945"/>
  <c r="K226" i="7945" s="1"/>
  <c r="I240" i="7945"/>
  <c r="I239" i="7945"/>
  <c r="J225" i="7945"/>
  <c r="K225" i="7945" s="1"/>
  <c r="E198" i="7945"/>
  <c r="D212" i="7945"/>
  <c r="E281" i="7945"/>
  <c r="F281" i="7945" s="1"/>
  <c r="D295" i="7945"/>
  <c r="E292" i="7945"/>
  <c r="D306" i="7945"/>
  <c r="E265" i="7945"/>
  <c r="D279" i="7945"/>
  <c r="J270" i="7945"/>
  <c r="K270" i="7945" s="1"/>
  <c r="I284" i="7945"/>
  <c r="F173" i="7945"/>
  <c r="F440" i="7945" s="1"/>
  <c r="E322" i="7945"/>
  <c r="F322" i="7945" s="1"/>
  <c r="D336" i="7945"/>
  <c r="J249" i="7945"/>
  <c r="I263" i="7945"/>
  <c r="K187" i="7945"/>
  <c r="K441" i="7945" s="1"/>
  <c r="I220" i="7945"/>
  <c r="J206" i="7945"/>
  <c r="J336" i="7945"/>
  <c r="K336" i="7945" s="1"/>
  <c r="I350" i="7945"/>
  <c r="F184" i="7945"/>
  <c r="E187" i="7945"/>
  <c r="F278" i="7945"/>
  <c r="I306" i="7945"/>
  <c r="J292" i="7945"/>
  <c r="K292" i="7945" s="1"/>
  <c r="D227" i="7945"/>
  <c r="E213" i="7945"/>
  <c r="F213" i="7945" s="1"/>
  <c r="K192" i="7945"/>
  <c r="J201" i="7945"/>
  <c r="K201" i="7945" l="1"/>
  <c r="K442" i="7945" s="1"/>
  <c r="F187" i="7945"/>
  <c r="F441" i="7945" s="1"/>
  <c r="I364" i="7945"/>
  <c r="J350" i="7945"/>
  <c r="K350" i="7945" s="1"/>
  <c r="D241" i="7945"/>
  <c r="E227" i="7945"/>
  <c r="F227" i="7945" s="1"/>
  <c r="I320" i="7945"/>
  <c r="J306" i="7945"/>
  <c r="K306" i="7945" s="1"/>
  <c r="I234" i="7945"/>
  <c r="J220" i="7945"/>
  <c r="J263" i="7945"/>
  <c r="K263" i="7945" s="1"/>
  <c r="I277" i="7945"/>
  <c r="E336" i="7945"/>
  <c r="F336" i="7945" s="1"/>
  <c r="D350" i="7945"/>
  <c r="J284" i="7945"/>
  <c r="K284" i="7945" s="1"/>
  <c r="I298" i="7945"/>
  <c r="D293" i="7945"/>
  <c r="E279" i="7945"/>
  <c r="D320" i="7945"/>
  <c r="E306" i="7945"/>
  <c r="E295" i="7945"/>
  <c r="F295" i="7945" s="1"/>
  <c r="D309" i="7945"/>
  <c r="E212" i="7945"/>
  <c r="D226" i="7945"/>
  <c r="I254" i="7945"/>
  <c r="J240" i="7945"/>
  <c r="K240" i="7945" s="1"/>
  <c r="I279" i="7945"/>
  <c r="J265" i="7945"/>
  <c r="K265" i="7945" s="1"/>
  <c r="I367" i="7945"/>
  <c r="J353" i="7945"/>
  <c r="K353" i="7945" s="1"/>
  <c r="K206" i="7945"/>
  <c r="J215" i="7945"/>
  <c r="K215" i="7945" s="1"/>
  <c r="K443" i="7945" s="1"/>
  <c r="F265" i="7945"/>
  <c r="F292" i="7945"/>
  <c r="F198" i="7945"/>
  <c r="E201" i="7945"/>
  <c r="J239" i="7945"/>
  <c r="K239" i="7945" s="1"/>
  <c r="I253" i="7945"/>
  <c r="E326" i="7945"/>
  <c r="F326" i="7945" s="1"/>
  <c r="D340" i="7945"/>
  <c r="F201" i="7945" l="1"/>
  <c r="F442" i="7945" s="1"/>
  <c r="E226" i="7945"/>
  <c r="D240" i="7945"/>
  <c r="D323" i="7945"/>
  <c r="E309" i="7945"/>
  <c r="F309" i="7945" s="1"/>
  <c r="F306" i="7945"/>
  <c r="F279" i="7945"/>
  <c r="J298" i="7945"/>
  <c r="K298" i="7945" s="1"/>
  <c r="I312" i="7945"/>
  <c r="E350" i="7945"/>
  <c r="F350" i="7945" s="1"/>
  <c r="D364" i="7945"/>
  <c r="J277" i="7945"/>
  <c r="K277" i="7945" s="1"/>
  <c r="I291" i="7945"/>
  <c r="K220" i="7945"/>
  <c r="J229" i="7945"/>
  <c r="E340" i="7945"/>
  <c r="F340" i="7945" s="1"/>
  <c r="D354" i="7945"/>
  <c r="J253" i="7945"/>
  <c r="I267" i="7945"/>
  <c r="J367" i="7945"/>
  <c r="I381" i="7945"/>
  <c r="J279" i="7945"/>
  <c r="K279" i="7945" s="1"/>
  <c r="I293" i="7945"/>
  <c r="J254" i="7945"/>
  <c r="I268" i="7945"/>
  <c r="F212" i="7945"/>
  <c r="E215" i="7945"/>
  <c r="F215" i="7945" s="1"/>
  <c r="F443" i="7945" s="1"/>
  <c r="E320" i="7945"/>
  <c r="D334" i="7945"/>
  <c r="E293" i="7945"/>
  <c r="D307" i="7945"/>
  <c r="J234" i="7945"/>
  <c r="I248" i="7945"/>
  <c r="J320" i="7945"/>
  <c r="K320" i="7945" s="1"/>
  <c r="I334" i="7945"/>
  <c r="E241" i="7945"/>
  <c r="F241" i="7945" s="1"/>
  <c r="D255" i="7945"/>
  <c r="I378" i="7945"/>
  <c r="J364" i="7945"/>
  <c r="J378" i="7945" l="1"/>
  <c r="K378" i="7945" s="1"/>
  <c r="I392" i="7945"/>
  <c r="F293" i="7945"/>
  <c r="D269" i="7945"/>
  <c r="E255" i="7945"/>
  <c r="J334" i="7945"/>
  <c r="K334" i="7945" s="1"/>
  <c r="I348" i="7945"/>
  <c r="J248" i="7945"/>
  <c r="J257" i="7945" s="1"/>
  <c r="I262" i="7945"/>
  <c r="E307" i="7945"/>
  <c r="D321" i="7945"/>
  <c r="D348" i="7945"/>
  <c r="E334" i="7945"/>
  <c r="I282" i="7945"/>
  <c r="J268" i="7945"/>
  <c r="K268" i="7945" s="1"/>
  <c r="J293" i="7945"/>
  <c r="K293" i="7945" s="1"/>
  <c r="I307" i="7945"/>
  <c r="J381" i="7945"/>
  <c r="K381" i="7945" s="1"/>
  <c r="I395" i="7945"/>
  <c r="I281" i="7945"/>
  <c r="J267" i="7945"/>
  <c r="K267" i="7945" s="1"/>
  <c r="E354" i="7945"/>
  <c r="F354" i="7945" s="1"/>
  <c r="D368" i="7945"/>
  <c r="K229" i="7945"/>
  <c r="K444" i="7945" s="1"/>
  <c r="J291" i="7945"/>
  <c r="K291" i="7945" s="1"/>
  <c r="I305" i="7945"/>
  <c r="E364" i="7945"/>
  <c r="D378" i="7945"/>
  <c r="J312" i="7945"/>
  <c r="K312" i="7945" s="1"/>
  <c r="I326" i="7945"/>
  <c r="D254" i="7945"/>
  <c r="E240" i="7945"/>
  <c r="J243" i="7945"/>
  <c r="K234" i="7945"/>
  <c r="F320" i="7945"/>
  <c r="E323" i="7945"/>
  <c r="F323" i="7945" s="1"/>
  <c r="D337" i="7945"/>
  <c r="F226" i="7945"/>
  <c r="E229" i="7945"/>
  <c r="F229" i="7945" s="1"/>
  <c r="F444" i="7945" s="1"/>
  <c r="E337" i="7945" l="1"/>
  <c r="F337" i="7945" s="1"/>
  <c r="D351" i="7945"/>
  <c r="F240" i="7945"/>
  <c r="E243" i="7945"/>
  <c r="F243" i="7945" s="1"/>
  <c r="F445" i="7945" s="1"/>
  <c r="J326" i="7945"/>
  <c r="K326" i="7945" s="1"/>
  <c r="I340" i="7945"/>
  <c r="E378" i="7945"/>
  <c r="F378" i="7945" s="1"/>
  <c r="D392" i="7945"/>
  <c r="I319" i="7945"/>
  <c r="J305" i="7945"/>
  <c r="K305" i="7945" s="1"/>
  <c r="K243" i="7945"/>
  <c r="K445" i="7945" s="1"/>
  <c r="D268" i="7945"/>
  <c r="E254" i="7945"/>
  <c r="D382" i="7945"/>
  <c r="E368" i="7945"/>
  <c r="J395" i="7945"/>
  <c r="K395" i="7945" s="1"/>
  <c r="I409" i="7945"/>
  <c r="J307" i="7945"/>
  <c r="K307" i="7945" s="1"/>
  <c r="I321" i="7945"/>
  <c r="F334" i="7945"/>
  <c r="E321" i="7945"/>
  <c r="D335" i="7945"/>
  <c r="J262" i="7945"/>
  <c r="I276" i="7945"/>
  <c r="J348" i="7945"/>
  <c r="K348" i="7945" s="1"/>
  <c r="I362" i="7945"/>
  <c r="E257" i="7945"/>
  <c r="J392" i="7945"/>
  <c r="K392" i="7945" s="1"/>
  <c r="I406" i="7945"/>
  <c r="J281" i="7945"/>
  <c r="K281" i="7945" s="1"/>
  <c r="I295" i="7945"/>
  <c r="J282" i="7945"/>
  <c r="K282" i="7945" s="1"/>
  <c r="I296" i="7945"/>
  <c r="D362" i="7945"/>
  <c r="E348" i="7945"/>
  <c r="F307" i="7945"/>
  <c r="E269" i="7945"/>
  <c r="F269" i="7945" s="1"/>
  <c r="D283" i="7945"/>
  <c r="E362" i="7945" l="1"/>
  <c r="D376" i="7945"/>
  <c r="D297" i="7945"/>
  <c r="E283" i="7945"/>
  <c r="F283" i="7945" s="1"/>
  <c r="F348" i="7945"/>
  <c r="J296" i="7945"/>
  <c r="K296" i="7945" s="1"/>
  <c r="I310" i="7945"/>
  <c r="J295" i="7945"/>
  <c r="K295" i="7945" s="1"/>
  <c r="I309" i="7945"/>
  <c r="J406" i="7945"/>
  <c r="K406" i="7945" s="1"/>
  <c r="I420" i="7945"/>
  <c r="J420" i="7945" s="1"/>
  <c r="K420" i="7945" s="1"/>
  <c r="K262" i="7945"/>
  <c r="J271" i="7945"/>
  <c r="K271" i="7945" s="1"/>
  <c r="K447" i="7945" s="1"/>
  <c r="F321" i="7945"/>
  <c r="E382" i="7945"/>
  <c r="F382" i="7945" s="1"/>
  <c r="D396" i="7945"/>
  <c r="E268" i="7945"/>
  <c r="D282" i="7945"/>
  <c r="E392" i="7945"/>
  <c r="F392" i="7945" s="1"/>
  <c r="D406" i="7945"/>
  <c r="J340" i="7945"/>
  <c r="K340" i="7945" s="1"/>
  <c r="I354" i="7945"/>
  <c r="D365" i="7945"/>
  <c r="E351" i="7945"/>
  <c r="F351" i="7945" s="1"/>
  <c r="J362" i="7945"/>
  <c r="I376" i="7945"/>
  <c r="I290" i="7945"/>
  <c r="J276" i="7945"/>
  <c r="D349" i="7945"/>
  <c r="E335" i="7945"/>
  <c r="I335" i="7945"/>
  <c r="J321" i="7945"/>
  <c r="K321" i="7945" s="1"/>
  <c r="J409" i="7945"/>
  <c r="K409" i="7945" s="1"/>
  <c r="I423" i="7945"/>
  <c r="J423" i="7945" s="1"/>
  <c r="K423" i="7945" s="1"/>
  <c r="I333" i="7945"/>
  <c r="J319" i="7945"/>
  <c r="K319" i="7945" s="1"/>
  <c r="I349" i="7945" l="1"/>
  <c r="J335" i="7945"/>
  <c r="K335" i="7945" s="1"/>
  <c r="E349" i="7945"/>
  <c r="D363" i="7945"/>
  <c r="J290" i="7945"/>
  <c r="I304" i="7945"/>
  <c r="E365" i="7945"/>
  <c r="D379" i="7945"/>
  <c r="F335" i="7945"/>
  <c r="K276" i="7945"/>
  <c r="J285" i="7945"/>
  <c r="J376" i="7945"/>
  <c r="K376" i="7945" s="1"/>
  <c r="I390" i="7945"/>
  <c r="J354" i="7945"/>
  <c r="K354" i="7945" s="1"/>
  <c r="I368" i="7945"/>
  <c r="E406" i="7945"/>
  <c r="D420" i="7945"/>
  <c r="E420" i="7945" s="1"/>
  <c r="E282" i="7945"/>
  <c r="D296" i="7945"/>
  <c r="E396" i="7945"/>
  <c r="F396" i="7945" s="1"/>
  <c r="D410" i="7945"/>
  <c r="I323" i="7945"/>
  <c r="J309" i="7945"/>
  <c r="K309" i="7945" s="1"/>
  <c r="I324" i="7945"/>
  <c r="J310" i="7945"/>
  <c r="K310" i="7945" s="1"/>
  <c r="E376" i="7945"/>
  <c r="D390" i="7945"/>
  <c r="J333" i="7945"/>
  <c r="K333" i="7945" s="1"/>
  <c r="I347" i="7945"/>
  <c r="F268" i="7945"/>
  <c r="E271" i="7945"/>
  <c r="D311" i="7945"/>
  <c r="E297" i="7945"/>
  <c r="F297" i="7945" s="1"/>
  <c r="J347" i="7945" l="1"/>
  <c r="K347" i="7945" s="1"/>
  <c r="I361" i="7945"/>
  <c r="D404" i="7945"/>
  <c r="E390" i="7945"/>
  <c r="D424" i="7945"/>
  <c r="E424" i="7945" s="1"/>
  <c r="E410" i="7945"/>
  <c r="E296" i="7945"/>
  <c r="D310" i="7945"/>
  <c r="I382" i="7945"/>
  <c r="J368" i="7945"/>
  <c r="J390" i="7945"/>
  <c r="K390" i="7945" s="1"/>
  <c r="I404" i="7945"/>
  <c r="K285" i="7945"/>
  <c r="K448" i="7945" s="1"/>
  <c r="E379" i="7945"/>
  <c r="F379" i="7945" s="1"/>
  <c r="D393" i="7945"/>
  <c r="J304" i="7945"/>
  <c r="I318" i="7945"/>
  <c r="E363" i="7945"/>
  <c r="D377" i="7945"/>
  <c r="D325" i="7945"/>
  <c r="E311" i="7945"/>
  <c r="F311" i="7945" s="1"/>
  <c r="F376" i="7945"/>
  <c r="J324" i="7945"/>
  <c r="K324" i="7945" s="1"/>
  <c r="I338" i="7945"/>
  <c r="J323" i="7945"/>
  <c r="K323" i="7945" s="1"/>
  <c r="I337" i="7945"/>
  <c r="F282" i="7945"/>
  <c r="E285" i="7945"/>
  <c r="K290" i="7945"/>
  <c r="J299" i="7945"/>
  <c r="K299" i="7945" s="1"/>
  <c r="K449" i="7945" s="1"/>
  <c r="F349" i="7945"/>
  <c r="J349" i="7945"/>
  <c r="K349" i="7945" s="1"/>
  <c r="I363" i="7945"/>
  <c r="J404" i="7945" l="1"/>
  <c r="K404" i="7945" s="1"/>
  <c r="I418" i="7945"/>
  <c r="J418" i="7945" s="1"/>
  <c r="K418" i="7945" s="1"/>
  <c r="E310" i="7945"/>
  <c r="D324" i="7945"/>
  <c r="F390" i="7945"/>
  <c r="J361" i="7945"/>
  <c r="I375" i="7945"/>
  <c r="D339" i="7945"/>
  <c r="E325" i="7945"/>
  <c r="F325" i="7945" s="1"/>
  <c r="K304" i="7945"/>
  <c r="J313" i="7945"/>
  <c r="I377" i="7945"/>
  <c r="J363" i="7945"/>
  <c r="F285" i="7945"/>
  <c r="F448" i="7945" s="1"/>
  <c r="J337" i="7945"/>
  <c r="K337" i="7945" s="1"/>
  <c r="I351" i="7945"/>
  <c r="I352" i="7945"/>
  <c r="J338" i="7945"/>
  <c r="K338" i="7945" s="1"/>
  <c r="E377" i="7945"/>
  <c r="D391" i="7945"/>
  <c r="J318" i="7945"/>
  <c r="I332" i="7945"/>
  <c r="D407" i="7945"/>
  <c r="E393" i="7945"/>
  <c r="F393" i="7945" s="1"/>
  <c r="J382" i="7945"/>
  <c r="K382" i="7945" s="1"/>
  <c r="I396" i="7945"/>
  <c r="F296" i="7945"/>
  <c r="E299" i="7945"/>
  <c r="F299" i="7945" s="1"/>
  <c r="F449" i="7945" s="1"/>
  <c r="D418" i="7945"/>
  <c r="E418" i="7945" s="1"/>
  <c r="E404" i="7945"/>
  <c r="K318" i="7945" l="1"/>
  <c r="J327" i="7945"/>
  <c r="F377" i="7945"/>
  <c r="J352" i="7945"/>
  <c r="K352" i="7945" s="1"/>
  <c r="I366" i="7945"/>
  <c r="K313" i="7945"/>
  <c r="K450" i="7945" s="1"/>
  <c r="I389" i="7945"/>
  <c r="J375" i="7945"/>
  <c r="K375" i="7945" s="1"/>
  <c r="E324" i="7945"/>
  <c r="D338" i="7945"/>
  <c r="D421" i="7945"/>
  <c r="E421" i="7945" s="1"/>
  <c r="E407" i="7945"/>
  <c r="J396" i="7945"/>
  <c r="K396" i="7945" s="1"/>
  <c r="I410" i="7945"/>
  <c r="I346" i="7945"/>
  <c r="J332" i="7945"/>
  <c r="E391" i="7945"/>
  <c r="D405" i="7945"/>
  <c r="J351" i="7945"/>
  <c r="K351" i="7945" s="1"/>
  <c r="I365" i="7945"/>
  <c r="I391" i="7945"/>
  <c r="J377" i="7945"/>
  <c r="K377" i="7945" s="1"/>
  <c r="E339" i="7945"/>
  <c r="F339" i="7945" s="1"/>
  <c r="D353" i="7945"/>
  <c r="F310" i="7945"/>
  <c r="E313" i="7945"/>
  <c r="F313" i="7945" l="1"/>
  <c r="F450" i="7945" s="1"/>
  <c r="D419" i="7945"/>
  <c r="E419" i="7945" s="1"/>
  <c r="E405" i="7945"/>
  <c r="K332" i="7945"/>
  <c r="J341" i="7945"/>
  <c r="K341" i="7945" s="1"/>
  <c r="K452" i="7945" s="1"/>
  <c r="J410" i="7945"/>
  <c r="K410" i="7945" s="1"/>
  <c r="I424" i="7945"/>
  <c r="J424" i="7945" s="1"/>
  <c r="K424" i="7945" s="1"/>
  <c r="E338" i="7945"/>
  <c r="D352" i="7945"/>
  <c r="J391" i="7945"/>
  <c r="K391" i="7945" s="1"/>
  <c r="I405" i="7945"/>
  <c r="F391" i="7945"/>
  <c r="I360" i="7945"/>
  <c r="J346" i="7945"/>
  <c r="F324" i="7945"/>
  <c r="E327" i="7945"/>
  <c r="J389" i="7945"/>
  <c r="K389" i="7945" s="1"/>
  <c r="I403" i="7945"/>
  <c r="I380" i="7945"/>
  <c r="J366" i="7945"/>
  <c r="K327" i="7945"/>
  <c r="K451" i="7945" s="1"/>
  <c r="E353" i="7945"/>
  <c r="F353" i="7945" s="1"/>
  <c r="D367" i="7945"/>
  <c r="J365" i="7945"/>
  <c r="I379" i="7945"/>
  <c r="F327" i="7945" l="1"/>
  <c r="F451" i="7945" s="1"/>
  <c r="J403" i="7945"/>
  <c r="K403" i="7945" s="1"/>
  <c r="I417" i="7945"/>
  <c r="J417" i="7945" s="1"/>
  <c r="K417" i="7945" s="1"/>
  <c r="K346" i="7945"/>
  <c r="J355" i="7945"/>
  <c r="J405" i="7945"/>
  <c r="K405" i="7945" s="1"/>
  <c r="I419" i="7945"/>
  <c r="J419" i="7945" s="1"/>
  <c r="K419" i="7945" s="1"/>
  <c r="E352" i="7945"/>
  <c r="D366" i="7945"/>
  <c r="J379" i="7945"/>
  <c r="K379" i="7945" s="1"/>
  <c r="I393" i="7945"/>
  <c r="D381" i="7945"/>
  <c r="E367" i="7945"/>
  <c r="J380" i="7945"/>
  <c r="K380" i="7945" s="1"/>
  <c r="I394" i="7945"/>
  <c r="I374" i="7945"/>
  <c r="J360" i="7945"/>
  <c r="J369" i="7945" s="1"/>
  <c r="F338" i="7945"/>
  <c r="E341" i="7945"/>
  <c r="J374" i="7945" l="1"/>
  <c r="I388" i="7945"/>
  <c r="F341" i="7945"/>
  <c r="F452" i="7945" s="1"/>
  <c r="I408" i="7945"/>
  <c r="J394" i="7945"/>
  <c r="K394" i="7945" s="1"/>
  <c r="J393" i="7945"/>
  <c r="K393" i="7945" s="1"/>
  <c r="I407" i="7945"/>
  <c r="E366" i="7945"/>
  <c r="E369" i="7945" s="1"/>
  <c r="D380" i="7945"/>
  <c r="K355" i="7945"/>
  <c r="K453" i="7945" s="1"/>
  <c r="D395" i="7945"/>
  <c r="E381" i="7945"/>
  <c r="F381" i="7945" s="1"/>
  <c r="F352" i="7945"/>
  <c r="E355" i="7945"/>
  <c r="F355" i="7945" l="1"/>
  <c r="F453" i="7945" s="1"/>
  <c r="E395" i="7945"/>
  <c r="F395" i="7945" s="1"/>
  <c r="D409" i="7945"/>
  <c r="E380" i="7945"/>
  <c r="D394" i="7945"/>
  <c r="I421" i="7945"/>
  <c r="J421" i="7945" s="1"/>
  <c r="K421" i="7945" s="1"/>
  <c r="J407" i="7945"/>
  <c r="K407" i="7945" s="1"/>
  <c r="J408" i="7945"/>
  <c r="K408" i="7945" s="1"/>
  <c r="I422" i="7945"/>
  <c r="J422" i="7945" s="1"/>
  <c r="K422" i="7945" s="1"/>
  <c r="I402" i="7945"/>
  <c r="J388" i="7945"/>
  <c r="K374" i="7945"/>
  <c r="J383" i="7945"/>
  <c r="K383" i="7945" l="1"/>
  <c r="K455" i="7945" s="1"/>
  <c r="J397" i="7945"/>
  <c r="K397" i="7945" s="1"/>
  <c r="K388" i="7945"/>
  <c r="E394" i="7945"/>
  <c r="D408" i="7945"/>
  <c r="D423" i="7945"/>
  <c r="E423" i="7945" s="1"/>
  <c r="E409" i="7945"/>
  <c r="I416" i="7945"/>
  <c r="J416" i="7945" s="1"/>
  <c r="J402" i="7945"/>
  <c r="F380" i="7945"/>
  <c r="E383" i="7945"/>
  <c r="F383" i="7945" l="1"/>
  <c r="F455" i="7945" s="1"/>
  <c r="K402" i="7945"/>
  <c r="J411" i="7945"/>
  <c r="K411" i="7945" s="1"/>
  <c r="E408" i="7945"/>
  <c r="E411" i="7945" s="1"/>
  <c r="D422" i="7945"/>
  <c r="E422" i="7945" s="1"/>
  <c r="E425" i="7945" s="1"/>
  <c r="J425" i="7945"/>
  <c r="K425" i="7945" s="1"/>
  <c r="K416" i="7945"/>
  <c r="F394" i="7945"/>
  <c r="E397" i="7945"/>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Wydeveld, Michael</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R370" authorId="3">
      <text>
        <r>
          <rPr>
            <b/>
            <sz val="9"/>
            <color indexed="81"/>
            <rFont val="Tahoma"/>
            <family val="2"/>
          </rPr>
          <t>AER:</t>
        </r>
        <r>
          <rPr>
            <sz val="9"/>
            <color indexed="81"/>
            <rFont val="Tahoma"/>
            <family val="2"/>
          </rPr>
          <t xml:space="preserve">
Removed all legacy meters. Balance removed from capex RFM.</t>
        </r>
      </text>
    </comment>
    <comment ref="T370" authorId="3">
      <text>
        <r>
          <rPr>
            <b/>
            <sz val="9"/>
            <color indexed="81"/>
            <rFont val="Tahoma"/>
            <family val="2"/>
          </rPr>
          <t>AER:</t>
        </r>
        <r>
          <rPr>
            <sz val="9"/>
            <color indexed="81"/>
            <rFont val="Tahoma"/>
            <family val="2"/>
          </rPr>
          <t xml:space="preserve">
Balance to be removed from capex RFM.</t>
        </r>
      </text>
    </comment>
    <comment ref="R378" authorId="3">
      <text>
        <r>
          <rPr>
            <b/>
            <sz val="9"/>
            <color indexed="81"/>
            <rFont val="Tahoma"/>
            <family val="2"/>
          </rPr>
          <t>AER:</t>
        </r>
        <r>
          <rPr>
            <sz val="9"/>
            <color indexed="81"/>
            <rFont val="Tahoma"/>
            <family val="2"/>
          </rPr>
          <t xml:space="preserve">
Removed all legacy assets. The remaining balance is removed from capex RFM.</t>
        </r>
      </text>
    </comment>
    <comment ref="T378" authorId="3">
      <text>
        <r>
          <rPr>
            <b/>
            <sz val="9"/>
            <color indexed="81"/>
            <rFont val="Tahoma"/>
            <family val="2"/>
          </rPr>
          <t>AER:</t>
        </r>
        <r>
          <rPr>
            <sz val="9"/>
            <color indexed="81"/>
            <rFont val="Tahoma"/>
            <family val="2"/>
          </rPr>
          <t xml:space="preserve">
Balance to be removed from capex RFM.</t>
        </r>
      </text>
    </comment>
  </commentList>
</comments>
</file>

<file path=xl/comments5.xml><?xml version="1.0" encoding="utf-8"?>
<comments xmlns="http://schemas.openxmlformats.org/spreadsheetml/2006/main">
  <authors>
    <author>Seymour, Jonathan</author>
  </authors>
  <commentList>
    <comment ref="T19" authorId="0">
      <text>
        <r>
          <rPr>
            <b/>
            <sz val="9"/>
            <color indexed="81"/>
            <rFont val="Tahoma"/>
            <family val="2"/>
          </rPr>
          <t>AER:</t>
        </r>
        <r>
          <rPr>
            <sz val="9"/>
            <color indexed="81"/>
            <rFont val="Tahoma"/>
            <family val="2"/>
          </rPr>
          <t xml:space="preserve">
Balance to be removed from Capex RFM.</t>
        </r>
      </text>
    </comment>
  </commentList>
</comments>
</file>

<file path=xl/sharedStrings.xml><?xml version="1.0" encoding="utf-8"?>
<sst xmlns="http://schemas.openxmlformats.org/spreadsheetml/2006/main" count="388" uniqueCount="162">
  <si>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</si>
  <si>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</si>
  <si>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</si>
  <si>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</si>
  <si>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</si>
  <si>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</si>
  <si>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</si>
  <si>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</si>
  <si>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</si>
  <si>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</si>
  <si>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</si>
  <si>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</si>
  <si>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</si>
  <si>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</si>
  <si>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</si>
  <si>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</si>
  <si>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</si>
  <si>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</si>
  <si>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</si>
  <si>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</si>
  <si>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</si>
  <si>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</si>
  <si>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</si>
  <si>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</si>
  <si>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</si>
  <si>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</si>
  <si>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</si>
  <si>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</si>
  <si>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</si>
  <si>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</si>
  <si>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</si>
  <si>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</si>
  <si>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</si>
  <si>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</si>
  <si>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</si>
  <si>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</si>
  <si>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</si>
  <si>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</si>
  <si>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</si>
  <si>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</si>
  <si>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</si>
  <si>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</si>
  <si>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</si>
  <si>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</si>
  <si>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</si>
  <si>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</si>
  <si>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</si>
  <si>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</si>
  <si>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</si>
  <si>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</si>
  <si>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</si>
  <si>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</si>
  <si>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</si>
  <si>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</si>
  <si>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</si>
  <si>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</si>
  <si>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</si>
  <si>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</si>
  <si>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</si>
  <si>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</si>
  <si>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</si>
  <si>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</si>
  <si>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</si>
  <si>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</si>
  <si>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</si>
  <si>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</si>
  <si>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</si>
  <si>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</si>
  <si>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</si>
  <si>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</si>
  <si>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</si>
  <si>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</si>
  <si>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</si>
  <si>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</si>
  <si>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</si>
  <si>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</si>
  <si>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</si>
  <si>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</si>
  <si>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</si>
  <si>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</si>
  <si>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</si>
  <si>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</si>
  <si>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</si>
  <si>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</si>
  <si>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</si>
  <si>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</si>
  <si>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</si>
  <si>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</si>
  <si>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</si>
  <si>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</si>
  <si>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</si>
  <si>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</si>
  <si>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</si>
  <si>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</si>
  <si>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</si>
  <si>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</si>
  <si>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</si>
  <si>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</si>
  <si>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</si>
  <si>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</si>
  <si>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</si>
  <si>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</si>
  <si>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</si>
  <si>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</si>
  <si>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</si>
  <si>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</si>
  <si>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</si>
  <si>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</si>
  <si>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</si>
  <si>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</si>
  <si>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</si>
  <si>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</si>
  <si>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</si>
  <si>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</si>
  <si>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</si>
  <si>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Depn on RAB</t>
  </si>
  <si>
    <t>Equity Raising Costs</t>
  </si>
  <si>
    <t>Not Used</t>
  </si>
  <si>
    <t>Average Remaining Asset Lives Roll Forward - RFM Version: 2.0</t>
  </si>
  <si>
    <t>Closing Asset Values and Lives</t>
  </si>
  <si>
    <t>(Age in years)</t>
  </si>
  <si>
    <t>($m Nominal)</t>
  </si>
  <si>
    <t>Closing Asset Value</t>
  </si>
  <si>
    <t>Average Remaining Life</t>
  </si>
  <si>
    <t>Closing Tax Value</t>
  </si>
  <si>
    <t>Average Tax Remaining Life</t>
  </si>
  <si>
    <t>n/a</t>
  </si>
  <si>
    <t>Start of Regulatory period</t>
  </si>
  <si>
    <t>Regulatory period (years)</t>
  </si>
  <si>
    <t>N/A</t>
  </si>
  <si>
    <t>($m Real)</t>
  </si>
  <si>
    <t>2010-11</t>
  </si>
  <si>
    <t>Other ACS</t>
  </si>
  <si>
    <t>Metering adjustment</t>
  </si>
  <si>
    <t>Overhead Sub-Transmission Lines</t>
  </si>
  <si>
    <t>Underground Sub-Transmission Cables</t>
  </si>
  <si>
    <t>Overhead Distribution Lines</t>
  </si>
  <si>
    <t>Underground Distribution Cables</t>
  </si>
  <si>
    <t xml:space="preserve">Distribution Equipment  </t>
  </si>
  <si>
    <t>Substation Bays</t>
  </si>
  <si>
    <t>Substation Establishment</t>
  </si>
  <si>
    <t>Distribution Substation Switchgear</t>
  </si>
  <si>
    <t>Zone Transformers</t>
  </si>
  <si>
    <t>Distribution Transformers</t>
  </si>
  <si>
    <t>Low Voltage Services</t>
  </si>
  <si>
    <t>Metering</t>
  </si>
  <si>
    <t xml:space="preserve">Communications – Pilot Wires </t>
  </si>
  <si>
    <t>Generation Assets</t>
  </si>
  <si>
    <t>Street Lighting</t>
  </si>
  <si>
    <t>Other Equipment</t>
  </si>
  <si>
    <t>Control Centre - SCADA</t>
  </si>
  <si>
    <t>Land &amp; Easements (System)</t>
  </si>
  <si>
    <t>Metering Type 5-6</t>
  </si>
  <si>
    <t>Communications</t>
  </si>
  <si>
    <t>IT Systems</t>
  </si>
  <si>
    <t>Office Equipment &amp; Furniture</t>
  </si>
  <si>
    <t>Motor Vehicles</t>
  </si>
  <si>
    <t>Plant &amp; Equipment</t>
  </si>
  <si>
    <t>Buildings</t>
  </si>
  <si>
    <t>Land &amp; Easements</t>
  </si>
  <si>
    <t>Land Improvements</t>
  </si>
  <si>
    <t>Meters removed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</si>
</sst>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C09]dd\-mmm\-yy;@"/>
  </numFmts>
  <fonts count="3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name val="Arial"/>
      <family val="2"/>
    </font>
    <font>
      <sz val="9"/>
      <color indexed="81"/>
      <name val="Tahoma"/>
      <family val="2"/>
    </font>
    <font>
      <b/>
      <sz val="9"/>
      <color indexed="81"/>
      <name val="Tahoma"/>
      <family val="2"/>
    </font>
  </fonts>
  <fills count="1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s>
  <borders count="29">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dashed">
        <color indexed="23"/>
      </left>
      <right/>
      <top style="thin">
        <color indexed="23"/>
      </top>
      <bottom/>
      <diagonal/>
    </border>
  </borders>
  <cellStyleXfs count="19">
    <xf numFmtId="0" fontId="0" fillId="0" borderId="0"/>
    <xf numFmtId="164" fontId="4" fillId="2" borderId="0" applyNumberFormat="0" applyFont="0" applyBorder="0" applyAlignment="0">
      <alignment horizontal="right"/>
    </xf>
    <xf numFmtId="166"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4"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cellStyleXfs>
  <cellXfs count="362">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6"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6" fontId="10" fillId="10" borderId="0" xfId="2" applyFont="1" applyFill="1" applyAlignment="1">
      <alignment horizontal="right"/>
    </xf>
    <xf numFmtId="166"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6" fontId="10" fillId="10" borderId="3" xfId="2" applyFont="1" applyFill="1" applyBorder="1" applyAlignment="1">
      <alignment horizontal="right"/>
    </xf>
    <xf numFmtId="166"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6"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6" fontId="4" fillId="11" borderId="5" xfId="2" applyNumberFormat="1" applyFont="1" applyFill="1" applyBorder="1" applyAlignment="1">
      <alignment horizontal="right" vertical="center"/>
    </xf>
    <xf numFmtId="166" fontId="4" fillId="11" borderId="0" xfId="2" applyNumberFormat="1" applyFont="1" applyFill="1" applyBorder="1" applyAlignment="1">
      <alignment horizontal="right" vertical="center"/>
    </xf>
    <xf numFmtId="166" fontId="4" fillId="11" borderId="5" xfId="2" applyFont="1" applyFill="1" applyBorder="1" applyAlignment="1">
      <alignment horizontal="center" vertical="center"/>
    </xf>
    <xf numFmtId="166"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6" fontId="10" fillId="10" borderId="3" xfId="2" applyNumberFormat="1" applyFont="1" applyFill="1" applyBorder="1" applyAlignment="1">
      <alignment horizontal="right"/>
    </xf>
    <xf numFmtId="166"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6"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6"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6" fontId="10" fillId="10" borderId="0" xfId="2" applyFont="1" applyFill="1" applyBorder="1" applyAlignment="1">
      <alignment horizontal="right"/>
    </xf>
    <xf numFmtId="169" fontId="10" fillId="10" borderId="0" xfId="2" applyNumberFormat="1" applyFont="1" applyFill="1" applyBorder="1"/>
    <xf numFmtId="166"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6"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6" fontId="15" fillId="10" borderId="0" xfId="0" applyNumberFormat="1" applyFont="1" applyFill="1"/>
    <xf numFmtId="169" fontId="4" fillId="10" borderId="0" xfId="2" applyNumberFormat="1" applyFont="1" applyFill="1"/>
    <xf numFmtId="166"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6" fontId="0" fillId="10" borderId="0" xfId="2" applyNumberFormat="1" applyFont="1" applyFill="1"/>
    <xf numFmtId="166" fontId="4" fillId="10" borderId="0" xfId="0" applyNumberFormat="1" applyFont="1" applyFill="1"/>
    <xf numFmtId="166" fontId="10" fillId="10" borderId="4" xfId="2" applyNumberFormat="1" applyFont="1" applyFill="1" applyBorder="1" applyAlignment="1">
      <alignment horizontal="right"/>
    </xf>
    <xf numFmtId="166" fontId="4" fillId="10" borderId="0" xfId="2" applyNumberFormat="1" applyFont="1" applyFill="1"/>
    <xf numFmtId="166" fontId="4" fillId="12" borderId="2" xfId="2" applyNumberFormat="1" applyFont="1" applyFill="1" applyBorder="1"/>
    <xf numFmtId="166" fontId="4" fillId="10" borderId="0" xfId="2" applyNumberFormat="1" applyFont="1" applyFill="1" applyBorder="1"/>
    <xf numFmtId="0" fontId="0" fillId="12" borderId="0" xfId="0" applyFill="1" applyBorder="1"/>
    <xf numFmtId="170" fontId="2" fillId="10" borderId="0" xfId="2" applyNumberFormat="1" applyFont="1" applyFill="1" applyBorder="1"/>
    <xf numFmtId="166"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6"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6" fontId="1" fillId="10" borderId="0" xfId="2" applyNumberFormat="1" applyFill="1"/>
    <xf numFmtId="170" fontId="1" fillId="10" borderId="0" xfId="2" applyNumberFormat="1" applyFill="1"/>
    <xf numFmtId="170" fontId="0" fillId="10" borderId="0" xfId="2" applyNumberFormat="1" applyFont="1" applyFill="1" applyBorder="1"/>
    <xf numFmtId="166"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6" fontId="10" fillId="3" borderId="9" xfId="2" applyNumberFormat="1" applyFont="1" applyFill="1" applyBorder="1" applyAlignment="1">
      <alignment horizontal="right"/>
    </xf>
    <xf numFmtId="166" fontId="10" fillId="3" borderId="10" xfId="2" applyNumberFormat="1" applyFont="1" applyFill="1" applyBorder="1" applyAlignment="1">
      <alignment horizontal="right"/>
    </xf>
    <xf numFmtId="166" fontId="10" fillId="3" borderId="11" xfId="2" applyNumberFormat="1" applyFont="1" applyFill="1" applyBorder="1" applyAlignment="1">
      <alignment horizontal="right"/>
    </xf>
    <xf numFmtId="166"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6" fontId="15" fillId="10" borderId="0" xfId="0" applyNumberFormat="1" applyFont="1" applyFill="1" applyBorder="1"/>
    <xf numFmtId="166"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6" fontId="15" fillId="10" borderId="0" xfId="2" applyNumberFormat="1" applyFont="1" applyFill="1" applyBorder="1" applyAlignment="1">
      <alignment horizontal="right"/>
    </xf>
    <xf numFmtId="166" fontId="10" fillId="10" borderId="0" xfId="2" applyNumberFormat="1" applyFont="1" applyFill="1"/>
    <xf numFmtId="166" fontId="10" fillId="10" borderId="0" xfId="0" applyNumberFormat="1" applyFont="1" applyFill="1"/>
    <xf numFmtId="166" fontId="4" fillId="11" borderId="12" xfId="2" applyNumberFormat="1" applyFont="1" applyFill="1" applyBorder="1" applyAlignment="1">
      <alignment horizontal="right" vertical="center"/>
    </xf>
    <xf numFmtId="166" fontId="4" fillId="11" borderId="13" xfId="2" applyNumberFormat="1" applyFont="1" applyFill="1" applyBorder="1" applyAlignment="1">
      <alignment horizontal="right" vertical="center"/>
    </xf>
    <xf numFmtId="10" fontId="1" fillId="11" borderId="12" xfId="18"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6" fontId="4" fillId="10" borderId="5" xfId="2" applyNumberFormat="1" applyFont="1" applyFill="1" applyBorder="1" applyAlignment="1">
      <alignment horizontal="right" vertical="center"/>
    </xf>
    <xf numFmtId="166" fontId="4" fillId="10" borderId="12" xfId="2" applyNumberFormat="1" applyFont="1" applyFill="1" applyBorder="1" applyAlignment="1">
      <alignment horizontal="right" vertical="center"/>
    </xf>
    <xf numFmtId="166" fontId="4" fillId="10" borderId="13" xfId="2" applyNumberFormat="1" applyFont="1" applyFill="1" applyBorder="1" applyAlignment="1">
      <alignment horizontal="right" vertical="center"/>
    </xf>
    <xf numFmtId="166"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6" fontId="4" fillId="12" borderId="2" xfId="0" applyNumberFormat="1" applyFont="1" applyFill="1" applyBorder="1"/>
    <xf numFmtId="166"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6"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6" fontId="1" fillId="10" borderId="14" xfId="2" applyNumberFormat="1" applyFill="1" applyBorder="1"/>
    <xf numFmtId="166" fontId="15" fillId="10" borderId="14" xfId="0" applyNumberFormat="1" applyFont="1" applyFill="1" applyBorder="1"/>
    <xf numFmtId="166" fontId="0" fillId="10" borderId="14" xfId="0" applyNumberFormat="1" applyFill="1" applyBorder="1"/>
    <xf numFmtId="166" fontId="4" fillId="10" borderId="14" xfId="0" applyNumberFormat="1" applyFont="1" applyFill="1" applyBorder="1"/>
    <xf numFmtId="166" fontId="15" fillId="10" borderId="14" xfId="2" applyNumberFormat="1" applyFont="1" applyFill="1" applyBorder="1"/>
    <xf numFmtId="166"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6" fontId="0" fillId="10" borderId="14" xfId="2" applyNumberFormat="1" applyFont="1" applyFill="1" applyBorder="1"/>
    <xf numFmtId="170" fontId="0" fillId="10" borderId="14" xfId="2" applyNumberFormat="1" applyFont="1" applyFill="1" applyBorder="1"/>
    <xf numFmtId="166" fontId="15" fillId="0" borderId="14" xfId="2" applyNumberFormat="1" applyFont="1" applyFill="1" applyBorder="1"/>
    <xf numFmtId="0" fontId="0" fillId="10" borderId="14" xfId="0" applyFill="1" applyBorder="1"/>
    <xf numFmtId="170" fontId="1" fillId="10" borderId="14" xfId="2" applyNumberFormat="1" applyFill="1" applyBorder="1"/>
    <xf numFmtId="166" fontId="4" fillId="10" borderId="14" xfId="2" applyFont="1" applyFill="1" applyBorder="1"/>
    <xf numFmtId="166" fontId="10" fillId="10" borderId="15" xfId="2" applyNumberFormat="1" applyFont="1" applyFill="1" applyBorder="1" applyAlignment="1">
      <alignment horizontal="right"/>
    </xf>
    <xf numFmtId="166" fontId="10" fillId="10" borderId="14" xfId="2" applyNumberFormat="1" applyFont="1" applyFill="1" applyBorder="1" applyAlignment="1">
      <alignment horizontal="right"/>
    </xf>
    <xf numFmtId="166" fontId="10" fillId="3" borderId="16" xfId="2" applyNumberFormat="1" applyFont="1" applyFill="1" applyBorder="1" applyAlignment="1">
      <alignment horizontal="right"/>
    </xf>
    <xf numFmtId="166" fontId="10" fillId="3" borderId="17" xfId="2" applyNumberFormat="1" applyFont="1" applyFill="1" applyBorder="1" applyAlignment="1">
      <alignment horizontal="right"/>
    </xf>
    <xf numFmtId="166"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6" fontId="4" fillId="0" borderId="0" xfId="2" applyFont="1" applyFill="1" applyBorder="1"/>
    <xf numFmtId="169" fontId="4" fillId="0" borderId="0" xfId="2" applyNumberFormat="1" applyFont="1" applyFill="1" applyBorder="1"/>
    <xf numFmtId="166" fontId="10" fillId="0" borderId="0" xfId="2" applyNumberFormat="1" applyFont="1" applyFill="1" applyBorder="1" applyAlignment="1">
      <alignment horizontal="right"/>
    </xf>
    <xf numFmtId="169" fontId="10" fillId="0" borderId="0" xfId="2" applyNumberFormat="1" applyFont="1" applyFill="1" applyBorder="1"/>
    <xf numFmtId="166" fontId="10" fillId="0" borderId="0" xfId="2" applyNumberFormat="1" applyFont="1" applyFill="1" applyAlignment="1">
      <alignment horizontal="right"/>
    </xf>
    <xf numFmtId="166" fontId="10" fillId="0" borderId="0" xfId="2" applyFont="1" applyFill="1" applyAlignment="1">
      <alignment horizontal="right"/>
    </xf>
    <xf numFmtId="0" fontId="0" fillId="0" borderId="0" xfId="0" applyFill="1" applyBorder="1"/>
    <xf numFmtId="166" fontId="10" fillId="3" borderId="10" xfId="2" applyFont="1" applyFill="1" applyBorder="1" applyAlignment="1">
      <alignment horizontal="right"/>
    </xf>
    <xf numFmtId="166" fontId="10" fillId="3" borderId="0" xfId="2" applyFont="1" applyFill="1" applyAlignment="1">
      <alignment horizontal="right"/>
    </xf>
    <xf numFmtId="166" fontId="10" fillId="3" borderId="11" xfId="2" applyFont="1" applyFill="1" applyBorder="1" applyAlignment="1">
      <alignment horizontal="right"/>
    </xf>
    <xf numFmtId="166" fontId="2" fillId="12" borderId="18" xfId="0" applyNumberFormat="1" applyFont="1" applyFill="1" applyBorder="1"/>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6"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6"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0" fontId="0" fillId="10" borderId="0" xfId="0" applyNumberFormat="1" applyFill="1"/>
    <xf numFmtId="166" fontId="0" fillId="0" borderId="0" xfId="0" applyNumberFormat="1" applyFill="1"/>
    <xf numFmtId="166" fontId="0" fillId="10" borderId="0" xfId="0" applyNumberFormat="1" applyFill="1" applyBorder="1" applyAlignment="1">
      <alignment wrapText="1"/>
    </xf>
    <xf numFmtId="2" fontId="29" fillId="10" borderId="0" xfId="0" applyNumberFormat="1" applyFont="1" applyFill="1" applyBorder="1" applyAlignment="1">
      <alignment wrapText="1"/>
    </xf>
    <xf numFmtId="0" fontId="29" fillId="10" borderId="0" xfId="0" applyFont="1" applyFill="1" applyBorder="1" applyAlignment="1">
      <alignment wrapText="1"/>
    </xf>
    <xf numFmtId="166" fontId="29" fillId="10" borderId="0" xfId="2" applyFont="1" applyFill="1" applyBorder="1" applyAlignment="1">
      <alignment horizontal="center" vertical="center"/>
    </xf>
    <xf numFmtId="166" fontId="4" fillId="0" borderId="0" xfId="2" applyFont="1" applyFill="1" applyBorder="1" applyAlignment="1">
      <alignment horizontal="center" vertical="center"/>
    </xf>
    <xf numFmtId="0" fontId="1" fillId="10" borderId="0" xfId="0" applyFont="1" applyFill="1"/>
    <xf numFmtId="0" fontId="1" fillId="10" borderId="0" xfId="0" applyFont="1" applyFill="1" applyAlignment="1">
      <alignment horizontal="left"/>
    </xf>
    <xf numFmtId="0" fontId="2"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wrapText="1"/>
    </xf>
    <xf numFmtId="0" fontId="0" fillId="10" borderId="4" xfId="0" applyFill="1" applyBorder="1" applyAlignment="1">
      <alignment wrapText="1"/>
    </xf>
    <xf numFmtId="0" fontId="2" fillId="10" borderId="0" xfId="0" applyFont="1" applyFill="1" applyBorder="1" applyAlignment="1">
      <alignment horizontal="right" wrapText="1"/>
    </xf>
    <xf numFmtId="0" fontId="2" fillId="10" borderId="0" xfId="0" applyFont="1" applyFill="1" applyAlignment="1">
      <alignment horizontal="right" wrapText="1"/>
    </xf>
    <xf numFmtId="0" fontId="1" fillId="10" borderId="0" xfId="0" applyFont="1" applyFill="1" applyAlignment="1">
      <alignment wrapText="1"/>
    </xf>
    <xf numFmtId="0" fontId="0" fillId="0" borderId="0" xfId="0" applyFill="1" applyAlignment="1">
      <alignment wrapText="1"/>
    </xf>
    <xf numFmtId="166" fontId="2" fillId="10" borderId="0" xfId="0" applyNumberFormat="1" applyFont="1" applyFill="1" applyAlignment="1">
      <alignment horizontal="left"/>
    </xf>
    <xf numFmtId="0" fontId="1" fillId="10" borderId="0" xfId="0" applyFont="1" applyFill="1" applyBorder="1" applyAlignment="1">
      <alignment horizontal="right"/>
    </xf>
    <xf numFmtId="0" fontId="0" fillId="10" borderId="0" xfId="0" applyFill="1" applyAlignment="1">
      <alignment horizontal="left"/>
    </xf>
    <xf numFmtId="166" fontId="15" fillId="10" borderId="0" xfId="0" applyNumberFormat="1" applyFont="1" applyFill="1" applyAlignment="1">
      <alignment horizontal="right"/>
    </xf>
    <xf numFmtId="0" fontId="15" fillId="10" borderId="0" xfId="0" applyFont="1" applyFill="1"/>
    <xf numFmtId="166" fontId="15" fillId="10" borderId="0" xfId="0" applyNumberFormat="1" applyFont="1" applyFill="1"/>
    <xf numFmtId="0" fontId="13" fillId="12" borderId="26" xfId="0" applyFont="1" applyFill="1" applyBorder="1" applyAlignment="1">
      <alignment horizontal="center"/>
    </xf>
    <xf numFmtId="0" fontId="2" fillId="10" borderId="0" xfId="0" applyFont="1" applyFill="1" applyAlignment="1">
      <alignment horizontal="left"/>
    </xf>
    <xf numFmtId="166" fontId="15" fillId="13" borderId="0" xfId="0" applyNumberFormat="1" applyFont="1" applyFill="1" applyAlignment="1">
      <alignment horizontal="right"/>
    </xf>
    <xf numFmtId="0" fontId="23" fillId="10" borderId="0" xfId="0" applyFont="1" applyFill="1" applyBorder="1" applyAlignment="1">
      <alignment horizontal="center"/>
    </xf>
    <xf numFmtId="0" fontId="13" fillId="10" borderId="0" xfId="0" applyFont="1" applyFill="1" applyBorder="1" applyAlignment="1">
      <alignment horizontal="center"/>
    </xf>
    <xf numFmtId="166" fontId="15" fillId="10" borderId="0" xfId="0" applyNumberFormat="1" applyFont="1" applyFill="1" applyBorder="1" applyAlignment="1">
      <alignment horizontal="right"/>
    </xf>
    <xf numFmtId="0" fontId="15" fillId="13" borderId="0" xfId="0" applyFont="1" applyFill="1" applyAlignment="1">
      <alignment horizontal="right"/>
    </xf>
    <xf numFmtId="0" fontId="15" fillId="10" borderId="0" xfId="0" applyFont="1" applyFill="1" applyBorder="1"/>
    <xf numFmtId="166" fontId="15" fillId="10" borderId="0" xfId="0" applyNumberFormat="1" applyFont="1" applyFill="1" applyAlignment="1">
      <alignment horizontal="left"/>
    </xf>
    <xf numFmtId="166" fontId="0" fillId="10" borderId="0" xfId="0" applyNumberFormat="1" applyFill="1"/>
    <xf numFmtId="166" fontId="15" fillId="13" borderId="0" xfId="0" applyNumberFormat="1" applyFont="1" applyFill="1" applyAlignment="1">
      <alignment horizontal="left"/>
    </xf>
    <xf numFmtId="0" fontId="0" fillId="13" borderId="0" xfId="0" applyFill="1"/>
    <xf numFmtId="166" fontId="0" fillId="10" borderId="0" xfId="0" applyNumberFormat="1" applyFill="1" applyAlignment="1">
      <alignment horizontal="left"/>
    </xf>
    <xf numFmtId="0" fontId="0" fillId="0" borderId="0" xfId="0" applyAlignment="1">
      <alignment horizontal="left"/>
    </xf>
    <xf numFmtId="166" fontId="0" fillId="0" borderId="0" xfId="0" applyNumberFormat="1"/>
    <xf numFmtId="0" fontId="15" fillId="0" borderId="0" xfId="0" applyFont="1"/>
    <xf numFmtId="0" fontId="15" fillId="0" borderId="0" xfId="0" applyFont="1" applyAlignment="1">
      <alignment horizontal="right"/>
    </xf>
    <xf numFmtId="166" fontId="15" fillId="0" borderId="0" xfId="0" applyNumberFormat="1" applyFont="1" applyAlignment="1">
      <alignment horizontal="right"/>
    </xf>
    <xf numFmtId="166" fontId="15" fillId="0" borderId="0" xfId="0" applyNumberFormat="1" applyFont="1"/>
    <xf numFmtId="0" fontId="2" fillId="13" borderId="2" xfId="0" applyFont="1" applyFill="1" applyBorder="1" applyAlignment="1">
      <alignment horizontal="center" wrapText="1"/>
    </xf>
    <xf numFmtId="176" fontId="1" fillId="11" borderId="0" xfId="2" applyNumberFormat="1" applyFont="1" applyFill="1" applyBorder="1" applyAlignment="1">
      <alignment horizontal="right" vertical="center"/>
    </xf>
    <xf numFmtId="0" fontId="1" fillId="11" borderId="0" xfId="2" applyNumberFormat="1" applyFont="1" applyFill="1" applyBorder="1" applyAlignment="1">
      <alignment horizontal="right" vertical="center"/>
    </xf>
    <xf numFmtId="10" fontId="1" fillId="10" borderId="28" xfId="18" applyNumberFormat="1" applyFill="1" applyBorder="1"/>
    <xf numFmtId="10" fontId="1" fillId="10" borderId="5" xfId="18" applyNumberFormat="1" applyFill="1" applyBorder="1"/>
    <xf numFmtId="166" fontId="4" fillId="14" borderId="12" xfId="2" applyNumberFormat="1" applyFont="1" applyFill="1" applyBorder="1" applyAlignment="1">
      <alignment horizontal="right" vertical="center"/>
    </xf>
    <xf numFmtId="166" fontId="4" fillId="14" borderId="13" xfId="2" applyNumberFormat="1" applyFont="1" applyFill="1" applyBorder="1" applyAlignment="1">
      <alignment horizontal="right" vertical="center"/>
    </xf>
    <xf numFmtId="166" fontId="4" fillId="14" borderId="5" xfId="2" applyFont="1" applyFill="1" applyBorder="1" applyAlignment="1">
      <alignment horizontal="center" vertical="center"/>
    </xf>
    <xf numFmtId="166" fontId="4" fillId="14" borderId="0" xfId="2" applyFont="1" applyFill="1" applyBorder="1" applyAlignment="1">
      <alignment horizontal="center" vertical="center"/>
    </xf>
    <xf numFmtId="166" fontId="10" fillId="14" borderId="0" xfId="2" applyNumberFormat="1" applyFont="1" applyFill="1" applyAlignment="1">
      <alignment horizontal="right"/>
    </xf>
    <xf numFmtId="166" fontId="10" fillId="14" borderId="11" xfId="2" applyNumberFormat="1" applyFont="1" applyFill="1" applyBorder="1" applyAlignment="1">
      <alignment horizontal="right"/>
    </xf>
    <xf numFmtId="166" fontId="10" fillId="14" borderId="0" xfId="2" applyFont="1" applyFill="1" applyAlignment="1">
      <alignment horizontal="right"/>
    </xf>
    <xf numFmtId="166" fontId="10" fillId="14" borderId="11" xfId="2" applyFont="1" applyFill="1" applyBorder="1" applyAlignment="1">
      <alignment horizontal="right"/>
    </xf>
    <xf numFmtId="10" fontId="1" fillId="14" borderId="5" xfId="18" applyNumberFormat="1" applyFill="1" applyBorder="1"/>
    <xf numFmtId="168" fontId="4" fillId="14" borderId="4" xfId="0" applyNumberFormat="1" applyFont="1" applyFill="1" applyBorder="1" applyAlignment="1">
      <alignment horizontal="center" vertical="center" wrapText="1"/>
    </xf>
    <xf numFmtId="168" fontId="4" fillId="14" borderId="0" xfId="0" applyNumberFormat="1" applyFont="1" applyFill="1" applyBorder="1" applyAlignment="1">
      <alignment horizontal="center" vertical="center" wrapText="1"/>
    </xf>
    <xf numFmtId="168" fontId="4" fillId="14" borderId="5" xfId="0" applyNumberFormat="1" applyFont="1" applyFill="1" applyBorder="1" applyAlignment="1">
      <alignment horizontal="center" vertical="center" wrapText="1"/>
    </xf>
    <xf numFmtId="166" fontId="0" fillId="14" borderId="0" xfId="0" applyNumberFormat="1" applyFill="1"/>
    <xf numFmtId="0" fontId="0" fillId="14" borderId="0" xfId="0" applyFill="1"/>
    <xf numFmtId="166" fontId="2" fillId="14" borderId="2" xfId="0" applyNumberFormat="1" applyFont="1" applyFill="1" applyBorder="1"/>
    <xf numFmtId="0" fontId="0" fillId="14" borderId="0" xfId="0" applyFill="1" applyAlignment="1">
      <alignment horizontal="center"/>
    </xf>
    <xf numFmtId="2" fontId="0" fillId="14" borderId="0" xfId="0" applyNumberFormat="1" applyFill="1"/>
    <xf numFmtId="0" fontId="15" fillId="14" borderId="0" xfId="0" applyFont="1" applyFill="1"/>
    <xf numFmtId="0" fontId="15" fillId="14" borderId="0" xfId="0" applyFont="1" applyFill="1" applyAlignment="1">
      <alignment horizontal="right"/>
    </xf>
    <xf numFmtId="166" fontId="15" fillId="14" borderId="0" xfId="0" applyNumberFormat="1" applyFont="1" applyFill="1" applyAlignment="1">
      <alignment horizontal="right"/>
    </xf>
    <xf numFmtId="166" fontId="4" fillId="14" borderId="0" xfId="2" applyFont="1" applyFill="1" applyBorder="1"/>
    <xf numFmtId="166" fontId="1" fillId="14" borderId="0" xfId="2" applyFont="1" applyFill="1" applyBorder="1"/>
    <xf numFmtId="166" fontId="15" fillId="14" borderId="0" xfId="0" applyNumberFormat="1" applyFont="1" applyFill="1"/>
    <xf numFmtId="2" fontId="15" fillId="14" borderId="0" xfId="0" applyNumberFormat="1" applyFont="1" applyFill="1"/>
    <xf numFmtId="168" fontId="15" fillId="14" borderId="0" xfId="0" applyNumberFormat="1" applyFont="1" applyFill="1"/>
    <xf numFmtId="10" fontId="1" fillId="14" borderId="12" xfId="2" applyNumberFormat="1" applyFill="1" applyBorder="1"/>
    <xf numFmtId="10" fontId="1" fillId="14" borderId="5" xfId="2" applyNumberFormat="1" applyFill="1" applyBorder="1"/>
    <xf numFmtId="166" fontId="1" fillId="14" borderId="0" xfId="0" applyNumberFormat="1" applyFont="1" applyFill="1"/>
    <xf numFmtId="2" fontId="1" fillId="14" borderId="0" xfId="0" applyNumberFormat="1" applyFont="1" applyFill="1"/>
    <xf numFmtId="168" fontId="1" fillId="14" borderId="0" xfId="0" applyNumberFormat="1" applyFont="1" applyFill="1"/>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3" borderId="25" xfId="0" applyFont="1" applyFill="1" applyBorder="1" applyAlignment="1">
      <alignment horizontal="center" vertical="top" textRotation="255"/>
    </xf>
    <xf numFmtId="0" fontId="0" fillId="13" borderId="26" xfId="0" applyFill="1" applyBorder="1" applyAlignment="1">
      <alignment horizontal="center" vertical="top" textRotation="255"/>
    </xf>
    <xf numFmtId="0" fontId="0" fillId="13" borderId="7" xfId="0" applyFill="1" applyBorder="1" applyAlignment="1">
      <alignment horizontal="center" vertical="top" textRotation="255"/>
    </xf>
    <xf numFmtId="0" fontId="23" fillId="13" borderId="27" xfId="0" applyFont="1" applyFill="1" applyBorder="1" applyAlignment="1">
      <alignment horizontal="center" vertical="center" textRotation="255"/>
    </xf>
    <xf numFmtId="0" fontId="0" fillId="13" borderId="26" xfId="0" applyFill="1" applyBorder="1" applyAlignment="1">
      <alignment horizontal="center" vertical="center" textRotation="255"/>
    </xf>
    <xf numFmtId="0" fontId="0" fillId="13" borderId="7" xfId="0" applyFill="1" applyBorder="1" applyAlignment="1">
      <alignment horizontal="center" vertical="center" textRotation="255"/>
    </xf>
    <xf numFmtId="0" fontId="23" fillId="13" borderId="23" xfId="0" applyFont="1" applyFill="1" applyBorder="1" applyAlignment="1">
      <alignment horizontal="center"/>
    </xf>
    <xf numFmtId="0" fontId="23" fillId="13" borderId="24" xfId="0" applyFont="1" applyFill="1" applyBorder="1" applyAlignment="1">
      <alignment horizontal="center"/>
    </xf>
    <xf numFmtId="0" fontId="23" fillId="10" borderId="23" xfId="0" applyFont="1" applyFill="1" applyBorder="1" applyAlignment="1">
      <alignment horizontal="center"/>
    </xf>
    <xf numFmtId="0" fontId="23" fillId="10" borderId="24" xfId="0" applyFont="1" applyFill="1" applyBorder="1" applyAlignment="1">
      <alignment horizontal="center"/>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6E5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rgon%20-%20Metering%20and%20other%20ACS%20adjustments%20-%20Final%20dec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 adjustments"/>
      <sheetName val="PD approach meters"/>
    </sheetNames>
    <sheetDataSet>
      <sheetData sheetId="0">
        <row r="6">
          <cell r="D6">
            <v>60.725280000000005</v>
          </cell>
        </row>
        <row r="8">
          <cell r="D8">
            <v>66.789964432013292</v>
          </cell>
        </row>
        <row r="11">
          <cell r="D11">
            <v>3.9385910000000002</v>
          </cell>
        </row>
        <row r="12">
          <cell r="D12">
            <v>0.42443999999999998</v>
          </cell>
        </row>
        <row r="13">
          <cell r="D13">
            <v>0.31191799999999997</v>
          </cell>
        </row>
        <row r="14">
          <cell r="D14">
            <v>3.4037860000000002</v>
          </cell>
        </row>
        <row r="15">
          <cell r="D15">
            <v>0.84442499999999998</v>
          </cell>
        </row>
        <row r="16">
          <cell r="D16">
            <v>4.5852310000000003</v>
          </cell>
        </row>
        <row r="19">
          <cell r="D19">
            <v>2.4491860000000001</v>
          </cell>
        </row>
        <row r="20">
          <cell r="D20">
            <v>0.103163</v>
          </cell>
        </row>
        <row r="21">
          <cell r="D21">
            <v>0.27571000000000001</v>
          </cell>
        </row>
        <row r="22">
          <cell r="D22">
            <v>6.5599239999999996</v>
          </cell>
        </row>
        <row r="23">
          <cell r="D23">
            <v>0.33858100000000002</v>
          </cell>
        </row>
        <row r="24">
          <cell r="D24">
            <v>5.7845279999999999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H13" sqref="H13"/>
    </sheetView>
  </sheetViews>
  <sheetFormatPr defaultRowHeight="12.75"/>
  <cols>
    <col min="1" max="1" width="2.28515625" customWidth="1"/>
    <col min="2" max="2" width="15.7109375" customWidth="1"/>
  </cols>
  <sheetData>
    <row r="1" spans="1:23" ht="44.25" customHeight="1">
      <c r="A1" s="9"/>
      <c r="B1" s="9"/>
      <c r="D1" s="46"/>
      <c r="E1" s="134"/>
      <c r="F1" s="253" t="s">
        <v>94</v>
      </c>
      <c r="R1" s="9"/>
      <c r="S1" s="9"/>
      <c r="T1" s="9"/>
      <c r="U1" s="9"/>
      <c r="V1" s="9"/>
      <c r="W1" s="9"/>
    </row>
    <row r="2" spans="1:23" ht="44.25" customHeight="1">
      <c r="A2" s="9"/>
      <c r="B2" s="9"/>
      <c r="D2" s="46"/>
      <c r="F2" s="253"/>
      <c r="K2" s="253" t="s">
        <v>96</v>
      </c>
      <c r="R2" s="9"/>
      <c r="S2" s="9"/>
      <c r="T2" s="9"/>
      <c r="U2" s="9"/>
      <c r="V2" s="9"/>
      <c r="W2" s="9"/>
    </row>
    <row r="3" spans="1:23" ht="54.95" customHeight="1">
      <c r="A3" s="9"/>
      <c r="B3" s="9"/>
      <c r="D3" s="46"/>
      <c r="G3" s="253"/>
      <c r="K3" s="190" t="s">
        <v>89</v>
      </c>
      <c r="R3" s="9"/>
      <c r="S3" s="9"/>
      <c r="T3" s="9"/>
      <c r="U3" s="9"/>
      <c r="V3" s="9"/>
      <c r="W3" s="9"/>
    </row>
    <row r="4" spans="1:23" ht="36" customHeight="1">
      <c r="A4" s="9"/>
      <c r="B4" s="9"/>
      <c r="D4" s="46"/>
      <c r="G4" s="253"/>
      <c r="J4" s="192"/>
      <c r="K4" s="254" t="s">
        <v>114</v>
      </c>
      <c r="R4" s="9"/>
      <c r="S4" s="9"/>
      <c r="T4" s="9"/>
      <c r="U4" s="9"/>
      <c r="V4" s="9"/>
      <c r="W4" s="9"/>
    </row>
    <row r="5" spans="1:23" ht="36" customHeight="1">
      <c r="A5" s="9"/>
      <c r="B5" s="9"/>
      <c r="D5" s="46"/>
      <c r="L5" s="192"/>
      <c r="M5" s="192"/>
      <c r="N5" s="192"/>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6"/>
      <c r="I7" s="124"/>
      <c r="J7" s="191"/>
      <c r="K7" s="176"/>
      <c r="L7" s="124"/>
      <c r="M7" s="124"/>
      <c r="N7" s="176"/>
      <c r="O7" s="176"/>
      <c r="P7" s="124"/>
      <c r="Q7" s="124"/>
      <c r="R7" s="124"/>
      <c r="S7" s="124"/>
      <c r="T7" s="124"/>
      <c r="U7" s="124"/>
      <c r="V7" s="124"/>
      <c r="W7" s="124"/>
    </row>
    <row r="8" spans="1:23" ht="15.75">
      <c r="A8" s="124"/>
      <c r="B8" s="124"/>
      <c r="C8" s="124"/>
      <c r="D8" s="124"/>
      <c r="E8" s="124"/>
      <c r="F8" s="124"/>
      <c r="G8" s="124"/>
      <c r="H8" s="176"/>
      <c r="I8" s="124"/>
      <c r="J8" s="177"/>
      <c r="K8" s="176"/>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4" t="s">
        <v>97</v>
      </c>
      <c r="D13" s="43"/>
      <c r="E13" s="43"/>
      <c r="F13" s="43"/>
      <c r="G13" s="43"/>
      <c r="H13" s="43"/>
      <c r="I13" s="43"/>
      <c r="J13" s="43"/>
      <c r="K13" s="43"/>
      <c r="L13" s="43"/>
      <c r="M13" s="9"/>
      <c r="N13" s="9"/>
      <c r="O13" s="9"/>
      <c r="P13" s="9"/>
      <c r="Q13" s="9"/>
      <c r="R13" s="9"/>
      <c r="S13" s="9"/>
      <c r="T13" s="9"/>
      <c r="U13" s="9"/>
      <c r="V13" s="9"/>
      <c r="W13" s="9"/>
    </row>
    <row r="14" spans="1:23" ht="15">
      <c r="A14" s="9"/>
      <c r="B14" s="9"/>
      <c r="C14" s="174" t="s">
        <v>95</v>
      </c>
      <c r="D14" s="43"/>
      <c r="E14" s="43"/>
      <c r="F14" s="43"/>
      <c r="G14" s="43"/>
      <c r="H14" s="43"/>
      <c r="I14" s="43"/>
      <c r="J14" s="43"/>
      <c r="K14" s="43"/>
      <c r="L14" s="43"/>
      <c r="M14" s="9"/>
      <c r="N14" s="9"/>
      <c r="O14" s="9"/>
      <c r="P14" s="9"/>
      <c r="Q14" s="9"/>
      <c r="R14" s="9"/>
      <c r="S14" s="9"/>
      <c r="T14" s="9"/>
      <c r="U14" s="9"/>
      <c r="V14" s="9"/>
      <c r="W14" s="9"/>
    </row>
    <row r="15" spans="1:23" ht="15">
      <c r="A15" s="9"/>
      <c r="B15" s="9"/>
      <c r="C15" s="174"/>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5"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6" t="s">
        <v>109</v>
      </c>
      <c r="E21" s="257" t="s">
        <v>110</v>
      </c>
      <c r="F21" s="257"/>
      <c r="G21" s="257" t="s">
        <v>111</v>
      </c>
      <c r="H21" s="257"/>
      <c r="I21" s="43"/>
      <c r="J21" s="43"/>
      <c r="K21" s="43"/>
      <c r="L21" s="43"/>
      <c r="M21" s="9"/>
      <c r="N21" s="9"/>
      <c r="O21" s="9"/>
      <c r="P21" s="9"/>
      <c r="Q21" s="9"/>
      <c r="R21" s="9"/>
      <c r="S21" s="9"/>
      <c r="T21" s="9"/>
      <c r="U21" s="9"/>
      <c r="V21" s="9"/>
      <c r="W21" s="9"/>
    </row>
    <row r="22" spans="1:23" ht="15">
      <c r="A22" s="9"/>
      <c r="B22" s="9"/>
      <c r="C22" s="43"/>
      <c r="D22" s="258" t="s">
        <v>112</v>
      </c>
      <c r="E22" s="259">
        <v>39625</v>
      </c>
      <c r="F22" s="174"/>
      <c r="G22" s="174"/>
      <c r="H22" s="174"/>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1"/>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2"/>
      <c r="E40" s="240"/>
      <c r="F40" s="192"/>
      <c r="G40" s="192"/>
      <c r="H40" s="9"/>
      <c r="I40" s="9"/>
      <c r="J40" s="9"/>
      <c r="K40" s="9"/>
      <c r="L40" s="9"/>
      <c r="M40" s="9"/>
      <c r="N40" s="9"/>
      <c r="O40" s="9"/>
      <c r="P40" s="9"/>
      <c r="Q40" s="9"/>
      <c r="R40" s="9"/>
      <c r="S40" s="9"/>
      <c r="T40" s="9"/>
      <c r="U40" s="9"/>
      <c r="V40" s="9"/>
      <c r="W40" s="9"/>
    </row>
    <row r="41" spans="1:23" ht="15">
      <c r="A41" s="9"/>
      <c r="B41" s="9"/>
      <c r="C41" s="9"/>
      <c r="D41" s="252"/>
      <c r="E41" s="192"/>
      <c r="F41" s="192"/>
      <c r="G41" s="192"/>
      <c r="H41" s="9"/>
      <c r="I41" s="9"/>
      <c r="J41" s="9"/>
      <c r="K41" s="9"/>
      <c r="L41" s="9"/>
      <c r="M41" s="9"/>
      <c r="N41" s="9"/>
      <c r="O41" s="9"/>
      <c r="P41" s="9"/>
      <c r="Q41" s="9"/>
      <c r="R41" s="9"/>
      <c r="S41" s="9"/>
      <c r="T41" s="9"/>
      <c r="U41" s="9"/>
      <c r="V41" s="9"/>
      <c r="W41" s="9"/>
    </row>
    <row r="42" spans="1:23" ht="15">
      <c r="A42" s="9"/>
      <c r="B42" s="9"/>
      <c r="C42" s="9"/>
      <c r="D42" s="192"/>
      <c r="E42" s="6"/>
      <c r="F42" s="6"/>
      <c r="G42" s="192"/>
      <c r="H42" s="9"/>
      <c r="I42" s="9"/>
      <c r="J42" s="9"/>
      <c r="K42" s="9"/>
      <c r="L42" s="9"/>
      <c r="M42" s="9"/>
      <c r="N42" s="9"/>
      <c r="O42" s="9"/>
      <c r="P42" s="9"/>
      <c r="Q42" s="9"/>
      <c r="R42" s="9"/>
      <c r="S42" s="9"/>
      <c r="T42" s="9"/>
      <c r="U42" s="9"/>
      <c r="V42" s="9"/>
      <c r="W42" s="9"/>
    </row>
    <row r="43" spans="1:23" ht="15">
      <c r="A43" s="9"/>
      <c r="B43" s="9"/>
      <c r="C43" s="9"/>
      <c r="D43" s="192"/>
      <c r="E43" s="6"/>
      <c r="F43" s="6"/>
      <c r="G43" s="192"/>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opLeftCell="A148" zoomScale="90" workbookViewId="0">
      <selection activeCell="K162" sqref="K162"/>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2"/>
      <c r="AF1" s="192"/>
      <c r="AG1" s="192"/>
      <c r="AH1" s="192"/>
      <c r="AI1" s="192"/>
      <c r="AJ1" s="192"/>
      <c r="AK1" s="192"/>
      <c r="AL1" s="192"/>
      <c r="AM1" s="192"/>
      <c r="AN1" s="192"/>
      <c r="AO1" s="192"/>
      <c r="AP1" s="192"/>
      <c r="AQ1" s="192"/>
      <c r="AR1" s="192"/>
      <c r="AS1" s="192"/>
      <c r="AT1" s="192"/>
      <c r="AU1" s="192"/>
    </row>
    <row r="2" spans="1:47" ht="16.5" customHeight="1">
      <c r="A2" s="12"/>
      <c r="B2" s="12"/>
      <c r="C2" s="12"/>
      <c r="D2" s="12"/>
      <c r="E2" s="12"/>
      <c r="F2" s="53" t="s">
        <v>21</v>
      </c>
      <c r="G2" s="345" t="s">
        <v>78</v>
      </c>
      <c r="H2" s="346"/>
      <c r="I2" s="51"/>
      <c r="J2" s="51"/>
      <c r="K2" s="51"/>
      <c r="L2" s="51"/>
      <c r="M2" s="51"/>
      <c r="N2" s="51"/>
      <c r="O2" s="51"/>
      <c r="P2" s="51"/>
      <c r="Q2" s="51"/>
      <c r="R2" s="51"/>
      <c r="S2" s="51"/>
      <c r="T2" s="51"/>
      <c r="U2" s="51"/>
      <c r="V2" s="51"/>
      <c r="W2" s="51"/>
      <c r="X2" s="19"/>
      <c r="Y2" s="19"/>
      <c r="Z2" s="19"/>
      <c r="AA2" s="19"/>
      <c r="AB2" s="9"/>
      <c r="AC2" s="9"/>
      <c r="AD2" s="9"/>
      <c r="AE2" s="192"/>
      <c r="AF2" s="192"/>
      <c r="AG2" s="192"/>
      <c r="AH2" s="192"/>
      <c r="AI2" s="192"/>
      <c r="AJ2" s="192"/>
      <c r="AK2" s="192"/>
      <c r="AL2" s="192"/>
      <c r="AM2" s="192"/>
      <c r="AN2" s="192"/>
      <c r="AO2" s="192"/>
      <c r="AP2" s="192"/>
      <c r="AQ2" s="192"/>
      <c r="AR2" s="192"/>
      <c r="AS2" s="192"/>
      <c r="AT2" s="192"/>
      <c r="AU2" s="192"/>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7"/>
      <c r="AF3" s="217"/>
      <c r="AG3" s="217"/>
      <c r="AH3" s="217"/>
      <c r="AI3" s="217"/>
      <c r="AJ3" s="217"/>
      <c r="AK3" s="217"/>
      <c r="AL3" s="217"/>
      <c r="AM3" s="217"/>
      <c r="AN3" s="217"/>
      <c r="AO3" s="217"/>
      <c r="AP3" s="217"/>
      <c r="AQ3" s="217"/>
      <c r="AR3" s="217"/>
      <c r="AS3" s="217"/>
      <c r="AT3" s="217"/>
      <c r="AU3" s="217"/>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0"/>
      <c r="AF4" s="240"/>
      <c r="AG4" s="240"/>
      <c r="AH4" s="240"/>
      <c r="AI4" s="240"/>
      <c r="AJ4" s="240"/>
      <c r="AK4" s="240"/>
      <c r="AL4" s="240"/>
      <c r="AM4" s="240"/>
      <c r="AN4" s="240"/>
      <c r="AO4" s="240"/>
      <c r="AP4" s="240"/>
      <c r="AQ4" s="240"/>
      <c r="AR4" s="240"/>
      <c r="AS4" s="240"/>
      <c r="AT4" s="240"/>
      <c r="AU4" s="240"/>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76"/>
      <c r="K5" s="77"/>
      <c r="L5" s="76"/>
      <c r="M5" s="77"/>
      <c r="N5" s="76"/>
      <c r="O5" s="76"/>
      <c r="P5" s="76"/>
      <c r="Q5" s="76"/>
      <c r="R5" s="76"/>
      <c r="S5" s="76"/>
      <c r="T5" s="76"/>
      <c r="U5" s="76"/>
      <c r="V5" s="77"/>
      <c r="W5" s="77"/>
      <c r="X5" s="8"/>
      <c r="Y5" s="8"/>
      <c r="Z5" s="8"/>
      <c r="AA5" s="8"/>
      <c r="AB5" s="44"/>
      <c r="AC5" s="9"/>
      <c r="AD5" s="9"/>
      <c r="AE5" s="192"/>
      <c r="AF5" s="192"/>
      <c r="AG5" s="192"/>
      <c r="AH5" s="192"/>
      <c r="AI5" s="192"/>
      <c r="AJ5" s="192"/>
      <c r="AK5" s="192"/>
      <c r="AL5" s="192"/>
      <c r="AM5" s="192"/>
      <c r="AN5" s="192"/>
      <c r="AO5" s="192"/>
      <c r="AP5" s="192"/>
      <c r="AQ5" s="192"/>
      <c r="AR5" s="192"/>
      <c r="AS5" s="192"/>
      <c r="AT5" s="192"/>
      <c r="AU5" s="192"/>
    </row>
    <row r="6" spans="1:47" ht="45" customHeight="1">
      <c r="A6" s="12"/>
      <c r="B6" s="12"/>
      <c r="C6" s="12"/>
      <c r="D6" s="12"/>
      <c r="E6" s="12"/>
      <c r="F6" s="39"/>
      <c r="G6" s="347" t="s">
        <v>88</v>
      </c>
      <c r="H6" s="347"/>
      <c r="I6" s="347"/>
      <c r="J6" s="11" t="s">
        <v>2</v>
      </c>
      <c r="K6" s="10" t="s">
        <v>3</v>
      </c>
      <c r="L6" s="10" t="s">
        <v>4</v>
      </c>
      <c r="M6" s="10" t="s">
        <v>81</v>
      </c>
      <c r="N6" s="10" t="s">
        <v>75</v>
      </c>
      <c r="O6" s="10" t="s">
        <v>50</v>
      </c>
      <c r="P6" s="10" t="s">
        <v>64</v>
      </c>
      <c r="Q6" s="10" t="s">
        <v>51</v>
      </c>
      <c r="R6" s="10" t="s">
        <v>52</v>
      </c>
      <c r="S6" s="10" t="s">
        <v>66</v>
      </c>
      <c r="T6" s="10" t="s">
        <v>67</v>
      </c>
      <c r="U6" s="10" t="s">
        <v>68</v>
      </c>
      <c r="V6" s="10" t="s">
        <v>23</v>
      </c>
      <c r="W6" s="306" t="s">
        <v>127</v>
      </c>
      <c r="X6" s="306" t="s">
        <v>128</v>
      </c>
      <c r="Y6" s="8"/>
      <c r="Z6" s="9"/>
      <c r="AA6" s="9"/>
      <c r="AB6" s="9"/>
      <c r="AC6" s="9"/>
      <c r="AD6" s="9"/>
      <c r="AE6" s="192"/>
      <c r="AF6" s="192"/>
      <c r="AG6" s="192"/>
      <c r="AH6" s="192"/>
      <c r="AI6" s="192"/>
      <c r="AJ6" s="192"/>
      <c r="AK6" s="192"/>
      <c r="AL6" s="192"/>
      <c r="AM6" s="192"/>
      <c r="AN6" s="192"/>
      <c r="AO6" s="192"/>
      <c r="AP6" s="192"/>
      <c r="AQ6" s="192"/>
      <c r="AR6" s="192"/>
      <c r="AS6" s="192"/>
      <c r="AT6" s="192"/>
      <c r="AU6" s="192"/>
    </row>
    <row r="7" spans="1:47">
      <c r="A7" s="12"/>
      <c r="B7" s="12"/>
      <c r="C7" s="12"/>
      <c r="D7" s="12"/>
      <c r="E7" s="12"/>
      <c r="F7" s="40" t="s">
        <v>0</v>
      </c>
      <c r="G7" s="343" t="s">
        <v>134</v>
      </c>
      <c r="H7" s="344"/>
      <c r="I7" s="344"/>
      <c r="J7" s="64">
        <v>993.69486300000005</v>
      </c>
      <c r="K7" s="320">
        <v>35.140073709034695</v>
      </c>
      <c r="L7" s="261">
        <v>55</v>
      </c>
      <c r="M7" s="313">
        <v>62.312050999999997</v>
      </c>
      <c r="N7" s="313">
        <v>-0.62614300000000001</v>
      </c>
      <c r="O7" s="62"/>
      <c r="P7" s="62"/>
      <c r="Q7" s="62"/>
      <c r="R7" s="62"/>
      <c r="S7" s="64">
        <v>372.45990399999999</v>
      </c>
      <c r="T7" s="322">
        <v>14.901759957855308</v>
      </c>
      <c r="U7" s="261">
        <v>45</v>
      </c>
      <c r="V7" s="133" t="s">
        <v>131</v>
      </c>
      <c r="W7" s="307">
        <v>40360</v>
      </c>
      <c r="X7" s="308">
        <v>5</v>
      </c>
      <c r="Y7" s="8"/>
      <c r="Z7" s="9"/>
      <c r="AA7" s="9"/>
      <c r="AB7" s="9"/>
      <c r="AC7" s="9"/>
      <c r="AD7" s="9"/>
      <c r="AE7" s="192"/>
      <c r="AF7" s="192"/>
      <c r="AG7" s="192"/>
      <c r="AH7" s="192"/>
      <c r="AI7" s="192"/>
      <c r="AJ7" s="192"/>
      <c r="AK7" s="192"/>
      <c r="AL7" s="192"/>
      <c r="AM7" s="192"/>
      <c r="AN7" s="192"/>
      <c r="AO7" s="192"/>
      <c r="AP7" s="192"/>
      <c r="AQ7" s="192"/>
      <c r="AR7" s="192"/>
      <c r="AS7" s="192"/>
      <c r="AT7" s="192"/>
      <c r="AU7" s="192"/>
    </row>
    <row r="8" spans="1:47">
      <c r="A8" s="12"/>
      <c r="B8" s="12"/>
      <c r="C8" s="12"/>
      <c r="D8" s="12"/>
      <c r="E8" s="12"/>
      <c r="F8" s="40" t="s">
        <v>1</v>
      </c>
      <c r="G8" s="341" t="s">
        <v>135</v>
      </c>
      <c r="H8" s="342"/>
      <c r="I8" s="342"/>
      <c r="J8" s="65">
        <v>37.779063999999998</v>
      </c>
      <c r="K8" s="321">
        <v>23.215795037755502</v>
      </c>
      <c r="L8" s="263">
        <v>45</v>
      </c>
      <c r="M8" s="314">
        <v>15.132374</v>
      </c>
      <c r="N8" s="314">
        <v>0.75538400000000006</v>
      </c>
      <c r="O8" s="63"/>
      <c r="P8" s="63"/>
      <c r="Q8" s="63"/>
      <c r="R8" s="63"/>
      <c r="S8" s="65">
        <v>32.465457000000001</v>
      </c>
      <c r="T8" s="321">
        <v>33.768860799120525</v>
      </c>
      <c r="U8" s="263">
        <v>50</v>
      </c>
      <c r="V8" s="8"/>
      <c r="W8" s="8"/>
      <c r="X8" s="266"/>
      <c r="Y8" s="8"/>
      <c r="Z8" s="9"/>
      <c r="AA8" s="9"/>
      <c r="AB8" s="9"/>
      <c r="AC8" s="9"/>
      <c r="AD8" s="9"/>
      <c r="AE8" s="192"/>
      <c r="AF8" s="192"/>
      <c r="AG8" s="192"/>
      <c r="AH8" s="192"/>
      <c r="AI8" s="192"/>
      <c r="AJ8" s="192"/>
      <c r="AK8" s="192"/>
      <c r="AL8" s="192"/>
      <c r="AM8" s="192"/>
      <c r="AN8" s="192"/>
      <c r="AO8" s="192"/>
      <c r="AP8" s="192"/>
      <c r="AQ8" s="192"/>
      <c r="AR8" s="192"/>
      <c r="AS8" s="192"/>
      <c r="AT8" s="192"/>
      <c r="AU8" s="192"/>
    </row>
    <row r="9" spans="1:47">
      <c r="A9" s="12"/>
      <c r="B9" s="12"/>
      <c r="C9" s="12"/>
      <c r="D9" s="12"/>
      <c r="E9" s="12"/>
      <c r="F9" s="40" t="s">
        <v>6</v>
      </c>
      <c r="G9" s="341" t="s">
        <v>136</v>
      </c>
      <c r="H9" s="342"/>
      <c r="I9" s="342"/>
      <c r="J9" s="65">
        <v>2051.5581069999998</v>
      </c>
      <c r="K9" s="321">
        <v>34.865864159487863</v>
      </c>
      <c r="L9" s="263">
        <v>50</v>
      </c>
      <c r="M9" s="314">
        <v>136.92748700000001</v>
      </c>
      <c r="N9" s="314">
        <v>-0.99518300000000004</v>
      </c>
      <c r="O9" s="63"/>
      <c r="P9" s="63"/>
      <c r="Q9" s="63"/>
      <c r="R9" s="63"/>
      <c r="S9" s="65">
        <v>917.78671099999997</v>
      </c>
      <c r="T9" s="321">
        <v>23.116774827258503</v>
      </c>
      <c r="U9" s="263">
        <v>45</v>
      </c>
      <c r="V9" s="8"/>
      <c r="W9" s="8"/>
      <c r="X9" s="266"/>
      <c r="Y9" s="8"/>
      <c r="Z9" s="9"/>
      <c r="AA9" s="9"/>
      <c r="AB9" s="9"/>
      <c r="AC9" s="9"/>
      <c r="AD9" s="9"/>
      <c r="AE9" s="192"/>
      <c r="AF9" s="192"/>
      <c r="AG9" s="192"/>
      <c r="AH9" s="192"/>
      <c r="AI9" s="192"/>
      <c r="AJ9" s="192"/>
      <c r="AK9" s="192"/>
      <c r="AL9" s="192"/>
      <c r="AM9" s="192"/>
      <c r="AN9" s="192"/>
      <c r="AO9" s="192"/>
      <c r="AP9" s="192"/>
      <c r="AQ9" s="192"/>
      <c r="AR9" s="192"/>
      <c r="AS9" s="192"/>
      <c r="AT9" s="192"/>
      <c r="AU9" s="192"/>
    </row>
    <row r="10" spans="1:47">
      <c r="A10" s="12"/>
      <c r="B10" s="12"/>
      <c r="C10" s="12"/>
      <c r="D10" s="12"/>
      <c r="E10" s="12"/>
      <c r="F10" s="40" t="s">
        <v>7</v>
      </c>
      <c r="G10" s="341" t="s">
        <v>137</v>
      </c>
      <c r="H10" s="342"/>
      <c r="I10" s="342"/>
      <c r="J10" s="65">
        <v>529.61822400000005</v>
      </c>
      <c r="K10" s="321">
        <v>47.058447495443779</v>
      </c>
      <c r="L10" s="263">
        <v>60</v>
      </c>
      <c r="M10" s="314">
        <v>102.627076</v>
      </c>
      <c r="N10" s="314">
        <v>-3.878371</v>
      </c>
      <c r="O10" s="63"/>
      <c r="P10" s="63"/>
      <c r="Q10" s="63"/>
      <c r="R10" s="63"/>
      <c r="S10" s="65">
        <v>282.755495</v>
      </c>
      <c r="T10" s="321">
        <v>31.608991338405463</v>
      </c>
      <c r="U10" s="263">
        <v>50</v>
      </c>
      <c r="V10" s="8"/>
      <c r="W10" s="8"/>
      <c r="X10" s="266"/>
      <c r="Y10" s="8"/>
      <c r="Z10" s="9"/>
      <c r="AA10" s="9"/>
      <c r="AB10" s="9"/>
      <c r="AC10" s="9"/>
      <c r="AD10" s="9"/>
      <c r="AE10" s="192"/>
      <c r="AF10" s="192"/>
      <c r="AG10" s="192"/>
      <c r="AH10" s="192"/>
      <c r="AI10" s="192"/>
      <c r="AJ10" s="192"/>
      <c r="AK10" s="192"/>
      <c r="AL10" s="192"/>
      <c r="AM10" s="192"/>
      <c r="AN10" s="192"/>
      <c r="AO10" s="192"/>
      <c r="AP10" s="192"/>
      <c r="AQ10" s="192"/>
      <c r="AR10" s="192"/>
      <c r="AS10" s="192"/>
      <c r="AT10" s="192"/>
      <c r="AU10" s="192"/>
    </row>
    <row r="11" spans="1:47">
      <c r="A11" s="12"/>
      <c r="B11" s="12"/>
      <c r="C11" s="12"/>
      <c r="D11" s="12"/>
      <c r="E11" s="12"/>
      <c r="F11" s="40" t="s">
        <v>8</v>
      </c>
      <c r="G11" s="341" t="s">
        <v>138</v>
      </c>
      <c r="H11" s="342"/>
      <c r="I11" s="342"/>
      <c r="J11" s="65">
        <v>50.789208000000002</v>
      </c>
      <c r="K11" s="321">
        <v>19.068616143307125</v>
      </c>
      <c r="L11" s="263">
        <v>35</v>
      </c>
      <c r="M11" s="314">
        <v>17.737895000000002</v>
      </c>
      <c r="N11" s="314">
        <v>1.4445380000000001</v>
      </c>
      <c r="O11" s="63"/>
      <c r="P11" s="63"/>
      <c r="Q11" s="63"/>
      <c r="R11" s="63"/>
      <c r="S11" s="65">
        <v>13.628221999999999</v>
      </c>
      <c r="T11" s="321">
        <v>44.309327025609797</v>
      </c>
      <c r="U11" s="263">
        <v>45</v>
      </c>
      <c r="V11" s="8"/>
      <c r="W11" s="8"/>
      <c r="X11" s="266"/>
      <c r="Y11" s="8"/>
      <c r="Z11" s="9"/>
      <c r="AA11" s="9"/>
      <c r="AB11" s="9"/>
      <c r="AC11" s="9"/>
      <c r="AD11" s="9"/>
      <c r="AE11" s="192"/>
      <c r="AF11" s="192"/>
      <c r="AG11" s="192"/>
      <c r="AH11" s="192"/>
      <c r="AI11" s="192"/>
      <c r="AJ11" s="192"/>
      <c r="AK11" s="192"/>
      <c r="AL11" s="192"/>
      <c r="AM11" s="192"/>
      <c r="AN11" s="192"/>
      <c r="AO11" s="192"/>
      <c r="AP11" s="192"/>
      <c r="AQ11" s="192"/>
      <c r="AR11" s="192"/>
      <c r="AS11" s="192"/>
      <c r="AT11" s="192"/>
      <c r="AU11" s="192"/>
    </row>
    <row r="12" spans="1:47">
      <c r="A12" s="12"/>
      <c r="B12" s="12"/>
      <c r="C12" s="12"/>
      <c r="D12" s="12"/>
      <c r="E12" s="12"/>
      <c r="F12" s="40" t="s">
        <v>9</v>
      </c>
      <c r="G12" s="341" t="s">
        <v>139</v>
      </c>
      <c r="H12" s="342"/>
      <c r="I12" s="342"/>
      <c r="J12" s="65">
        <v>729.01710300000002</v>
      </c>
      <c r="K12" s="321">
        <v>32.667281167131492</v>
      </c>
      <c r="L12" s="263">
        <v>45</v>
      </c>
      <c r="M12" s="314">
        <v>99.001000000000005</v>
      </c>
      <c r="N12" s="314">
        <v>1.326967</v>
      </c>
      <c r="O12" s="63"/>
      <c r="P12" s="63"/>
      <c r="Q12" s="63"/>
      <c r="R12" s="63"/>
      <c r="S12" s="65">
        <v>361.423</v>
      </c>
      <c r="T12" s="321">
        <v>39.397557097209067</v>
      </c>
      <c r="U12" s="263">
        <v>40</v>
      </c>
      <c r="V12" s="8"/>
      <c r="W12" s="8"/>
      <c r="X12" s="8"/>
      <c r="Y12" s="8"/>
      <c r="Z12" s="9"/>
      <c r="AA12" s="9"/>
      <c r="AB12" s="9"/>
      <c r="AC12" s="9"/>
      <c r="AD12" s="9"/>
      <c r="AE12" s="192"/>
      <c r="AF12" s="192"/>
      <c r="AG12" s="192"/>
      <c r="AH12" s="192"/>
      <c r="AI12" s="192"/>
      <c r="AJ12" s="192"/>
      <c r="AK12" s="192"/>
      <c r="AL12" s="192"/>
      <c r="AM12" s="192"/>
      <c r="AN12" s="192"/>
      <c r="AO12" s="192"/>
      <c r="AP12" s="192"/>
      <c r="AQ12" s="192"/>
      <c r="AR12" s="192"/>
      <c r="AS12" s="192"/>
      <c r="AT12" s="192"/>
      <c r="AU12" s="192"/>
    </row>
    <row r="13" spans="1:47">
      <c r="A13" s="12"/>
      <c r="B13" s="12"/>
      <c r="C13" s="12"/>
      <c r="D13" s="12"/>
      <c r="E13" s="12"/>
      <c r="F13" s="40" t="s">
        <v>10</v>
      </c>
      <c r="G13" s="341" t="s">
        <v>140</v>
      </c>
      <c r="H13" s="342"/>
      <c r="I13" s="342"/>
      <c r="J13" s="65">
        <v>258.47623700000003</v>
      </c>
      <c r="K13" s="321">
        <v>31.225398435985589</v>
      </c>
      <c r="L13" s="263">
        <v>60</v>
      </c>
      <c r="M13" s="314">
        <v>29.065453000000002</v>
      </c>
      <c r="N13" s="314">
        <v>0.96549200000000002</v>
      </c>
      <c r="O13" s="63"/>
      <c r="P13" s="63"/>
      <c r="Q13" s="63"/>
      <c r="R13" s="63"/>
      <c r="S13" s="65">
        <v>112.131956</v>
      </c>
      <c r="T13" s="321">
        <v>36.118911663386399</v>
      </c>
      <c r="U13" s="263">
        <v>40</v>
      </c>
      <c r="V13" s="8"/>
      <c r="W13" s="8"/>
      <c r="X13" s="8"/>
      <c r="Y13" s="8"/>
      <c r="Z13" s="9"/>
      <c r="AA13" s="9"/>
      <c r="AB13" s="9"/>
      <c r="AC13" s="9"/>
      <c r="AD13" s="9"/>
      <c r="AE13" s="192"/>
      <c r="AF13" s="192"/>
      <c r="AG13" s="192"/>
      <c r="AH13" s="192"/>
      <c r="AI13" s="192"/>
      <c r="AJ13" s="192"/>
      <c r="AK13" s="192"/>
      <c r="AL13" s="192"/>
      <c r="AM13" s="192"/>
      <c r="AN13" s="192"/>
      <c r="AO13" s="192"/>
      <c r="AP13" s="192"/>
      <c r="AQ13" s="192"/>
      <c r="AR13" s="192"/>
      <c r="AS13" s="192"/>
      <c r="AT13" s="192"/>
      <c r="AU13" s="192"/>
    </row>
    <row r="14" spans="1:47">
      <c r="A14" s="12"/>
      <c r="B14" s="12"/>
      <c r="C14" s="12"/>
      <c r="D14" s="12"/>
      <c r="E14" s="12"/>
      <c r="F14" s="40" t="s">
        <v>11</v>
      </c>
      <c r="G14" s="341" t="s">
        <v>141</v>
      </c>
      <c r="H14" s="342"/>
      <c r="I14" s="342"/>
      <c r="J14" s="65">
        <v>87.030482000000006</v>
      </c>
      <c r="K14" s="321">
        <v>35.354565163753968</v>
      </c>
      <c r="L14" s="263">
        <v>45</v>
      </c>
      <c r="M14" s="314">
        <v>6.8010479999999998</v>
      </c>
      <c r="N14" s="314">
        <v>-8.4524000000000002E-2</v>
      </c>
      <c r="O14" s="63"/>
      <c r="P14" s="63"/>
      <c r="Q14" s="63"/>
      <c r="R14" s="63"/>
      <c r="S14" s="65">
        <v>59.974623999999999</v>
      </c>
      <c r="T14" s="321">
        <v>33.38664736425315</v>
      </c>
      <c r="U14" s="262">
        <v>40</v>
      </c>
      <c r="V14" s="8"/>
      <c r="W14" s="8"/>
      <c r="X14" s="8"/>
      <c r="Y14" s="8"/>
      <c r="Z14" s="9"/>
      <c r="AA14" s="9"/>
      <c r="AB14" s="9"/>
      <c r="AC14" s="9"/>
      <c r="AD14" s="9"/>
      <c r="AE14" s="192"/>
      <c r="AF14" s="192"/>
      <c r="AG14" s="192"/>
      <c r="AH14" s="192"/>
      <c r="AI14" s="192"/>
      <c r="AJ14" s="192"/>
      <c r="AK14" s="192"/>
      <c r="AL14" s="192"/>
      <c r="AM14" s="192"/>
      <c r="AN14" s="192"/>
      <c r="AO14" s="192"/>
      <c r="AP14" s="192"/>
      <c r="AQ14" s="192"/>
      <c r="AR14" s="192"/>
      <c r="AS14" s="192"/>
      <c r="AT14" s="192"/>
      <c r="AU14" s="192"/>
    </row>
    <row r="15" spans="1:47">
      <c r="A15" s="12"/>
      <c r="B15" s="12"/>
      <c r="C15" s="12"/>
      <c r="D15" s="12"/>
      <c r="E15" s="12"/>
      <c r="F15" s="40" t="s">
        <v>12</v>
      </c>
      <c r="G15" s="341" t="s">
        <v>142</v>
      </c>
      <c r="H15" s="342"/>
      <c r="I15" s="342"/>
      <c r="J15" s="65">
        <v>218.18559099999999</v>
      </c>
      <c r="K15" s="321">
        <v>27.544457688637667</v>
      </c>
      <c r="L15" s="263">
        <v>50</v>
      </c>
      <c r="M15" s="314">
        <v>24.550484000000001</v>
      </c>
      <c r="N15" s="314">
        <v>1.7081459999999999</v>
      </c>
      <c r="O15" s="63"/>
      <c r="P15" s="63"/>
      <c r="Q15" s="63"/>
      <c r="R15" s="63"/>
      <c r="S15" s="63">
        <v>161.25172499999999</v>
      </c>
      <c r="T15" s="321">
        <v>18.165921029619412</v>
      </c>
      <c r="U15" s="262">
        <v>40</v>
      </c>
      <c r="V15" s="8"/>
      <c r="W15" s="8"/>
      <c r="X15" s="8"/>
      <c r="Y15" s="8"/>
      <c r="Z15" s="9"/>
      <c r="AA15" s="9"/>
      <c r="AB15" s="9"/>
      <c r="AC15" s="9"/>
      <c r="AD15" s="9"/>
      <c r="AE15" s="192"/>
      <c r="AF15" s="192"/>
      <c r="AG15" s="192"/>
      <c r="AH15" s="192"/>
      <c r="AI15" s="192"/>
      <c r="AJ15" s="192"/>
      <c r="AK15" s="192"/>
      <c r="AL15" s="192"/>
      <c r="AM15" s="192"/>
      <c r="AN15" s="192"/>
      <c r="AO15" s="192"/>
      <c r="AP15" s="192"/>
      <c r="AQ15" s="192"/>
      <c r="AR15" s="192"/>
      <c r="AS15" s="192"/>
      <c r="AT15" s="192"/>
      <c r="AU15" s="192"/>
    </row>
    <row r="16" spans="1:47">
      <c r="A16" s="12"/>
      <c r="B16" s="12"/>
      <c r="C16" s="12"/>
      <c r="D16" s="12"/>
      <c r="E16" s="12"/>
      <c r="F16" s="40" t="s">
        <v>13</v>
      </c>
      <c r="G16" s="341" t="s">
        <v>143</v>
      </c>
      <c r="H16" s="342"/>
      <c r="I16" s="342"/>
      <c r="J16" s="65">
        <v>738.96965799999998</v>
      </c>
      <c r="K16" s="321">
        <v>22.268322155415376</v>
      </c>
      <c r="L16" s="263">
        <v>45</v>
      </c>
      <c r="M16" s="314">
        <v>98.858818999999997</v>
      </c>
      <c r="N16" s="314">
        <v>12.470083000000001</v>
      </c>
      <c r="O16" s="63"/>
      <c r="P16" s="63"/>
      <c r="Q16" s="63"/>
      <c r="R16" s="63"/>
      <c r="S16" s="63">
        <v>500.896367</v>
      </c>
      <c r="T16" s="321">
        <v>18.419871570314282</v>
      </c>
      <c r="U16" s="262">
        <v>40</v>
      </c>
      <c r="V16" s="8"/>
      <c r="W16" s="8"/>
      <c r="X16" s="8"/>
      <c r="Y16" s="8"/>
      <c r="Z16" s="9"/>
      <c r="AA16" s="9"/>
      <c r="AB16" s="9"/>
      <c r="AC16" s="9"/>
      <c r="AD16" s="9"/>
      <c r="AE16" s="192"/>
      <c r="AF16" s="192"/>
      <c r="AG16" s="192"/>
      <c r="AH16" s="192"/>
      <c r="AI16" s="192"/>
      <c r="AJ16" s="192"/>
      <c r="AK16" s="192"/>
      <c r="AL16" s="192"/>
      <c r="AM16" s="192"/>
      <c r="AN16" s="192"/>
      <c r="AO16" s="192"/>
      <c r="AP16" s="192"/>
      <c r="AQ16" s="192"/>
      <c r="AR16" s="192"/>
      <c r="AS16" s="192"/>
      <c r="AT16" s="192"/>
      <c r="AU16" s="192"/>
    </row>
    <row r="17" spans="1:47">
      <c r="A17" s="12"/>
      <c r="B17" s="12"/>
      <c r="C17" s="12"/>
      <c r="D17" s="12"/>
      <c r="E17" s="12"/>
      <c r="F17" s="40" t="s">
        <v>14</v>
      </c>
      <c r="G17" s="341" t="s">
        <v>144</v>
      </c>
      <c r="H17" s="342"/>
      <c r="I17" s="342"/>
      <c r="J17" s="65">
        <v>104.11265400000001</v>
      </c>
      <c r="K17" s="321">
        <v>4.058962463081385</v>
      </c>
      <c r="L17" s="263">
        <v>35</v>
      </c>
      <c r="M17" s="314">
        <v>10.628287</v>
      </c>
      <c r="N17" s="314">
        <v>21.383807000000001</v>
      </c>
      <c r="O17" s="63"/>
      <c r="P17" s="63"/>
      <c r="Q17" s="63"/>
      <c r="R17" s="63"/>
      <c r="S17" s="63">
        <v>161.57442900000001</v>
      </c>
      <c r="T17" s="321">
        <v>9.4824614619781986</v>
      </c>
      <c r="U17" s="262">
        <v>40</v>
      </c>
      <c r="V17" s="8"/>
      <c r="W17" s="8"/>
      <c r="X17" s="8"/>
      <c r="Y17" s="8"/>
      <c r="Z17" s="9"/>
      <c r="AA17" s="9"/>
      <c r="AB17" s="9"/>
      <c r="AC17" s="9"/>
      <c r="AD17" s="9"/>
      <c r="AE17" s="192"/>
      <c r="AF17" s="192"/>
      <c r="AG17" s="192"/>
      <c r="AH17" s="192"/>
      <c r="AI17" s="192"/>
      <c r="AJ17" s="192"/>
      <c r="AK17" s="192"/>
      <c r="AL17" s="192"/>
      <c r="AM17" s="192"/>
      <c r="AN17" s="192"/>
      <c r="AO17" s="192"/>
      <c r="AP17" s="192"/>
      <c r="AQ17" s="192"/>
      <c r="AR17" s="192"/>
      <c r="AS17" s="192"/>
      <c r="AT17" s="192"/>
      <c r="AU17" s="192"/>
    </row>
    <row r="18" spans="1:47">
      <c r="A18" s="12"/>
      <c r="B18" s="12"/>
      <c r="C18" s="12"/>
      <c r="D18" s="12"/>
      <c r="E18" s="12"/>
      <c r="F18" s="40" t="s">
        <v>15</v>
      </c>
      <c r="G18" s="341" t="s">
        <v>145</v>
      </c>
      <c r="H18" s="342"/>
      <c r="I18" s="342"/>
      <c r="J18" s="65">
        <v>63.344796000000002</v>
      </c>
      <c r="K18" s="321">
        <v>5.0108154366995441</v>
      </c>
      <c r="L18" s="263">
        <v>25</v>
      </c>
      <c r="M18" s="314">
        <v>13.107884</v>
      </c>
      <c r="N18" s="314">
        <v>10.447558000000001</v>
      </c>
      <c r="O18" s="63"/>
      <c r="P18" s="63"/>
      <c r="Q18" s="63"/>
      <c r="R18" s="63"/>
      <c r="S18" s="63">
        <v>34.311999999999998</v>
      </c>
      <c r="T18" s="321">
        <v>24.264772218594437</v>
      </c>
      <c r="U18" s="262">
        <v>25</v>
      </c>
      <c r="V18" s="8"/>
      <c r="W18" s="8"/>
      <c r="X18" s="8"/>
      <c r="Y18" s="8"/>
      <c r="Z18" s="9"/>
      <c r="AA18" s="9"/>
      <c r="AB18" s="9"/>
      <c r="AC18" s="9"/>
      <c r="AD18" s="9"/>
      <c r="AE18" s="192"/>
      <c r="AF18" s="192"/>
      <c r="AG18" s="192"/>
      <c r="AH18" s="192"/>
      <c r="AI18" s="192"/>
      <c r="AJ18" s="192"/>
      <c r="AK18" s="192"/>
      <c r="AL18" s="192"/>
      <c r="AM18" s="192"/>
      <c r="AN18" s="192"/>
      <c r="AO18" s="192"/>
      <c r="AP18" s="192"/>
      <c r="AQ18" s="192"/>
      <c r="AR18" s="192"/>
      <c r="AS18" s="192"/>
      <c r="AT18" s="192"/>
      <c r="AU18" s="192"/>
    </row>
    <row r="19" spans="1:47">
      <c r="A19" s="12"/>
      <c r="B19" s="12"/>
      <c r="C19" s="12"/>
      <c r="D19" s="12"/>
      <c r="E19" s="12"/>
      <c r="F19" s="40" t="s">
        <v>16</v>
      </c>
      <c r="G19" s="341" t="s">
        <v>146</v>
      </c>
      <c r="H19" s="342"/>
      <c r="I19" s="342"/>
      <c r="J19" s="65">
        <v>43.338639999999998</v>
      </c>
      <c r="K19" s="321">
        <v>19.950180364112828</v>
      </c>
      <c r="L19" s="263">
        <v>35</v>
      </c>
      <c r="M19" s="314">
        <v>38.635668000000003</v>
      </c>
      <c r="N19" s="314">
        <v>1.5611219999999999</v>
      </c>
      <c r="O19" s="63"/>
      <c r="P19" s="63"/>
      <c r="Q19" s="63"/>
      <c r="R19" s="63"/>
      <c r="S19" s="63">
        <v>13.088317</v>
      </c>
      <c r="T19" s="321">
        <v>9.6555581765901941</v>
      </c>
      <c r="U19" s="262">
        <v>10</v>
      </c>
      <c r="V19" s="8"/>
      <c r="W19" s="8"/>
      <c r="X19" s="8"/>
      <c r="Y19" s="8"/>
      <c r="Z19" s="9"/>
      <c r="AA19" s="9"/>
      <c r="AB19" s="9"/>
      <c r="AC19" s="9"/>
      <c r="AD19" s="9"/>
      <c r="AE19" s="192"/>
      <c r="AF19" s="192"/>
      <c r="AG19" s="192"/>
      <c r="AH19" s="192"/>
      <c r="AI19" s="192"/>
      <c r="AJ19" s="192"/>
      <c r="AK19" s="192"/>
      <c r="AL19" s="192"/>
      <c r="AM19" s="192"/>
      <c r="AN19" s="192"/>
      <c r="AO19" s="192"/>
      <c r="AP19" s="192"/>
      <c r="AQ19" s="192"/>
      <c r="AR19" s="192"/>
      <c r="AS19" s="192"/>
      <c r="AT19" s="192"/>
      <c r="AU19" s="192"/>
    </row>
    <row r="20" spans="1:47">
      <c r="A20" s="12"/>
      <c r="B20" s="12"/>
      <c r="C20" s="12"/>
      <c r="D20" s="12"/>
      <c r="E20" s="12"/>
      <c r="F20" s="40" t="s">
        <v>17</v>
      </c>
      <c r="G20" s="341" t="s">
        <v>147</v>
      </c>
      <c r="H20" s="342"/>
      <c r="I20" s="342"/>
      <c r="J20" s="65">
        <v>3.8847779999999998</v>
      </c>
      <c r="K20" s="321">
        <v>5.6089275457758072</v>
      </c>
      <c r="L20" s="263">
        <v>30</v>
      </c>
      <c r="M20" s="314">
        <v>6.9191000000000003E-2</v>
      </c>
      <c r="N20" s="314">
        <v>0.48629899999999998</v>
      </c>
      <c r="O20" s="63"/>
      <c r="P20" s="63"/>
      <c r="Q20" s="63"/>
      <c r="R20" s="63"/>
      <c r="S20" s="63">
        <v>2.5321099999999999</v>
      </c>
      <c r="T20" s="321">
        <v>6.5993074511510352</v>
      </c>
      <c r="U20" s="262">
        <v>15</v>
      </c>
      <c r="V20" s="8"/>
      <c r="W20" s="8"/>
      <c r="X20" s="8"/>
      <c r="Y20" s="8"/>
      <c r="Z20" s="9"/>
      <c r="AA20" s="9"/>
      <c r="AB20" s="9"/>
      <c r="AC20" s="9"/>
      <c r="AD20" s="9"/>
      <c r="AE20" s="192"/>
      <c r="AF20" s="192"/>
      <c r="AG20" s="192"/>
      <c r="AH20" s="192"/>
      <c r="AI20" s="192"/>
      <c r="AJ20" s="192"/>
      <c r="AK20" s="192"/>
      <c r="AL20" s="192"/>
      <c r="AM20" s="192"/>
      <c r="AN20" s="192"/>
      <c r="AO20" s="192"/>
      <c r="AP20" s="192"/>
      <c r="AQ20" s="192"/>
      <c r="AR20" s="192"/>
      <c r="AS20" s="192"/>
      <c r="AT20" s="192"/>
      <c r="AU20" s="192"/>
    </row>
    <row r="21" spans="1:47">
      <c r="A21" s="12"/>
      <c r="B21" s="12"/>
      <c r="C21" s="12"/>
      <c r="D21" s="12"/>
      <c r="E21" s="12"/>
      <c r="F21" s="40" t="s">
        <v>18</v>
      </c>
      <c r="G21" s="341" t="s">
        <v>148</v>
      </c>
      <c r="H21" s="342"/>
      <c r="I21" s="342"/>
      <c r="J21" s="65"/>
      <c r="K21" s="262"/>
      <c r="L21" s="263"/>
      <c r="M21" s="314"/>
      <c r="N21" s="314"/>
      <c r="O21" s="63"/>
      <c r="P21" s="63"/>
      <c r="Q21" s="63"/>
      <c r="R21" s="63"/>
      <c r="S21" s="63"/>
      <c r="T21" s="262"/>
      <c r="U21" s="262"/>
      <c r="V21" s="8"/>
      <c r="W21" s="8"/>
      <c r="X21" s="8"/>
      <c r="Y21" s="8"/>
      <c r="Z21" s="9"/>
      <c r="AA21" s="9"/>
      <c r="AB21" s="9"/>
      <c r="AC21" s="9"/>
      <c r="AD21" s="9"/>
      <c r="AE21" s="192"/>
      <c r="AF21" s="192"/>
      <c r="AG21" s="192"/>
      <c r="AH21" s="192"/>
      <c r="AI21" s="192"/>
      <c r="AJ21" s="192"/>
      <c r="AK21" s="192"/>
      <c r="AL21" s="192"/>
      <c r="AM21" s="192"/>
      <c r="AN21" s="192"/>
      <c r="AO21" s="192"/>
      <c r="AP21" s="192"/>
      <c r="AQ21" s="192"/>
      <c r="AR21" s="192"/>
      <c r="AS21" s="192"/>
      <c r="AT21" s="192"/>
      <c r="AU21" s="192"/>
    </row>
    <row r="22" spans="1:47">
      <c r="A22" s="12"/>
      <c r="B22" s="12"/>
      <c r="C22" s="12"/>
      <c r="D22" s="12"/>
      <c r="E22" s="12"/>
      <c r="F22" s="40" t="s">
        <v>19</v>
      </c>
      <c r="G22" s="341" t="s">
        <v>149</v>
      </c>
      <c r="H22" s="342"/>
      <c r="I22" s="342"/>
      <c r="J22" s="65">
        <v>17.990687000000001</v>
      </c>
      <c r="K22" s="321">
        <v>36.785407606725194</v>
      </c>
      <c r="L22" s="263">
        <v>40</v>
      </c>
      <c r="M22" s="314">
        <v>0.14513599999999999</v>
      </c>
      <c r="N22" s="314">
        <v>-4.3449000000000002E-2</v>
      </c>
      <c r="O22" s="63"/>
      <c r="P22" s="63"/>
      <c r="Q22" s="63"/>
      <c r="R22" s="63"/>
      <c r="S22" s="63">
        <v>17.082487</v>
      </c>
      <c r="T22" s="321">
        <v>37.769387900381986</v>
      </c>
      <c r="U22" s="262">
        <v>40</v>
      </c>
      <c r="V22" s="8"/>
      <c r="W22" s="8"/>
      <c r="X22" s="8"/>
      <c r="Y22" s="8"/>
      <c r="Z22" s="9"/>
      <c r="AA22" s="9"/>
      <c r="AB22" s="9"/>
      <c r="AC22" s="9"/>
      <c r="AD22" s="9"/>
      <c r="AE22" s="192"/>
      <c r="AF22" s="192"/>
      <c r="AG22" s="192"/>
      <c r="AH22" s="192"/>
      <c r="AI22" s="192"/>
      <c r="AJ22" s="192"/>
      <c r="AK22" s="192"/>
      <c r="AL22" s="192"/>
      <c r="AM22" s="192"/>
      <c r="AN22" s="192"/>
      <c r="AO22" s="192"/>
      <c r="AP22" s="192"/>
      <c r="AQ22" s="192"/>
      <c r="AR22" s="192"/>
      <c r="AS22" s="192"/>
      <c r="AT22" s="192"/>
      <c r="AU22" s="192"/>
    </row>
    <row r="23" spans="1:47">
      <c r="A23" s="12"/>
      <c r="B23" s="12"/>
      <c r="C23" s="12"/>
      <c r="D23" s="12"/>
      <c r="E23" s="12"/>
      <c r="F23" s="40" t="s">
        <v>20</v>
      </c>
      <c r="G23" s="341" t="s">
        <v>150</v>
      </c>
      <c r="H23" s="342"/>
      <c r="I23" s="342"/>
      <c r="J23" s="65">
        <v>41.890070000000001</v>
      </c>
      <c r="K23" s="321">
        <v>3.4330321585837891</v>
      </c>
      <c r="L23" s="263">
        <v>7</v>
      </c>
      <c r="M23" s="314">
        <v>10.50159</v>
      </c>
      <c r="N23" s="314">
        <v>8.2991620000000008</v>
      </c>
      <c r="O23" s="63"/>
      <c r="P23" s="63"/>
      <c r="Q23" s="63"/>
      <c r="R23" s="63"/>
      <c r="S23" s="63">
        <v>35.280799999999999</v>
      </c>
      <c r="T23" s="321">
        <v>9.0807120909960766</v>
      </c>
      <c r="U23" s="262">
        <v>10</v>
      </c>
      <c r="V23" s="8"/>
      <c r="W23" s="8"/>
      <c r="X23" s="8"/>
      <c r="Y23" s="8"/>
      <c r="Z23" s="9"/>
      <c r="AA23" s="9"/>
      <c r="AB23" s="9"/>
      <c r="AC23" s="9"/>
      <c r="AD23" s="9"/>
      <c r="AE23" s="192"/>
      <c r="AF23" s="192"/>
      <c r="AG23" s="192"/>
      <c r="AH23" s="192"/>
      <c r="AI23" s="192"/>
      <c r="AJ23" s="192"/>
      <c r="AK23" s="192"/>
      <c r="AL23" s="192"/>
      <c r="AM23" s="192"/>
      <c r="AN23" s="192"/>
      <c r="AO23" s="192"/>
      <c r="AP23" s="192"/>
      <c r="AQ23" s="192"/>
      <c r="AR23" s="192"/>
      <c r="AS23" s="192"/>
      <c r="AT23" s="192"/>
      <c r="AU23" s="192"/>
    </row>
    <row r="24" spans="1:47">
      <c r="A24" s="12"/>
      <c r="B24" s="12"/>
      <c r="C24" s="12"/>
      <c r="D24" s="12"/>
      <c r="E24" s="12"/>
      <c r="F24" s="40" t="s">
        <v>24</v>
      </c>
      <c r="G24" s="341" t="s">
        <v>151</v>
      </c>
      <c r="H24" s="342"/>
      <c r="I24" s="342"/>
      <c r="J24" s="65">
        <v>61.126826999999999</v>
      </c>
      <c r="K24" s="321" t="s">
        <v>129</v>
      </c>
      <c r="L24" s="263" t="s">
        <v>129</v>
      </c>
      <c r="M24" s="314">
        <v>17.834067000000001</v>
      </c>
      <c r="N24" s="314">
        <v>-1.7665649999999999</v>
      </c>
      <c r="O24" s="63"/>
      <c r="P24" s="63"/>
      <c r="Q24" s="63"/>
      <c r="R24" s="63"/>
      <c r="S24" s="63">
        <v>23.201557000000001</v>
      </c>
      <c r="T24" s="321" t="s">
        <v>126</v>
      </c>
      <c r="U24" s="262" t="s">
        <v>129</v>
      </c>
      <c r="V24" s="8"/>
      <c r="W24" s="8"/>
      <c r="X24" s="8"/>
      <c r="Y24" s="8"/>
      <c r="Z24" s="9"/>
      <c r="AA24" s="9"/>
      <c r="AB24" s="9"/>
      <c r="AC24" s="9"/>
      <c r="AD24" s="9"/>
      <c r="AE24" s="192"/>
      <c r="AF24" s="192"/>
      <c r="AG24" s="192"/>
      <c r="AH24" s="192"/>
      <c r="AI24" s="192"/>
      <c r="AJ24" s="192"/>
      <c r="AK24" s="192"/>
      <c r="AL24" s="192"/>
      <c r="AM24" s="192"/>
      <c r="AN24" s="192"/>
      <c r="AO24" s="192"/>
      <c r="AP24" s="192"/>
      <c r="AQ24" s="192"/>
      <c r="AR24" s="192"/>
      <c r="AS24" s="192"/>
      <c r="AT24" s="192"/>
      <c r="AU24" s="192"/>
    </row>
    <row r="25" spans="1:47">
      <c r="A25" s="12"/>
      <c r="B25" s="12"/>
      <c r="C25" s="12"/>
      <c r="D25" s="12"/>
      <c r="E25" s="12"/>
      <c r="F25" s="40" t="s">
        <v>25</v>
      </c>
      <c r="G25" s="341" t="s">
        <v>152</v>
      </c>
      <c r="H25" s="342"/>
      <c r="I25" s="342"/>
      <c r="J25" s="65">
        <v>0</v>
      </c>
      <c r="K25" s="321" t="s">
        <v>129</v>
      </c>
      <c r="L25" s="263">
        <v>25</v>
      </c>
      <c r="M25" s="314">
        <v>0</v>
      </c>
      <c r="N25" s="314">
        <v>0</v>
      </c>
      <c r="O25" s="63"/>
      <c r="P25" s="63"/>
      <c r="Q25" s="63"/>
      <c r="R25" s="63"/>
      <c r="S25" s="63">
        <v>0</v>
      </c>
      <c r="T25" s="321" t="s">
        <v>126</v>
      </c>
      <c r="U25" s="262">
        <v>25</v>
      </c>
      <c r="V25" s="8"/>
      <c r="W25" s="8"/>
      <c r="X25" s="8"/>
      <c r="Y25" s="8"/>
      <c r="Z25" s="9"/>
      <c r="AA25" s="9"/>
      <c r="AB25" s="9"/>
      <c r="AC25" s="9"/>
      <c r="AD25" s="9"/>
      <c r="AE25" s="192"/>
      <c r="AF25" s="192"/>
      <c r="AG25" s="192"/>
      <c r="AH25" s="192"/>
      <c r="AI25" s="192"/>
      <c r="AJ25" s="192"/>
      <c r="AK25" s="192"/>
      <c r="AL25" s="192"/>
      <c r="AM25" s="192"/>
      <c r="AN25" s="192"/>
      <c r="AO25" s="192"/>
      <c r="AP25" s="192"/>
      <c r="AQ25" s="192"/>
      <c r="AR25" s="192"/>
      <c r="AS25" s="192"/>
      <c r="AT25" s="192"/>
      <c r="AU25" s="192"/>
    </row>
    <row r="26" spans="1:47">
      <c r="A26" s="12"/>
      <c r="B26" s="12"/>
      <c r="C26" s="12"/>
      <c r="D26" s="12"/>
      <c r="E26" s="12"/>
      <c r="F26" s="40" t="s">
        <v>26</v>
      </c>
      <c r="G26" s="341" t="s">
        <v>153</v>
      </c>
      <c r="H26" s="342"/>
      <c r="I26" s="342"/>
      <c r="J26" s="65">
        <v>9.0331250000000001</v>
      </c>
      <c r="K26" s="321">
        <v>6.5989055631524938</v>
      </c>
      <c r="L26" s="263">
        <v>30</v>
      </c>
      <c r="M26" s="314">
        <v>-4.1692E-2</v>
      </c>
      <c r="N26" s="314">
        <v>0.93209299999999995</v>
      </c>
      <c r="O26" s="65"/>
      <c r="P26" s="65"/>
      <c r="Q26" s="65"/>
      <c r="R26" s="65"/>
      <c r="S26" s="65">
        <v>5.3760000000000003</v>
      </c>
      <c r="T26" s="321">
        <v>8.1479217603911991</v>
      </c>
      <c r="U26" s="262">
        <v>10</v>
      </c>
      <c r="V26" s="8"/>
      <c r="W26" s="8"/>
      <c r="X26" s="8"/>
      <c r="Y26" s="8"/>
      <c r="Z26" s="9"/>
      <c r="AA26" s="9"/>
      <c r="AB26" s="9"/>
      <c r="AC26" s="9"/>
      <c r="AD26" s="9"/>
      <c r="AE26" s="192"/>
      <c r="AF26" s="192"/>
      <c r="AG26" s="192"/>
      <c r="AH26" s="192"/>
      <c r="AI26" s="192"/>
      <c r="AJ26" s="192"/>
      <c r="AK26" s="192"/>
      <c r="AL26" s="192"/>
      <c r="AM26" s="192"/>
      <c r="AN26" s="192"/>
      <c r="AO26" s="192"/>
      <c r="AP26" s="192"/>
      <c r="AQ26" s="192"/>
      <c r="AR26" s="192"/>
      <c r="AS26" s="192"/>
      <c r="AT26" s="192"/>
      <c r="AU26" s="192"/>
    </row>
    <row r="27" spans="1:47">
      <c r="A27" s="12"/>
      <c r="B27" s="12"/>
      <c r="C27" s="12"/>
      <c r="D27" s="12"/>
      <c r="E27" s="12"/>
      <c r="F27" s="40" t="s">
        <v>98</v>
      </c>
      <c r="G27" s="341" t="s">
        <v>154</v>
      </c>
      <c r="H27" s="342"/>
      <c r="I27" s="342"/>
      <c r="J27" s="65">
        <v>38.095872999999997</v>
      </c>
      <c r="K27" s="321">
        <v>1.0002968999061503</v>
      </c>
      <c r="L27" s="263">
        <v>5</v>
      </c>
      <c r="M27" s="314">
        <v>13.518427000000001</v>
      </c>
      <c r="N27" s="314">
        <v>18.215378999999999</v>
      </c>
      <c r="O27" s="65"/>
      <c r="P27" s="65"/>
      <c r="Q27" s="65"/>
      <c r="R27" s="65"/>
      <c r="S27" s="65">
        <v>20.367750000000001</v>
      </c>
      <c r="T27" s="321">
        <v>3.2771872876480761</v>
      </c>
      <c r="U27" s="262">
        <v>4</v>
      </c>
      <c r="V27" s="8"/>
      <c r="W27" s="8"/>
      <c r="X27" s="8"/>
      <c r="Y27" s="8"/>
      <c r="Z27" s="9"/>
      <c r="AA27" s="9"/>
      <c r="AB27" s="9"/>
      <c r="AC27" s="9"/>
      <c r="AD27" s="9"/>
      <c r="AE27" s="192"/>
      <c r="AF27" s="192"/>
      <c r="AG27" s="192"/>
      <c r="AH27" s="192"/>
      <c r="AI27" s="192"/>
      <c r="AJ27" s="192"/>
      <c r="AK27" s="192"/>
      <c r="AL27" s="192"/>
      <c r="AM27" s="192"/>
      <c r="AN27" s="192"/>
      <c r="AO27" s="192"/>
      <c r="AP27" s="192"/>
      <c r="AQ27" s="192"/>
      <c r="AR27" s="192"/>
      <c r="AS27" s="192"/>
      <c r="AT27" s="192"/>
      <c r="AU27" s="192"/>
    </row>
    <row r="28" spans="1:47">
      <c r="A28" s="12"/>
      <c r="B28" s="12"/>
      <c r="C28" s="12"/>
      <c r="D28" s="12"/>
      <c r="E28" s="12"/>
      <c r="F28" s="40" t="s">
        <v>99</v>
      </c>
      <c r="G28" s="341" t="s">
        <v>155</v>
      </c>
      <c r="H28" s="342"/>
      <c r="I28" s="342"/>
      <c r="J28" s="65">
        <v>25.818006</v>
      </c>
      <c r="K28" s="321">
        <v>5.2342624316459014</v>
      </c>
      <c r="L28" s="263">
        <v>7</v>
      </c>
      <c r="M28" s="314">
        <v>0.31394100000000003</v>
      </c>
      <c r="N28" s="314">
        <v>3.4139110000000001</v>
      </c>
      <c r="O28" s="65"/>
      <c r="P28" s="65"/>
      <c r="Q28" s="65"/>
      <c r="R28" s="65"/>
      <c r="S28" s="65">
        <v>7.7268999999999997</v>
      </c>
      <c r="T28" s="321">
        <v>8.9048982493208655</v>
      </c>
      <c r="U28" s="262">
        <v>10</v>
      </c>
      <c r="V28" s="8"/>
      <c r="W28" s="8"/>
      <c r="X28" s="8"/>
      <c r="Y28" s="8"/>
      <c r="Z28" s="9"/>
      <c r="AA28" s="9"/>
      <c r="AB28" s="9"/>
      <c r="AC28" s="9"/>
      <c r="AD28" s="9"/>
      <c r="AE28" s="192"/>
      <c r="AF28" s="192"/>
      <c r="AG28" s="192"/>
      <c r="AH28" s="192"/>
      <c r="AI28" s="192"/>
      <c r="AJ28" s="192"/>
      <c r="AK28" s="192"/>
      <c r="AL28" s="192"/>
      <c r="AM28" s="192"/>
      <c r="AN28" s="192"/>
      <c r="AO28" s="192"/>
      <c r="AP28" s="192"/>
      <c r="AQ28" s="192"/>
      <c r="AR28" s="192"/>
      <c r="AS28" s="192"/>
      <c r="AT28" s="192"/>
      <c r="AU28" s="192"/>
    </row>
    <row r="29" spans="1:47">
      <c r="A29" s="12"/>
      <c r="B29" s="12"/>
      <c r="C29" s="12"/>
      <c r="D29" s="12"/>
      <c r="E29" s="12"/>
      <c r="F29" s="40" t="s">
        <v>100</v>
      </c>
      <c r="G29" s="341" t="s">
        <v>156</v>
      </c>
      <c r="H29" s="342"/>
      <c r="I29" s="342"/>
      <c r="J29" s="65">
        <v>103.27366499999999</v>
      </c>
      <c r="K29" s="321">
        <v>7.0090671436773055</v>
      </c>
      <c r="L29" s="263">
        <v>10</v>
      </c>
      <c r="M29" s="314">
        <v>25.332986999999999</v>
      </c>
      <c r="N29" s="314">
        <v>25.809996999999999</v>
      </c>
      <c r="O29" s="65"/>
      <c r="P29" s="65"/>
      <c r="Q29" s="65"/>
      <c r="R29" s="65"/>
      <c r="S29" s="65">
        <v>81.968963000000002</v>
      </c>
      <c r="T29" s="321">
        <v>12.267235644570498</v>
      </c>
      <c r="U29" s="262">
        <v>13.5</v>
      </c>
      <c r="V29" s="8"/>
      <c r="W29" s="8"/>
      <c r="X29" s="8"/>
      <c r="Y29" s="8"/>
      <c r="Z29" s="9"/>
      <c r="AA29" s="9"/>
      <c r="AB29" s="9"/>
      <c r="AC29" s="9"/>
      <c r="AD29" s="9"/>
      <c r="AE29" s="192"/>
      <c r="AF29" s="192"/>
      <c r="AG29" s="192"/>
      <c r="AH29" s="192"/>
      <c r="AI29" s="192"/>
      <c r="AJ29" s="192"/>
      <c r="AK29" s="192"/>
      <c r="AL29" s="192"/>
      <c r="AM29" s="192"/>
      <c r="AN29" s="192"/>
      <c r="AO29" s="192"/>
      <c r="AP29" s="192"/>
      <c r="AQ29" s="192"/>
      <c r="AR29" s="192"/>
      <c r="AS29" s="192"/>
      <c r="AT29" s="192"/>
      <c r="AU29" s="192"/>
    </row>
    <row r="30" spans="1:47">
      <c r="A30" s="12"/>
      <c r="B30" s="12"/>
      <c r="C30" s="12"/>
      <c r="D30" s="12"/>
      <c r="E30" s="12"/>
      <c r="F30" s="40" t="s">
        <v>101</v>
      </c>
      <c r="G30" s="341" t="s">
        <v>157</v>
      </c>
      <c r="H30" s="342"/>
      <c r="I30" s="342"/>
      <c r="J30" s="65">
        <v>90.480731000000006</v>
      </c>
      <c r="K30" s="321">
        <v>7.3879177799290172</v>
      </c>
      <c r="L30" s="263">
        <v>10</v>
      </c>
      <c r="M30" s="314">
        <v>7.2461000000000002</v>
      </c>
      <c r="N30" s="314">
        <v>12.271597</v>
      </c>
      <c r="O30" s="65"/>
      <c r="P30" s="65"/>
      <c r="Q30" s="65"/>
      <c r="R30" s="65"/>
      <c r="S30" s="65">
        <v>66.544799999999995</v>
      </c>
      <c r="T30" s="321">
        <v>3.7971035854200132</v>
      </c>
      <c r="U30" s="262">
        <v>5</v>
      </c>
      <c r="V30" s="8"/>
      <c r="W30" s="8"/>
      <c r="X30" s="8"/>
      <c r="Y30" s="8"/>
      <c r="Z30" s="9"/>
      <c r="AA30" s="9"/>
      <c r="AB30" s="9"/>
      <c r="AC30" s="9"/>
      <c r="AD30" s="9"/>
      <c r="AE30" s="192"/>
      <c r="AF30" s="192"/>
      <c r="AG30" s="192"/>
      <c r="AH30" s="192"/>
      <c r="AI30" s="192"/>
      <c r="AJ30" s="192"/>
      <c r="AK30" s="192"/>
      <c r="AL30" s="192"/>
      <c r="AM30" s="192"/>
      <c r="AN30" s="192"/>
      <c r="AO30" s="192"/>
      <c r="AP30" s="192"/>
      <c r="AQ30" s="192"/>
      <c r="AR30" s="192"/>
      <c r="AS30" s="192"/>
      <c r="AT30" s="192"/>
      <c r="AU30" s="192"/>
    </row>
    <row r="31" spans="1:47">
      <c r="A31" s="12"/>
      <c r="B31" s="12"/>
      <c r="C31" s="12"/>
      <c r="D31" s="12"/>
      <c r="E31" s="12"/>
      <c r="F31" s="40" t="s">
        <v>102</v>
      </c>
      <c r="G31" s="341" t="s">
        <v>158</v>
      </c>
      <c r="H31" s="342"/>
      <c r="I31" s="342"/>
      <c r="J31" s="65">
        <v>130.185092</v>
      </c>
      <c r="K31" s="321">
        <v>8.8699771529350162</v>
      </c>
      <c r="L31" s="263">
        <v>40</v>
      </c>
      <c r="M31" s="314">
        <v>87.450374999999994</v>
      </c>
      <c r="N31" s="314">
        <v>9.4653039999999997</v>
      </c>
      <c r="O31" s="65"/>
      <c r="P31" s="65"/>
      <c r="Q31" s="65"/>
      <c r="R31" s="65"/>
      <c r="S31" s="65">
        <v>136.33266</v>
      </c>
      <c r="T31" s="321">
        <v>26.212999958157823</v>
      </c>
      <c r="U31" s="262">
        <v>40</v>
      </c>
      <c r="V31" s="8"/>
      <c r="W31" s="8"/>
      <c r="X31" s="8"/>
      <c r="Y31" s="8"/>
      <c r="Z31" s="9"/>
      <c r="AA31" s="9"/>
      <c r="AB31" s="9"/>
      <c r="AC31" s="9"/>
      <c r="AD31" s="9"/>
      <c r="AE31" s="192"/>
      <c r="AF31" s="192"/>
      <c r="AG31" s="192"/>
      <c r="AH31" s="192"/>
      <c r="AI31" s="192"/>
      <c r="AJ31" s="192"/>
      <c r="AK31" s="192"/>
      <c r="AL31" s="192"/>
      <c r="AM31" s="192"/>
      <c r="AN31" s="192"/>
      <c r="AO31" s="192"/>
      <c r="AP31" s="192"/>
      <c r="AQ31" s="192"/>
      <c r="AR31" s="192"/>
      <c r="AS31" s="192"/>
      <c r="AT31" s="192"/>
      <c r="AU31" s="192"/>
    </row>
    <row r="32" spans="1:47">
      <c r="A32" s="12"/>
      <c r="B32" s="12"/>
      <c r="C32" s="12"/>
      <c r="D32" s="12"/>
      <c r="E32" s="12"/>
      <c r="F32" s="40" t="s">
        <v>103</v>
      </c>
      <c r="G32" s="341" t="s">
        <v>159</v>
      </c>
      <c r="H32" s="342"/>
      <c r="I32" s="342"/>
      <c r="J32" s="65">
        <v>12.977091</v>
      </c>
      <c r="K32" s="321" t="s">
        <v>129</v>
      </c>
      <c r="L32" s="263" t="s">
        <v>129</v>
      </c>
      <c r="M32" s="314">
        <v>1.7092080000000001</v>
      </c>
      <c r="N32" s="314">
        <v>-0.37503799999999998</v>
      </c>
      <c r="O32" s="65"/>
      <c r="P32" s="65"/>
      <c r="Q32" s="65"/>
      <c r="R32" s="65"/>
      <c r="S32" s="65">
        <v>26.824276000000001</v>
      </c>
      <c r="T32" s="321" t="s">
        <v>126</v>
      </c>
      <c r="U32" s="262" t="s">
        <v>129</v>
      </c>
      <c r="V32" s="8"/>
      <c r="W32" s="8"/>
      <c r="X32" s="8"/>
      <c r="Y32" s="8"/>
      <c r="Z32" s="9"/>
      <c r="AA32" s="9"/>
      <c r="AB32" s="9"/>
      <c r="AC32" s="9"/>
      <c r="AD32" s="9"/>
      <c r="AE32" s="192"/>
      <c r="AF32" s="192"/>
      <c r="AG32" s="192"/>
      <c r="AH32" s="192"/>
      <c r="AI32" s="192"/>
      <c r="AJ32" s="192"/>
      <c r="AK32" s="192"/>
      <c r="AL32" s="192"/>
      <c r="AM32" s="192"/>
      <c r="AN32" s="192"/>
      <c r="AO32" s="192"/>
      <c r="AP32" s="192"/>
      <c r="AQ32" s="192"/>
      <c r="AR32" s="192"/>
      <c r="AS32" s="192"/>
      <c r="AT32" s="192"/>
      <c r="AU32" s="192"/>
    </row>
    <row r="33" spans="1:47">
      <c r="A33" s="12"/>
      <c r="B33" s="12"/>
      <c r="C33" s="12"/>
      <c r="D33" s="12"/>
      <c r="E33" s="12"/>
      <c r="F33" s="40" t="s">
        <v>104</v>
      </c>
      <c r="G33" s="341" t="s">
        <v>160</v>
      </c>
      <c r="H33" s="342"/>
      <c r="I33" s="342"/>
      <c r="J33" s="65">
        <v>11.967378999999999</v>
      </c>
      <c r="K33" s="321">
        <v>37.314677953787225</v>
      </c>
      <c r="L33" s="263">
        <v>40</v>
      </c>
      <c r="M33" s="314">
        <v>0</v>
      </c>
      <c r="N33" s="314">
        <v>-3.3284000000000001E-2</v>
      </c>
      <c r="O33" s="65"/>
      <c r="P33" s="65"/>
      <c r="Q33" s="65"/>
      <c r="R33" s="65"/>
      <c r="S33" s="65">
        <v>11.301925000000001</v>
      </c>
      <c r="T33" s="321">
        <v>39.451697355790216</v>
      </c>
      <c r="U33" s="262">
        <v>40</v>
      </c>
      <c r="V33" s="8"/>
      <c r="W33" s="8"/>
      <c r="X33" s="8"/>
      <c r="Y33" s="8"/>
      <c r="Z33" s="9"/>
      <c r="AA33" s="9"/>
      <c r="AB33" s="9"/>
      <c r="AC33" s="9"/>
      <c r="AD33" s="9"/>
      <c r="AE33" s="192"/>
      <c r="AF33" s="192"/>
      <c r="AG33" s="192"/>
      <c r="AH33" s="192"/>
      <c r="AI33" s="192"/>
      <c r="AJ33" s="192"/>
      <c r="AK33" s="192"/>
      <c r="AL33" s="192"/>
      <c r="AM33" s="192"/>
      <c r="AN33" s="192"/>
      <c r="AO33" s="192"/>
      <c r="AP33" s="192"/>
      <c r="AQ33" s="192"/>
      <c r="AR33" s="192"/>
      <c r="AS33" s="192"/>
      <c r="AT33" s="192"/>
      <c r="AU33" s="192"/>
    </row>
    <row r="34" spans="1:47">
      <c r="A34" s="12"/>
      <c r="B34" s="12"/>
      <c r="C34" s="12"/>
      <c r="D34" s="12"/>
      <c r="E34" s="12"/>
      <c r="F34" s="40" t="s">
        <v>105</v>
      </c>
      <c r="G34" s="341" t="s">
        <v>116</v>
      </c>
      <c r="H34" s="342"/>
      <c r="I34" s="342"/>
      <c r="J34" s="65">
        <v>0</v>
      </c>
      <c r="K34" s="262" t="s">
        <v>129</v>
      </c>
      <c r="L34" s="263">
        <v>47.977745119053942</v>
      </c>
      <c r="M34" s="314">
        <v>0</v>
      </c>
      <c r="N34" s="314">
        <v>0</v>
      </c>
      <c r="O34" s="65"/>
      <c r="P34" s="65"/>
      <c r="Q34" s="65"/>
      <c r="R34" s="65"/>
      <c r="S34" s="65">
        <v>0</v>
      </c>
      <c r="T34" s="262" t="s">
        <v>129</v>
      </c>
      <c r="U34" s="262">
        <v>5</v>
      </c>
      <c r="V34" s="8"/>
      <c r="W34" s="8"/>
      <c r="X34" s="8"/>
      <c r="Y34" s="8"/>
      <c r="Z34" s="9"/>
      <c r="AA34" s="9"/>
      <c r="AB34" s="9"/>
      <c r="AC34" s="9"/>
      <c r="AD34" s="9"/>
      <c r="AE34" s="192"/>
      <c r="AF34" s="192"/>
      <c r="AG34" s="192"/>
      <c r="AH34" s="192"/>
      <c r="AI34" s="192"/>
      <c r="AJ34" s="192"/>
      <c r="AK34" s="192"/>
      <c r="AL34" s="192"/>
      <c r="AM34" s="192"/>
      <c r="AN34" s="192"/>
      <c r="AO34" s="192"/>
      <c r="AP34" s="192"/>
      <c r="AQ34" s="192"/>
      <c r="AR34" s="192"/>
      <c r="AS34" s="192"/>
      <c r="AT34" s="192"/>
      <c r="AU34" s="192"/>
    </row>
    <row r="35" spans="1:47">
      <c r="A35" s="12"/>
      <c r="B35" s="12"/>
      <c r="C35" s="12"/>
      <c r="D35" s="12"/>
      <c r="E35" s="12"/>
      <c r="F35" s="40" t="s">
        <v>106</v>
      </c>
      <c r="G35" s="341" t="s">
        <v>117</v>
      </c>
      <c r="H35" s="342"/>
      <c r="I35" s="342"/>
      <c r="J35" s="65"/>
      <c r="K35" s="263" t="s">
        <v>129</v>
      </c>
      <c r="L35" s="263" t="s">
        <v>129</v>
      </c>
      <c r="M35" s="314"/>
      <c r="N35" s="314"/>
      <c r="O35" s="65"/>
      <c r="P35" s="65"/>
      <c r="Q35" s="65"/>
      <c r="R35" s="65"/>
      <c r="S35" s="65"/>
      <c r="T35" s="65" t="s">
        <v>126</v>
      </c>
      <c r="U35" s="65"/>
      <c r="V35" s="8"/>
      <c r="W35" s="8"/>
      <c r="X35" s="8"/>
      <c r="Y35" s="8"/>
      <c r="Z35" s="9"/>
      <c r="AA35" s="9"/>
      <c r="AB35" s="9"/>
      <c r="AC35" s="9"/>
      <c r="AD35" s="9"/>
      <c r="AE35" s="192"/>
      <c r="AF35" s="192"/>
      <c r="AG35" s="192"/>
      <c r="AH35" s="192"/>
      <c r="AI35" s="192"/>
      <c r="AJ35" s="192"/>
      <c r="AK35" s="192"/>
      <c r="AL35" s="192"/>
      <c r="AM35" s="192"/>
      <c r="AN35" s="192"/>
      <c r="AO35" s="192"/>
      <c r="AP35" s="192"/>
      <c r="AQ35" s="192"/>
      <c r="AR35" s="192"/>
      <c r="AS35" s="192"/>
      <c r="AT35" s="192"/>
      <c r="AU35" s="192"/>
    </row>
    <row r="36" spans="1:47">
      <c r="A36" s="12"/>
      <c r="B36" s="12"/>
      <c r="C36" s="12"/>
      <c r="D36" s="12"/>
      <c r="E36" s="12"/>
      <c r="F36" s="40" t="s">
        <v>107</v>
      </c>
      <c r="G36" s="341" t="s">
        <v>117</v>
      </c>
      <c r="H36" s="342"/>
      <c r="I36" s="342"/>
      <c r="J36" s="65"/>
      <c r="K36" s="263" t="s">
        <v>129</v>
      </c>
      <c r="L36" s="263" t="s">
        <v>129</v>
      </c>
      <c r="M36" s="314"/>
      <c r="N36" s="314"/>
      <c r="O36" s="65"/>
      <c r="P36" s="65"/>
      <c r="Q36" s="65"/>
      <c r="R36" s="65"/>
      <c r="S36" s="65"/>
      <c r="T36" s="65" t="s">
        <v>126</v>
      </c>
      <c r="U36" s="65"/>
      <c r="V36" s="8"/>
      <c r="W36" s="8"/>
      <c r="X36" s="8"/>
      <c r="Y36" s="8"/>
      <c r="Z36" s="9"/>
      <c r="AA36" s="9"/>
      <c r="AB36" s="9"/>
      <c r="AC36" s="9"/>
      <c r="AD36" s="9"/>
      <c r="AE36" s="192"/>
      <c r="AF36" s="192"/>
      <c r="AG36" s="192"/>
      <c r="AH36" s="192"/>
      <c r="AI36" s="192"/>
      <c r="AJ36" s="192"/>
      <c r="AK36" s="192"/>
      <c r="AL36" s="192"/>
      <c r="AM36" s="192"/>
      <c r="AN36" s="192"/>
      <c r="AO36" s="192"/>
      <c r="AP36" s="192"/>
      <c r="AQ36" s="192"/>
      <c r="AR36" s="192"/>
      <c r="AS36" s="192"/>
      <c r="AT36" s="192"/>
      <c r="AU36" s="192"/>
    </row>
    <row r="37" spans="1:47">
      <c r="A37" s="12"/>
      <c r="B37" s="12"/>
      <c r="C37" s="12"/>
      <c r="D37" s="12"/>
      <c r="E37" s="12"/>
      <c r="F37" s="40" t="s">
        <v>22</v>
      </c>
      <c r="G37" s="162"/>
      <c r="H37" s="162"/>
      <c r="I37" s="162"/>
      <c r="J37" s="249">
        <f>SUM(J7:J36)</f>
        <v>6452.6379509999997</v>
      </c>
      <c r="K37" s="61"/>
      <c r="L37" s="38"/>
      <c r="M37" s="249">
        <f t="shared" ref="M37:S37" si="0">SUM(M7:M36)</f>
        <v>819.46485599999994</v>
      </c>
      <c r="N37" s="249">
        <f t="shared" si="0"/>
        <v>123.15428200000001</v>
      </c>
      <c r="O37" s="249">
        <f t="shared" si="0"/>
        <v>0</v>
      </c>
      <c r="P37" s="249">
        <f t="shared" si="0"/>
        <v>0</v>
      </c>
      <c r="Q37" s="249">
        <f t="shared" si="0"/>
        <v>0</v>
      </c>
      <c r="R37" s="249">
        <f t="shared" si="0"/>
        <v>0</v>
      </c>
      <c r="S37" s="249">
        <f t="shared" si="0"/>
        <v>3458.2884350000004</v>
      </c>
      <c r="T37" s="61"/>
      <c r="U37" s="61"/>
      <c r="V37" s="61"/>
      <c r="X37" s="38"/>
      <c r="Y37" s="8"/>
      <c r="Z37" s="8"/>
      <c r="AA37" s="8"/>
      <c r="AB37" s="8"/>
      <c r="AC37" s="8"/>
      <c r="AD37" s="8"/>
      <c r="AE37" s="192"/>
      <c r="AF37" s="192"/>
      <c r="AG37" s="192"/>
      <c r="AH37" s="192"/>
      <c r="AI37" s="192"/>
      <c r="AJ37" s="192"/>
      <c r="AK37" s="192"/>
      <c r="AL37" s="192"/>
      <c r="AM37" s="192"/>
      <c r="AN37" s="192"/>
      <c r="AO37" s="192"/>
      <c r="AP37" s="192"/>
      <c r="AQ37" s="192"/>
      <c r="AR37" s="192"/>
      <c r="AS37" s="192"/>
      <c r="AT37" s="192"/>
      <c r="AU37" s="192"/>
    </row>
    <row r="38" spans="1:47" ht="21" customHeight="1">
      <c r="A38" s="12"/>
      <c r="B38" s="12"/>
      <c r="C38" s="12"/>
      <c r="D38" s="12"/>
      <c r="E38" s="12"/>
      <c r="F38" s="92"/>
      <c r="G38" s="165"/>
      <c r="H38" s="51"/>
      <c r="I38" s="51"/>
      <c r="J38" s="51"/>
      <c r="K38" s="51"/>
      <c r="L38" s="51"/>
      <c r="M38" s="51"/>
      <c r="N38" s="182"/>
      <c r="O38" s="182"/>
      <c r="P38" s="182"/>
      <c r="Q38" s="182"/>
      <c r="R38" s="182"/>
      <c r="S38" s="182"/>
      <c r="T38" s="182"/>
      <c r="U38" s="182"/>
      <c r="V38" s="51"/>
      <c r="W38" s="51"/>
      <c r="X38" s="51"/>
      <c r="Y38" s="8"/>
      <c r="Z38" s="8"/>
      <c r="AA38" s="8"/>
      <c r="AB38" s="44"/>
      <c r="AC38" s="9"/>
      <c r="AD38" s="9"/>
      <c r="AE38" s="192"/>
      <c r="AF38" s="192"/>
      <c r="AG38" s="192"/>
      <c r="AH38" s="192"/>
      <c r="AI38" s="192"/>
      <c r="AJ38" s="192"/>
      <c r="AK38" s="192"/>
      <c r="AL38" s="192"/>
      <c r="AM38" s="192"/>
      <c r="AN38" s="192"/>
      <c r="AO38" s="192"/>
      <c r="AP38" s="192"/>
      <c r="AQ38" s="192"/>
      <c r="AR38" s="192"/>
      <c r="AS38" s="192"/>
      <c r="AT38" s="192"/>
      <c r="AU38" s="192"/>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2"/>
      <c r="AF39" s="192"/>
      <c r="AG39" s="192"/>
      <c r="AH39" s="192"/>
      <c r="AI39" s="192"/>
      <c r="AJ39" s="192"/>
      <c r="AK39" s="192"/>
      <c r="AL39" s="192"/>
      <c r="AM39" s="192"/>
      <c r="AN39" s="192"/>
      <c r="AO39" s="192"/>
      <c r="AP39" s="192"/>
      <c r="AQ39" s="192"/>
      <c r="AR39" s="192"/>
      <c r="AS39" s="192"/>
      <c r="AT39" s="192"/>
      <c r="AU39" s="192"/>
    </row>
    <row r="40" spans="1:47">
      <c r="A40" s="12"/>
      <c r="B40" s="12"/>
      <c r="C40" s="12"/>
      <c r="D40" s="12"/>
      <c r="E40" s="12"/>
      <c r="F40" s="39" t="s">
        <v>5</v>
      </c>
      <c r="G40" s="247" t="str">
        <f>CONCATENATE(LEFT(H40, 4)-1 &amp;"-" &amp;IF(H40&gt;"2009-10",,"0") &amp;RIGHT(H40,2)-1)</f>
        <v>2009-10</v>
      </c>
      <c r="H40" s="247" t="str">
        <f>V7</f>
        <v>2010-11</v>
      </c>
      <c r="I40" s="247" t="str">
        <f>CONCATENATE(LEFT(H40, 4)+1 &amp;"-" &amp;IF(H40&gt;"2007-08",,"0") &amp;RIGHT(H40,2)+1)</f>
        <v>2011-12</v>
      </c>
      <c r="J40" s="247" t="str">
        <f t="shared" ref="J40:P40" si="1">CONCATENATE(LEFT(I40, 4)+1 &amp;"-" &amp;IF(I40&gt;"2007-08",,"0") &amp;RIGHT(I40,2)+1)</f>
        <v>2012-13</v>
      </c>
      <c r="K40" s="247" t="str">
        <f t="shared" si="1"/>
        <v>2013-14</v>
      </c>
      <c r="L40" s="247" t="str">
        <f t="shared" si="1"/>
        <v>2014-15</v>
      </c>
      <c r="M40" s="247" t="str">
        <f t="shared" si="1"/>
        <v>2015-16</v>
      </c>
      <c r="N40" s="247" t="str">
        <f t="shared" si="1"/>
        <v>2016-17</v>
      </c>
      <c r="O40" s="247" t="str">
        <f t="shared" si="1"/>
        <v>2017-18</v>
      </c>
      <c r="P40" s="247" t="str">
        <f t="shared" si="1"/>
        <v>2018-19</v>
      </c>
      <c r="Q40" s="247" t="str">
        <f>CONCATENATE(LEFT(P40, 4)+1 &amp;"-" &amp;IF(P40&gt;"2007-08",,"0") &amp;RIGHT(P40,2)+1)</f>
        <v>2019-20</v>
      </c>
      <c r="R40" s="148"/>
      <c r="S40" s="8"/>
      <c r="T40" s="8"/>
      <c r="U40" s="8"/>
      <c r="V40" s="8"/>
      <c r="W40" s="44"/>
      <c r="X40" s="9"/>
      <c r="Y40" s="9"/>
      <c r="Z40" s="9"/>
      <c r="AA40" s="9"/>
      <c r="AB40" s="9"/>
      <c r="AC40" s="9"/>
      <c r="AD40" s="9"/>
      <c r="AE40" s="192"/>
      <c r="AF40" s="192"/>
      <c r="AG40" s="192"/>
      <c r="AH40" s="192"/>
      <c r="AI40" s="192"/>
      <c r="AJ40" s="192"/>
      <c r="AK40" s="192"/>
      <c r="AL40" s="192"/>
      <c r="AM40" s="192"/>
      <c r="AN40" s="192"/>
      <c r="AO40" s="192"/>
      <c r="AP40" s="192"/>
      <c r="AQ40" s="192"/>
      <c r="AR40" s="192"/>
      <c r="AS40" s="192"/>
      <c r="AT40" s="192"/>
      <c r="AU40" s="192"/>
    </row>
    <row r="41" spans="1:47" ht="14.25" outlineLevel="1">
      <c r="A41" s="12"/>
      <c r="B41" s="12"/>
      <c r="C41" s="12"/>
      <c r="D41" s="12"/>
      <c r="E41" s="12"/>
      <c r="F41" s="40" t="str">
        <f>Asset1</f>
        <v>Overhead Sub-Transmission Lines</v>
      </c>
      <c r="G41" s="311">
        <v>53.059756</v>
      </c>
      <c r="H41" s="62"/>
      <c r="I41" s="62"/>
      <c r="J41" s="62"/>
      <c r="K41" s="62"/>
      <c r="L41" s="62"/>
      <c r="M41" s="62"/>
      <c r="N41" s="62"/>
      <c r="O41" s="62"/>
      <c r="P41" s="62"/>
      <c r="Q41" s="62"/>
      <c r="R41" s="267"/>
      <c r="S41" s="8"/>
      <c r="T41" s="8"/>
      <c r="U41" s="8"/>
      <c r="V41" s="8"/>
      <c r="W41" s="44"/>
      <c r="X41" s="9"/>
      <c r="Y41" s="9"/>
      <c r="Z41" s="9"/>
      <c r="AA41" s="9"/>
      <c r="AB41" s="9"/>
      <c r="AC41" s="9"/>
      <c r="AD41" s="9"/>
      <c r="AE41" s="192"/>
      <c r="AF41" s="192"/>
      <c r="AG41" s="192"/>
      <c r="AH41" s="192"/>
      <c r="AI41" s="192"/>
      <c r="AJ41" s="192"/>
      <c r="AK41" s="192"/>
      <c r="AL41" s="192"/>
      <c r="AM41" s="192"/>
      <c r="AN41" s="192"/>
      <c r="AO41" s="192"/>
      <c r="AP41" s="192"/>
      <c r="AQ41" s="192"/>
      <c r="AR41" s="192"/>
      <c r="AS41" s="192"/>
      <c r="AT41" s="192"/>
      <c r="AU41" s="192"/>
    </row>
    <row r="42" spans="1:47" ht="14.25" outlineLevel="1">
      <c r="A42" s="12"/>
      <c r="B42" s="12"/>
      <c r="C42" s="12"/>
      <c r="D42" s="12"/>
      <c r="E42" s="12"/>
      <c r="F42" s="40" t="str">
        <f>Asset2</f>
        <v>Underground Sub-Transmission Cables</v>
      </c>
      <c r="G42" s="312">
        <v>0.432778</v>
      </c>
      <c r="H42" s="63"/>
      <c r="I42" s="63"/>
      <c r="J42" s="63"/>
      <c r="K42" s="63"/>
      <c r="L42" s="63"/>
      <c r="M42" s="63"/>
      <c r="N42" s="63"/>
      <c r="O42" s="63"/>
      <c r="P42" s="63"/>
      <c r="Q42" s="63"/>
      <c r="R42" s="267"/>
      <c r="S42" s="8"/>
      <c r="T42" s="8"/>
      <c r="U42" s="8"/>
      <c r="V42" s="8"/>
      <c r="W42" s="44"/>
      <c r="X42" s="9"/>
      <c r="Y42" s="9"/>
      <c r="Z42" s="9"/>
      <c r="AA42" s="9"/>
      <c r="AB42" s="9"/>
      <c r="AC42" s="9"/>
      <c r="AD42" s="9"/>
      <c r="AE42" s="192"/>
      <c r="AF42" s="192"/>
      <c r="AG42" s="192"/>
      <c r="AH42" s="192"/>
      <c r="AI42" s="192"/>
      <c r="AJ42" s="192"/>
      <c r="AK42" s="192"/>
      <c r="AL42" s="192"/>
      <c r="AM42" s="192"/>
      <c r="AN42" s="192"/>
      <c r="AO42" s="192"/>
      <c r="AP42" s="192"/>
      <c r="AQ42" s="192"/>
      <c r="AR42" s="192"/>
      <c r="AS42" s="192"/>
      <c r="AT42" s="192"/>
      <c r="AU42" s="192"/>
    </row>
    <row r="43" spans="1:47" ht="14.25" outlineLevel="1">
      <c r="A43" s="12"/>
      <c r="B43" s="12"/>
      <c r="C43" s="12"/>
      <c r="D43" s="12"/>
      <c r="E43" s="12"/>
      <c r="F43" s="40" t="str">
        <f>Asset3</f>
        <v>Overhead Distribution Lines</v>
      </c>
      <c r="G43" s="312">
        <v>81.441964999999996</v>
      </c>
      <c r="H43" s="63"/>
      <c r="I43" s="63"/>
      <c r="J43" s="63"/>
      <c r="K43" s="63"/>
      <c r="L43" s="63"/>
      <c r="M43" s="63"/>
      <c r="N43" s="63"/>
      <c r="O43" s="63"/>
      <c r="P43" s="63"/>
      <c r="Q43" s="63"/>
      <c r="R43" s="267"/>
      <c r="S43" s="8"/>
      <c r="T43" s="8"/>
      <c r="U43" s="8"/>
      <c r="V43" s="8"/>
      <c r="W43" s="44"/>
      <c r="X43" s="9"/>
      <c r="Y43" s="9"/>
      <c r="Z43" s="9"/>
      <c r="AA43" s="9"/>
      <c r="AB43" s="9"/>
      <c r="AC43" s="9"/>
      <c r="AD43" s="9"/>
      <c r="AE43" s="192"/>
      <c r="AF43" s="192"/>
      <c r="AG43" s="192"/>
      <c r="AH43" s="192"/>
      <c r="AI43" s="192"/>
      <c r="AJ43" s="192"/>
      <c r="AK43" s="192"/>
      <c r="AL43" s="192"/>
      <c r="AM43" s="192"/>
      <c r="AN43" s="192"/>
      <c r="AO43" s="192"/>
      <c r="AP43" s="192"/>
      <c r="AQ43" s="192"/>
      <c r="AR43" s="192"/>
      <c r="AS43" s="192"/>
      <c r="AT43" s="192"/>
      <c r="AU43" s="192"/>
    </row>
    <row r="44" spans="1:47" ht="14.25" outlineLevel="1">
      <c r="A44" s="12"/>
      <c r="B44" s="12"/>
      <c r="C44" s="12"/>
      <c r="D44" s="12"/>
      <c r="E44" s="12"/>
      <c r="F44" s="40" t="str">
        <f>Asset4</f>
        <v>Underground Distribution Cables</v>
      </c>
      <c r="G44" s="312">
        <v>58.82246</v>
      </c>
      <c r="H44" s="63"/>
      <c r="I44" s="63"/>
      <c r="J44" s="63"/>
      <c r="K44" s="63"/>
      <c r="L44" s="63"/>
      <c r="M44" s="63"/>
      <c r="N44" s="63"/>
      <c r="O44" s="63"/>
      <c r="P44" s="63"/>
      <c r="Q44" s="63"/>
      <c r="R44" s="267"/>
      <c r="S44" s="8"/>
      <c r="T44" s="8"/>
      <c r="U44" s="8"/>
      <c r="V44" s="8"/>
      <c r="W44" s="44"/>
      <c r="X44" s="9"/>
      <c r="Y44" s="9"/>
      <c r="Z44" s="9"/>
      <c r="AA44" s="9"/>
      <c r="AB44" s="9"/>
      <c r="AC44" s="9"/>
      <c r="AD44" s="9"/>
      <c r="AE44" s="192"/>
      <c r="AF44" s="192"/>
      <c r="AG44" s="192"/>
      <c r="AH44" s="192"/>
      <c r="AI44" s="192"/>
      <c r="AJ44" s="192"/>
      <c r="AK44" s="192"/>
      <c r="AL44" s="192"/>
      <c r="AM44" s="192"/>
      <c r="AN44" s="192"/>
      <c r="AO44" s="192"/>
      <c r="AP44" s="192"/>
      <c r="AQ44" s="192"/>
      <c r="AR44" s="192"/>
      <c r="AS44" s="192"/>
      <c r="AT44" s="192"/>
      <c r="AU44" s="192"/>
    </row>
    <row r="45" spans="1:47" ht="14.25" outlineLevel="1">
      <c r="A45" s="12"/>
      <c r="B45" s="12"/>
      <c r="C45" s="12"/>
      <c r="D45" s="12"/>
      <c r="E45" s="12"/>
      <c r="F45" s="40" t="str">
        <f>Asset5</f>
        <v xml:space="preserve">Distribution Equipment  </v>
      </c>
      <c r="G45" s="312">
        <v>2.4935900000000002</v>
      </c>
      <c r="H45" s="63"/>
      <c r="I45" s="63"/>
      <c r="J45" s="63"/>
      <c r="K45" s="63"/>
      <c r="L45" s="63"/>
      <c r="M45" s="63"/>
      <c r="N45" s="63"/>
      <c r="O45" s="63"/>
      <c r="P45" s="63"/>
      <c r="Q45" s="63"/>
      <c r="R45" s="267"/>
      <c r="S45" s="8"/>
      <c r="T45" s="8"/>
      <c r="U45" s="8"/>
      <c r="V45" s="8"/>
      <c r="W45" s="44"/>
      <c r="X45" s="9"/>
      <c r="Y45" s="9"/>
      <c r="Z45" s="9"/>
      <c r="AA45" s="9"/>
      <c r="AB45" s="9"/>
      <c r="AC45" s="9"/>
      <c r="AD45" s="9"/>
      <c r="AE45" s="192"/>
      <c r="AF45" s="192"/>
      <c r="AG45" s="192"/>
      <c r="AH45" s="192"/>
      <c r="AI45" s="192"/>
      <c r="AJ45" s="192"/>
      <c r="AK45" s="192"/>
      <c r="AL45" s="192"/>
      <c r="AM45" s="192"/>
      <c r="AN45" s="192"/>
      <c r="AO45" s="192"/>
      <c r="AP45" s="192"/>
      <c r="AQ45" s="192"/>
      <c r="AR45" s="192"/>
      <c r="AS45" s="192"/>
      <c r="AT45" s="192"/>
      <c r="AU45" s="192"/>
    </row>
    <row r="46" spans="1:47" ht="14.25" outlineLevel="1">
      <c r="A46" s="12"/>
      <c r="B46" s="12"/>
      <c r="C46" s="12"/>
      <c r="D46" s="12"/>
      <c r="E46" s="12"/>
      <c r="F46" s="40" t="str">
        <f>Asset6</f>
        <v>Substation Bays</v>
      </c>
      <c r="G46" s="312">
        <v>107.019395</v>
      </c>
      <c r="H46" s="63"/>
      <c r="I46" s="63"/>
      <c r="J46" s="63"/>
      <c r="K46" s="63"/>
      <c r="L46" s="63"/>
      <c r="M46" s="63"/>
      <c r="N46" s="63"/>
      <c r="O46" s="63"/>
      <c r="P46" s="63"/>
      <c r="Q46" s="63"/>
      <c r="R46" s="267"/>
      <c r="S46" s="8"/>
      <c r="T46" s="8"/>
      <c r="U46" s="8"/>
      <c r="V46" s="8"/>
      <c r="W46" s="44"/>
      <c r="X46" s="9"/>
      <c r="Y46" s="9"/>
      <c r="Z46" s="9"/>
      <c r="AA46" s="9"/>
      <c r="AB46" s="9"/>
      <c r="AC46" s="9"/>
      <c r="AD46" s="9"/>
      <c r="AE46" s="192"/>
      <c r="AF46" s="192"/>
      <c r="AG46" s="192"/>
      <c r="AH46" s="192"/>
      <c r="AI46" s="192"/>
      <c r="AJ46" s="192"/>
      <c r="AK46" s="192"/>
      <c r="AL46" s="192"/>
      <c r="AM46" s="192"/>
      <c r="AN46" s="192"/>
      <c r="AO46" s="192"/>
      <c r="AP46" s="192"/>
      <c r="AQ46" s="192"/>
      <c r="AR46" s="192"/>
      <c r="AS46" s="192"/>
      <c r="AT46" s="192"/>
      <c r="AU46" s="192"/>
    </row>
    <row r="47" spans="1:47" ht="14.25" outlineLevel="1">
      <c r="A47" s="12"/>
      <c r="B47" s="12"/>
      <c r="C47" s="12"/>
      <c r="D47" s="12"/>
      <c r="E47" s="12"/>
      <c r="F47" s="40" t="str">
        <f>Asset7</f>
        <v>Substation Establishment</v>
      </c>
      <c r="G47" s="312">
        <v>17.472391999999999</v>
      </c>
      <c r="H47" s="63"/>
      <c r="I47" s="63"/>
      <c r="J47" s="63"/>
      <c r="K47" s="63"/>
      <c r="L47" s="63"/>
      <c r="M47" s="63"/>
      <c r="N47" s="63"/>
      <c r="O47" s="63"/>
      <c r="P47" s="63"/>
      <c r="Q47" s="63"/>
      <c r="R47" s="267"/>
      <c r="S47" s="8"/>
      <c r="T47" s="8"/>
      <c r="U47" s="8"/>
      <c r="V47" s="8"/>
      <c r="W47" s="44"/>
      <c r="X47" s="9"/>
      <c r="Y47" s="9"/>
      <c r="Z47" s="9"/>
      <c r="AA47" s="9"/>
      <c r="AB47" s="9"/>
      <c r="AC47" s="9"/>
      <c r="AD47" s="9"/>
      <c r="AE47" s="192"/>
      <c r="AF47" s="192"/>
      <c r="AG47" s="192"/>
      <c r="AH47" s="192"/>
      <c r="AI47" s="192"/>
      <c r="AJ47" s="192"/>
      <c r="AK47" s="192"/>
      <c r="AL47" s="192"/>
      <c r="AM47" s="192"/>
      <c r="AN47" s="192"/>
      <c r="AO47" s="192"/>
      <c r="AP47" s="192"/>
      <c r="AQ47" s="192"/>
      <c r="AR47" s="192"/>
      <c r="AS47" s="192"/>
      <c r="AT47" s="192"/>
      <c r="AU47" s="192"/>
    </row>
    <row r="48" spans="1:47" ht="14.25" outlineLevel="1">
      <c r="A48" s="12"/>
      <c r="B48" s="12"/>
      <c r="C48" s="12"/>
      <c r="D48" s="12"/>
      <c r="E48" s="12"/>
      <c r="F48" s="40" t="str">
        <f>Asset8</f>
        <v>Distribution Substation Switchgear</v>
      </c>
      <c r="G48" s="312">
        <v>22.587323999999999</v>
      </c>
      <c r="H48" s="63"/>
      <c r="I48" s="63"/>
      <c r="J48" s="63"/>
      <c r="K48" s="63"/>
      <c r="L48" s="63"/>
      <c r="M48" s="63"/>
      <c r="N48" s="63"/>
      <c r="O48" s="63"/>
      <c r="P48" s="63"/>
      <c r="Q48" s="63"/>
      <c r="R48" s="267"/>
      <c r="S48" s="8"/>
      <c r="T48" s="8"/>
      <c r="U48" s="8"/>
      <c r="V48" s="8"/>
      <c r="W48" s="44"/>
      <c r="X48" s="9"/>
      <c r="Y48" s="9"/>
      <c r="Z48" s="9"/>
      <c r="AA48" s="9"/>
      <c r="AB48" s="9"/>
      <c r="AC48" s="9"/>
      <c r="AD48" s="9"/>
      <c r="AE48" s="192"/>
      <c r="AF48" s="192"/>
      <c r="AG48" s="192"/>
      <c r="AH48" s="192"/>
      <c r="AI48" s="192"/>
      <c r="AJ48" s="192"/>
      <c r="AK48" s="192"/>
      <c r="AL48" s="192"/>
      <c r="AM48" s="192"/>
      <c r="AN48" s="192"/>
      <c r="AO48" s="192"/>
      <c r="AP48" s="192"/>
      <c r="AQ48" s="192"/>
      <c r="AR48" s="192"/>
      <c r="AS48" s="192"/>
      <c r="AT48" s="192"/>
      <c r="AU48" s="192"/>
    </row>
    <row r="49" spans="1:47" ht="14.25" outlineLevel="1">
      <c r="A49" s="12"/>
      <c r="B49" s="12"/>
      <c r="C49" s="12"/>
      <c r="D49" s="12"/>
      <c r="E49" s="12"/>
      <c r="F49" s="40" t="str">
        <f>Asset9</f>
        <v>Zone Transformers</v>
      </c>
      <c r="G49" s="312">
        <v>42.677061999999999</v>
      </c>
      <c r="H49" s="63"/>
      <c r="I49" s="63"/>
      <c r="J49" s="63"/>
      <c r="K49" s="63"/>
      <c r="L49" s="63"/>
      <c r="M49" s="63"/>
      <c r="N49" s="63"/>
      <c r="O49" s="63"/>
      <c r="P49" s="63"/>
      <c r="Q49" s="63"/>
      <c r="R49" s="267"/>
      <c r="S49" s="8"/>
      <c r="T49" s="8"/>
      <c r="U49" s="8"/>
      <c r="V49" s="8"/>
      <c r="W49" s="44"/>
      <c r="X49" s="9"/>
      <c r="Y49" s="9"/>
      <c r="Z49" s="9"/>
      <c r="AA49" s="9"/>
      <c r="AB49" s="9"/>
      <c r="AC49" s="9"/>
      <c r="AD49" s="9"/>
      <c r="AE49" s="192"/>
      <c r="AF49" s="192"/>
      <c r="AG49" s="192"/>
      <c r="AH49" s="192"/>
      <c r="AI49" s="192"/>
      <c r="AJ49" s="192"/>
      <c r="AK49" s="192"/>
      <c r="AL49" s="192"/>
      <c r="AM49" s="192"/>
      <c r="AN49" s="192"/>
      <c r="AO49" s="192"/>
      <c r="AP49" s="192"/>
      <c r="AQ49" s="192"/>
      <c r="AR49" s="192"/>
      <c r="AS49" s="192"/>
      <c r="AT49" s="192"/>
      <c r="AU49" s="192"/>
    </row>
    <row r="50" spans="1:47" ht="14.25" outlineLevel="1">
      <c r="A50" s="12"/>
      <c r="B50" s="12"/>
      <c r="C50" s="12"/>
      <c r="D50" s="12"/>
      <c r="E50" s="12"/>
      <c r="F50" s="40" t="str">
        <f>Asset10</f>
        <v>Distribution Transformers</v>
      </c>
      <c r="G50" s="312">
        <v>81.151724000000002</v>
      </c>
      <c r="H50" s="63"/>
      <c r="I50" s="63"/>
      <c r="J50" s="63"/>
      <c r="K50" s="63"/>
      <c r="L50" s="63"/>
      <c r="M50" s="63"/>
      <c r="N50" s="63"/>
      <c r="O50" s="63"/>
      <c r="P50" s="63"/>
      <c r="Q50" s="63"/>
      <c r="R50" s="267"/>
      <c r="S50" s="8"/>
      <c r="T50" s="8"/>
      <c r="U50" s="8"/>
      <c r="V50" s="8"/>
      <c r="W50" s="44"/>
      <c r="X50" s="9"/>
      <c r="Y50" s="9"/>
      <c r="Z50" s="9"/>
      <c r="AA50" s="9"/>
      <c r="AB50" s="9"/>
      <c r="AC50" s="9"/>
      <c r="AD50" s="9"/>
      <c r="AE50" s="192"/>
      <c r="AF50" s="192"/>
      <c r="AG50" s="192"/>
      <c r="AH50" s="192"/>
      <c r="AI50" s="192"/>
      <c r="AJ50" s="192"/>
      <c r="AK50" s="192"/>
      <c r="AL50" s="192"/>
      <c r="AM50" s="192"/>
      <c r="AN50" s="192"/>
      <c r="AO50" s="192"/>
      <c r="AP50" s="192"/>
      <c r="AQ50" s="192"/>
      <c r="AR50" s="192"/>
      <c r="AS50" s="192"/>
      <c r="AT50" s="192"/>
      <c r="AU50" s="192"/>
    </row>
    <row r="51" spans="1:47" ht="14.25" outlineLevel="1">
      <c r="A51" s="12"/>
      <c r="B51" s="12"/>
      <c r="C51" s="12"/>
      <c r="D51" s="12"/>
      <c r="E51" s="12"/>
      <c r="F51" s="40" t="str">
        <f>Asset11</f>
        <v>Low Voltage Services</v>
      </c>
      <c r="G51" s="312">
        <v>13.357322999999999</v>
      </c>
      <c r="H51" s="63"/>
      <c r="I51" s="63"/>
      <c r="J51" s="63"/>
      <c r="K51" s="63"/>
      <c r="L51" s="63"/>
      <c r="M51" s="63"/>
      <c r="N51" s="63"/>
      <c r="O51" s="63"/>
      <c r="P51" s="63"/>
      <c r="Q51" s="63"/>
      <c r="R51" s="267"/>
      <c r="S51" s="8"/>
      <c r="T51" s="8"/>
      <c r="U51" s="8"/>
      <c r="V51" s="8"/>
      <c r="W51" s="44"/>
      <c r="X51" s="9"/>
      <c r="Y51" s="9"/>
      <c r="Z51" s="9"/>
      <c r="AA51" s="9"/>
      <c r="AB51" s="9"/>
      <c r="AC51" s="9"/>
      <c r="AD51" s="9"/>
      <c r="AE51" s="192"/>
      <c r="AF51" s="192"/>
      <c r="AG51" s="192"/>
      <c r="AH51" s="192"/>
      <c r="AI51" s="192"/>
      <c r="AJ51" s="192"/>
      <c r="AK51" s="192"/>
      <c r="AL51" s="192"/>
      <c r="AM51" s="192"/>
      <c r="AN51" s="192"/>
      <c r="AO51" s="192"/>
      <c r="AP51" s="192"/>
      <c r="AQ51" s="192"/>
      <c r="AR51" s="192"/>
      <c r="AS51" s="192"/>
      <c r="AT51" s="192"/>
      <c r="AU51" s="192"/>
    </row>
    <row r="52" spans="1:47" ht="14.25" outlineLevel="1">
      <c r="A52" s="12"/>
      <c r="B52" s="12"/>
      <c r="C52" s="12"/>
      <c r="D52" s="12"/>
      <c r="E52" s="12"/>
      <c r="F52" s="40" t="str">
        <f>Asset12</f>
        <v>Metering</v>
      </c>
      <c r="G52" s="312">
        <v>35.483144000000003</v>
      </c>
      <c r="H52" s="63"/>
      <c r="I52" s="63"/>
      <c r="J52" s="63"/>
      <c r="K52" s="63"/>
      <c r="L52" s="63"/>
      <c r="M52" s="63"/>
      <c r="N52" s="63"/>
      <c r="O52" s="63"/>
      <c r="P52" s="63"/>
      <c r="Q52" s="63"/>
      <c r="R52" s="267"/>
      <c r="S52" s="8"/>
      <c r="T52" s="8"/>
      <c r="U52" s="8"/>
      <c r="V52" s="8"/>
      <c r="W52" s="44"/>
      <c r="X52" s="9"/>
      <c r="Y52" s="9"/>
      <c r="Z52" s="9"/>
      <c r="AA52" s="9"/>
      <c r="AB52" s="9"/>
      <c r="AC52" s="9"/>
      <c r="AD52" s="9"/>
      <c r="AE52" s="192"/>
      <c r="AF52" s="192"/>
      <c r="AG52" s="192"/>
      <c r="AH52" s="192"/>
      <c r="AI52" s="192"/>
      <c r="AJ52" s="192"/>
      <c r="AK52" s="192"/>
      <c r="AL52" s="192"/>
      <c r="AM52" s="192"/>
      <c r="AN52" s="192"/>
      <c r="AO52" s="192"/>
      <c r="AP52" s="192"/>
      <c r="AQ52" s="192"/>
      <c r="AR52" s="192"/>
      <c r="AS52" s="192"/>
      <c r="AT52" s="192"/>
      <c r="AU52" s="192"/>
    </row>
    <row r="53" spans="1:47" ht="14.25" outlineLevel="1">
      <c r="A53" s="12"/>
      <c r="B53" s="12"/>
      <c r="C53" s="12"/>
      <c r="D53" s="12"/>
      <c r="E53" s="12"/>
      <c r="F53" s="40" t="str">
        <f>Asset13</f>
        <v xml:space="preserve">Communications – Pilot Wires </v>
      </c>
      <c r="G53" s="312">
        <v>8.2752890000000008</v>
      </c>
      <c r="H53" s="63"/>
      <c r="I53" s="63"/>
      <c r="J53" s="63"/>
      <c r="K53" s="63"/>
      <c r="L53" s="63"/>
      <c r="M53" s="63"/>
      <c r="N53" s="63"/>
      <c r="O53" s="63"/>
      <c r="P53" s="63"/>
      <c r="Q53" s="63"/>
      <c r="R53" s="267"/>
      <c r="S53" s="8"/>
      <c r="T53" s="8"/>
      <c r="U53" s="8"/>
      <c r="V53" s="8"/>
      <c r="W53" s="44"/>
      <c r="X53" s="9"/>
      <c r="Y53" s="9"/>
      <c r="Z53" s="9"/>
      <c r="AA53" s="9"/>
      <c r="AB53" s="9"/>
      <c r="AC53" s="9"/>
      <c r="AD53" s="9"/>
      <c r="AE53" s="192"/>
      <c r="AF53" s="192"/>
      <c r="AG53" s="192"/>
      <c r="AH53" s="192"/>
      <c r="AI53" s="192"/>
      <c r="AJ53" s="192"/>
      <c r="AK53" s="192"/>
      <c r="AL53" s="192"/>
      <c r="AM53" s="192"/>
      <c r="AN53" s="192"/>
      <c r="AO53" s="192"/>
      <c r="AP53" s="192"/>
      <c r="AQ53" s="192"/>
      <c r="AR53" s="192"/>
      <c r="AS53" s="192"/>
      <c r="AT53" s="192"/>
      <c r="AU53" s="192"/>
    </row>
    <row r="54" spans="1:47" ht="14.25" outlineLevel="1">
      <c r="A54" s="12"/>
      <c r="B54" s="12"/>
      <c r="C54" s="12"/>
      <c r="D54" s="12"/>
      <c r="E54" s="12"/>
      <c r="F54" s="40" t="str">
        <f>Asset14</f>
        <v>Generation Assets</v>
      </c>
      <c r="G54" s="312">
        <v>0</v>
      </c>
      <c r="H54" s="63"/>
      <c r="I54" s="63"/>
      <c r="J54" s="63"/>
      <c r="K54" s="63"/>
      <c r="L54" s="63"/>
      <c r="M54" s="63"/>
      <c r="N54" s="63"/>
      <c r="O54" s="63"/>
      <c r="P54" s="63"/>
      <c r="Q54" s="63"/>
      <c r="R54" s="267"/>
      <c r="S54" s="8"/>
      <c r="T54" s="8"/>
      <c r="U54" s="8"/>
      <c r="V54" s="8"/>
      <c r="W54" s="44"/>
      <c r="X54" s="9"/>
      <c r="Y54" s="9"/>
      <c r="Z54" s="9"/>
      <c r="AA54" s="9"/>
      <c r="AB54" s="9"/>
      <c r="AC54" s="9"/>
      <c r="AD54" s="9"/>
      <c r="AE54" s="192"/>
      <c r="AF54" s="192"/>
      <c r="AG54" s="192"/>
      <c r="AH54" s="192"/>
      <c r="AI54" s="192"/>
      <c r="AJ54" s="192"/>
      <c r="AK54" s="192"/>
      <c r="AL54" s="192"/>
      <c r="AM54" s="192"/>
      <c r="AN54" s="192"/>
      <c r="AO54" s="192"/>
      <c r="AP54" s="192"/>
      <c r="AQ54" s="192"/>
      <c r="AR54" s="192"/>
      <c r="AS54" s="192"/>
      <c r="AT54" s="192"/>
      <c r="AU54" s="192"/>
    </row>
    <row r="55" spans="1:47" ht="14.25" outlineLevel="1">
      <c r="A55" s="12"/>
      <c r="B55" s="12"/>
      <c r="C55" s="12"/>
      <c r="D55" s="12"/>
      <c r="E55" s="12"/>
      <c r="F55" s="40" t="str">
        <f>Asset15</f>
        <v>Street Lighting</v>
      </c>
      <c r="G55" s="312"/>
      <c r="H55" s="63"/>
      <c r="I55" s="63"/>
      <c r="J55" s="63"/>
      <c r="K55" s="63"/>
      <c r="L55" s="63"/>
      <c r="M55" s="63"/>
      <c r="N55" s="63"/>
      <c r="O55" s="63"/>
      <c r="P55" s="63"/>
      <c r="Q55" s="63"/>
      <c r="R55" s="267"/>
      <c r="S55" s="8"/>
      <c r="T55" s="8"/>
      <c r="U55" s="8"/>
      <c r="V55" s="8"/>
      <c r="W55" s="44"/>
      <c r="X55" s="9"/>
      <c r="Y55" s="9"/>
      <c r="Z55" s="9"/>
      <c r="AA55" s="9"/>
      <c r="AB55" s="9"/>
      <c r="AC55" s="9"/>
      <c r="AD55" s="9"/>
      <c r="AE55" s="192"/>
      <c r="AF55" s="192"/>
      <c r="AG55" s="192"/>
      <c r="AH55" s="192"/>
      <c r="AI55" s="192"/>
      <c r="AJ55" s="192"/>
      <c r="AK55" s="192"/>
      <c r="AL55" s="192"/>
      <c r="AM55" s="192"/>
      <c r="AN55" s="192"/>
      <c r="AO55" s="192"/>
      <c r="AP55" s="192"/>
      <c r="AQ55" s="192"/>
      <c r="AR55" s="192"/>
      <c r="AS55" s="192"/>
      <c r="AT55" s="192"/>
      <c r="AU55" s="192"/>
    </row>
    <row r="56" spans="1:47" ht="14.25" outlineLevel="1">
      <c r="A56" s="12"/>
      <c r="B56" s="12"/>
      <c r="C56" s="12"/>
      <c r="D56" s="12"/>
      <c r="E56" s="12"/>
      <c r="F56" s="40" t="str">
        <f>Asset16</f>
        <v>Other Equipment</v>
      </c>
      <c r="G56" s="312">
        <v>3.7534399999999999</v>
      </c>
      <c r="H56" s="63"/>
      <c r="I56" s="63"/>
      <c r="J56" s="63"/>
      <c r="K56" s="63"/>
      <c r="L56" s="63"/>
      <c r="M56" s="63"/>
      <c r="N56" s="63"/>
      <c r="O56" s="63"/>
      <c r="P56" s="63"/>
      <c r="Q56" s="63"/>
      <c r="R56" s="267"/>
      <c r="S56" s="8"/>
      <c r="T56" s="8"/>
      <c r="U56" s="8"/>
      <c r="V56" s="8"/>
      <c r="W56" s="44"/>
      <c r="X56" s="9"/>
      <c r="Y56" s="9"/>
      <c r="Z56" s="9"/>
      <c r="AA56" s="9"/>
      <c r="AB56" s="9"/>
      <c r="AC56" s="9"/>
      <c r="AD56" s="9"/>
      <c r="AE56" s="192"/>
      <c r="AF56" s="192"/>
      <c r="AG56" s="192"/>
      <c r="AH56" s="192"/>
      <c r="AI56" s="192"/>
      <c r="AJ56" s="192"/>
      <c r="AK56" s="192"/>
      <c r="AL56" s="192"/>
      <c r="AM56" s="192"/>
      <c r="AN56" s="192"/>
      <c r="AO56" s="192"/>
      <c r="AP56" s="192"/>
      <c r="AQ56" s="192"/>
      <c r="AR56" s="192"/>
      <c r="AS56" s="192"/>
      <c r="AT56" s="192"/>
      <c r="AU56" s="192"/>
    </row>
    <row r="57" spans="1:47" ht="14.25" outlineLevel="1">
      <c r="A57" s="12"/>
      <c r="B57" s="12"/>
      <c r="C57" s="12"/>
      <c r="D57" s="12"/>
      <c r="E57" s="12"/>
      <c r="F57" s="40" t="str">
        <f>Asset17</f>
        <v>Control Centre - SCADA</v>
      </c>
      <c r="G57" s="312">
        <v>12.598336</v>
      </c>
      <c r="H57" s="63"/>
      <c r="I57" s="63"/>
      <c r="J57" s="63"/>
      <c r="K57" s="63"/>
      <c r="L57" s="63"/>
      <c r="M57" s="63"/>
      <c r="N57" s="63"/>
      <c r="O57" s="63"/>
      <c r="P57" s="63"/>
      <c r="Q57" s="63"/>
      <c r="R57" s="267"/>
      <c r="S57" s="8"/>
      <c r="T57" s="8"/>
      <c r="U57" s="8"/>
      <c r="V57" s="8"/>
      <c r="W57" s="44"/>
      <c r="X57" s="9"/>
      <c r="Y57" s="9"/>
      <c r="Z57" s="9"/>
      <c r="AA57" s="9"/>
      <c r="AB57" s="9"/>
      <c r="AC57" s="9"/>
      <c r="AD57" s="9"/>
      <c r="AE57" s="192"/>
      <c r="AF57" s="192"/>
      <c r="AG57" s="192"/>
      <c r="AH57" s="192"/>
      <c r="AI57" s="192"/>
      <c r="AJ57" s="192"/>
      <c r="AK57" s="192"/>
      <c r="AL57" s="192"/>
      <c r="AM57" s="192"/>
      <c r="AN57" s="192"/>
      <c r="AO57" s="192"/>
      <c r="AP57" s="192"/>
      <c r="AQ57" s="192"/>
      <c r="AR57" s="192"/>
      <c r="AS57" s="192"/>
      <c r="AT57" s="192"/>
      <c r="AU57" s="192"/>
    </row>
    <row r="58" spans="1:47" ht="14.25" outlineLevel="1">
      <c r="A58" s="12"/>
      <c r="B58" s="12"/>
      <c r="C58" s="12"/>
      <c r="D58" s="12"/>
      <c r="E58" s="12"/>
      <c r="F58" s="40" t="str">
        <f>Asset18</f>
        <v>Land &amp; Easements (System)</v>
      </c>
      <c r="G58" s="312">
        <v>3.1161400000000001</v>
      </c>
      <c r="H58" s="63"/>
      <c r="I58" s="63"/>
      <c r="J58" s="63"/>
      <c r="K58" s="63"/>
      <c r="L58" s="63"/>
      <c r="M58" s="63"/>
      <c r="N58" s="63"/>
      <c r="O58" s="63"/>
      <c r="P58" s="63"/>
      <c r="Q58" s="63"/>
      <c r="R58" s="267"/>
      <c r="S58" s="8"/>
      <c r="T58" s="8"/>
      <c r="U58" s="8"/>
      <c r="V58" s="8"/>
      <c r="W58" s="44"/>
      <c r="X58" s="9"/>
      <c r="Y58" s="9"/>
      <c r="Z58" s="9"/>
      <c r="AA58" s="9"/>
      <c r="AB58" s="9"/>
      <c r="AC58" s="9"/>
      <c r="AD58" s="9"/>
      <c r="AE58" s="192"/>
      <c r="AF58" s="192"/>
      <c r="AG58" s="192"/>
      <c r="AH58" s="192"/>
      <c r="AI58" s="192"/>
      <c r="AJ58" s="192"/>
      <c r="AK58" s="192"/>
      <c r="AL58" s="192"/>
      <c r="AM58" s="192"/>
      <c r="AN58" s="192"/>
      <c r="AO58" s="192"/>
      <c r="AP58" s="192"/>
      <c r="AQ58" s="192"/>
      <c r="AR58" s="192"/>
      <c r="AS58" s="192"/>
      <c r="AT58" s="192"/>
      <c r="AU58" s="192"/>
    </row>
    <row r="59" spans="1:47" ht="14.25" outlineLevel="1">
      <c r="A59" s="12"/>
      <c r="B59" s="12"/>
      <c r="C59" s="12"/>
      <c r="D59" s="12"/>
      <c r="E59" s="12"/>
      <c r="F59" s="40" t="str">
        <f>Asset19</f>
        <v>Metering Type 5-6</v>
      </c>
      <c r="G59" s="312">
        <v>0</v>
      </c>
      <c r="H59" s="63"/>
      <c r="I59" s="63"/>
      <c r="J59" s="63"/>
      <c r="K59" s="63"/>
      <c r="L59" s="63"/>
      <c r="M59" s="63"/>
      <c r="N59" s="63"/>
      <c r="O59" s="63"/>
      <c r="P59" s="63"/>
      <c r="Q59" s="63"/>
      <c r="R59" s="267"/>
      <c r="S59" s="8"/>
      <c r="T59" s="8"/>
      <c r="U59" s="8"/>
      <c r="V59" s="8"/>
      <c r="W59" s="44"/>
      <c r="X59" s="9"/>
      <c r="Y59" s="9"/>
      <c r="Z59" s="9"/>
      <c r="AA59" s="9"/>
      <c r="AB59" s="9"/>
      <c r="AC59" s="9"/>
      <c r="AD59" s="9"/>
      <c r="AE59" s="192"/>
      <c r="AF59" s="192"/>
      <c r="AG59" s="192"/>
      <c r="AH59" s="192"/>
      <c r="AI59" s="192"/>
      <c r="AJ59" s="192"/>
      <c r="AK59" s="192"/>
      <c r="AL59" s="192"/>
      <c r="AM59" s="192"/>
      <c r="AN59" s="192"/>
      <c r="AO59" s="192"/>
      <c r="AP59" s="192"/>
      <c r="AQ59" s="192"/>
      <c r="AR59" s="192"/>
      <c r="AS59" s="192"/>
      <c r="AT59" s="192"/>
      <c r="AU59" s="192"/>
    </row>
    <row r="60" spans="1:47" ht="14.25" outlineLevel="1">
      <c r="A60" s="12"/>
      <c r="B60" s="12"/>
      <c r="C60" s="12"/>
      <c r="D60" s="12"/>
      <c r="E60" s="12"/>
      <c r="F60" s="40" t="str">
        <f>Asset20</f>
        <v>Communications</v>
      </c>
      <c r="G60" s="312">
        <v>0.42815399999999998</v>
      </c>
      <c r="H60" s="63"/>
      <c r="I60" s="63"/>
      <c r="J60" s="63"/>
      <c r="K60" s="63"/>
      <c r="L60" s="63"/>
      <c r="M60" s="63"/>
      <c r="N60" s="63"/>
      <c r="O60" s="63"/>
      <c r="P60" s="63"/>
      <c r="Q60" s="63"/>
      <c r="R60" s="267"/>
      <c r="S60" s="8"/>
      <c r="T60" s="8"/>
      <c r="U60" s="8"/>
      <c r="V60" s="8"/>
      <c r="W60" s="44"/>
      <c r="X60" s="9"/>
      <c r="Y60" s="9"/>
      <c r="Z60" s="9"/>
      <c r="AA60" s="9"/>
      <c r="AB60" s="9"/>
      <c r="AC60" s="9"/>
      <c r="AD60" s="9"/>
      <c r="AE60" s="192"/>
      <c r="AF60" s="192"/>
      <c r="AG60" s="192"/>
      <c r="AH60" s="192"/>
      <c r="AI60" s="192"/>
      <c r="AJ60" s="192"/>
      <c r="AK60" s="192"/>
      <c r="AL60" s="192"/>
      <c r="AM60" s="192"/>
      <c r="AN60" s="192"/>
      <c r="AO60" s="192"/>
      <c r="AP60" s="192"/>
      <c r="AQ60" s="192"/>
      <c r="AR60" s="192"/>
      <c r="AS60" s="192"/>
      <c r="AT60" s="192"/>
      <c r="AU60" s="192"/>
    </row>
    <row r="61" spans="1:47" ht="14.25" outlineLevel="1">
      <c r="A61" s="12"/>
      <c r="B61" s="12"/>
      <c r="C61" s="12"/>
      <c r="D61" s="12"/>
      <c r="E61" s="12"/>
      <c r="F61" s="40" t="str">
        <f>Asset21</f>
        <v>IT Systems</v>
      </c>
      <c r="G61" s="312">
        <v>49.394682000000003</v>
      </c>
      <c r="H61" s="63"/>
      <c r="I61" s="63"/>
      <c r="J61" s="63"/>
      <c r="K61" s="63"/>
      <c r="L61" s="63"/>
      <c r="M61" s="63"/>
      <c r="N61" s="63"/>
      <c r="O61" s="63"/>
      <c r="P61" s="63"/>
      <c r="Q61" s="63"/>
      <c r="R61" s="267"/>
      <c r="S61" s="8"/>
      <c r="T61" s="8"/>
      <c r="U61" s="8"/>
      <c r="V61" s="8"/>
      <c r="W61" s="44"/>
      <c r="X61" s="9"/>
      <c r="Y61" s="9"/>
      <c r="Z61" s="9"/>
      <c r="AA61" s="9"/>
      <c r="AB61" s="9"/>
      <c r="AC61" s="9"/>
      <c r="AD61" s="9"/>
      <c r="AE61" s="192"/>
      <c r="AF61" s="192"/>
      <c r="AG61" s="192"/>
      <c r="AH61" s="192"/>
      <c r="AI61" s="192"/>
      <c r="AJ61" s="192"/>
      <c r="AK61" s="192"/>
      <c r="AL61" s="192"/>
      <c r="AM61" s="192"/>
      <c r="AN61" s="192"/>
      <c r="AO61" s="192"/>
      <c r="AP61" s="192"/>
      <c r="AQ61" s="192"/>
      <c r="AR61" s="192"/>
      <c r="AS61" s="192"/>
      <c r="AT61" s="192"/>
      <c r="AU61" s="192"/>
    </row>
    <row r="62" spans="1:47" ht="14.25" outlineLevel="1">
      <c r="A62" s="12"/>
      <c r="B62" s="12"/>
      <c r="C62" s="12"/>
      <c r="D62" s="12"/>
      <c r="E62" s="12"/>
      <c r="F62" s="40" t="str">
        <f>Asset22</f>
        <v>Office Equipment &amp; Furniture</v>
      </c>
      <c r="G62" s="312">
        <v>1.554308</v>
      </c>
      <c r="H62" s="63"/>
      <c r="I62" s="63"/>
      <c r="J62" s="63"/>
      <c r="K62" s="63"/>
      <c r="L62" s="63"/>
      <c r="M62" s="63"/>
      <c r="N62" s="63"/>
      <c r="O62" s="63"/>
      <c r="P62" s="63"/>
      <c r="Q62" s="63"/>
      <c r="R62" s="267"/>
      <c r="S62" s="8"/>
      <c r="T62" s="8"/>
      <c r="U62" s="8"/>
      <c r="V62" s="8"/>
      <c r="W62" s="44"/>
      <c r="X62" s="9"/>
      <c r="Y62" s="9"/>
      <c r="Z62" s="9"/>
      <c r="AA62" s="9"/>
      <c r="AB62" s="9"/>
      <c r="AC62" s="9"/>
      <c r="AD62" s="9"/>
      <c r="AE62" s="192"/>
      <c r="AF62" s="192"/>
      <c r="AG62" s="192"/>
      <c r="AH62" s="192"/>
      <c r="AI62" s="192"/>
      <c r="AJ62" s="192"/>
      <c r="AK62" s="192"/>
      <c r="AL62" s="192"/>
      <c r="AM62" s="192"/>
      <c r="AN62" s="192"/>
      <c r="AO62" s="192"/>
      <c r="AP62" s="192"/>
      <c r="AQ62" s="192"/>
      <c r="AR62" s="192"/>
      <c r="AS62" s="192"/>
      <c r="AT62" s="192"/>
      <c r="AU62" s="192"/>
    </row>
    <row r="63" spans="1:47" ht="14.25" outlineLevel="1">
      <c r="A63" s="12"/>
      <c r="B63" s="12"/>
      <c r="C63" s="12"/>
      <c r="D63" s="12"/>
      <c r="E63" s="12"/>
      <c r="F63" s="40" t="str">
        <f>Asset23</f>
        <v>Motor Vehicles</v>
      </c>
      <c r="G63" s="312">
        <v>21.694036000000001</v>
      </c>
      <c r="H63" s="63"/>
      <c r="I63" s="63"/>
      <c r="J63" s="63"/>
      <c r="K63" s="63"/>
      <c r="L63" s="63"/>
      <c r="M63" s="63"/>
      <c r="N63" s="63"/>
      <c r="O63" s="63"/>
      <c r="P63" s="63"/>
      <c r="Q63" s="63"/>
      <c r="R63" s="267"/>
      <c r="S63" s="8"/>
      <c r="T63" s="8"/>
      <c r="U63" s="8"/>
      <c r="V63" s="8"/>
      <c r="W63" s="44"/>
      <c r="X63" s="9"/>
      <c r="Y63" s="9"/>
      <c r="Z63" s="9"/>
      <c r="AA63" s="9"/>
      <c r="AB63" s="9"/>
      <c r="AC63" s="9"/>
      <c r="AD63" s="9"/>
      <c r="AE63" s="192"/>
      <c r="AF63" s="192"/>
      <c r="AG63" s="192"/>
      <c r="AH63" s="192"/>
      <c r="AI63" s="192"/>
      <c r="AJ63" s="192"/>
      <c r="AK63" s="192"/>
      <c r="AL63" s="192"/>
      <c r="AM63" s="192"/>
      <c r="AN63" s="192"/>
      <c r="AO63" s="192"/>
      <c r="AP63" s="192"/>
      <c r="AQ63" s="192"/>
      <c r="AR63" s="192"/>
      <c r="AS63" s="192"/>
      <c r="AT63" s="192"/>
      <c r="AU63" s="192"/>
    </row>
    <row r="64" spans="1:47" ht="14.25" outlineLevel="1">
      <c r="A64" s="12"/>
      <c r="B64" s="12"/>
      <c r="C64" s="12"/>
      <c r="D64" s="12"/>
      <c r="E64" s="12"/>
      <c r="F64" s="40" t="str">
        <f>Asset24</f>
        <v>Plant &amp; Equipment</v>
      </c>
      <c r="G64" s="312">
        <v>14.990947</v>
      </c>
      <c r="H64" s="63"/>
      <c r="I64" s="63"/>
      <c r="J64" s="63"/>
      <c r="K64" s="63"/>
      <c r="L64" s="63"/>
      <c r="M64" s="63"/>
      <c r="N64" s="63"/>
      <c r="O64" s="63"/>
      <c r="P64" s="63"/>
      <c r="Q64" s="63"/>
      <c r="R64" s="267"/>
      <c r="S64" s="8"/>
      <c r="T64" s="8"/>
      <c r="U64" s="8"/>
      <c r="V64" s="8"/>
      <c r="W64" s="44"/>
      <c r="X64" s="9"/>
      <c r="Y64" s="9"/>
      <c r="Z64" s="9"/>
      <c r="AA64" s="9"/>
      <c r="AB64" s="9"/>
      <c r="AC64" s="9"/>
      <c r="AD64" s="9"/>
      <c r="AE64" s="192"/>
      <c r="AF64" s="192"/>
      <c r="AG64" s="192"/>
      <c r="AH64" s="192"/>
      <c r="AI64" s="192"/>
      <c r="AJ64" s="192"/>
      <c r="AK64" s="192"/>
      <c r="AL64" s="192"/>
      <c r="AM64" s="192"/>
      <c r="AN64" s="192"/>
      <c r="AO64" s="192"/>
      <c r="AP64" s="192"/>
      <c r="AQ64" s="192"/>
      <c r="AR64" s="192"/>
      <c r="AS64" s="192"/>
      <c r="AT64" s="192"/>
      <c r="AU64" s="192"/>
    </row>
    <row r="65" spans="1:47" ht="14.25" outlineLevel="1">
      <c r="A65" s="12"/>
      <c r="B65" s="12"/>
      <c r="C65" s="12"/>
      <c r="D65" s="12"/>
      <c r="E65" s="12"/>
      <c r="F65" s="40" t="str">
        <f>Asset25</f>
        <v>Buildings</v>
      </c>
      <c r="G65" s="312">
        <v>34.552939000000002</v>
      </c>
      <c r="H65" s="63"/>
      <c r="I65" s="63"/>
      <c r="J65" s="63"/>
      <c r="K65" s="63"/>
      <c r="L65" s="63"/>
      <c r="M65" s="63"/>
      <c r="N65" s="63"/>
      <c r="O65" s="63"/>
      <c r="P65" s="63"/>
      <c r="Q65" s="63"/>
      <c r="R65" s="267"/>
      <c r="S65" s="8"/>
      <c r="T65" s="8"/>
      <c r="U65" s="8"/>
      <c r="V65" s="8"/>
      <c r="W65" s="44"/>
      <c r="X65" s="9"/>
      <c r="Y65" s="9"/>
      <c r="Z65" s="9"/>
      <c r="AA65" s="9"/>
      <c r="AB65" s="9"/>
      <c r="AC65" s="9"/>
      <c r="AD65" s="9"/>
      <c r="AE65" s="192"/>
      <c r="AF65" s="192"/>
      <c r="AG65" s="192"/>
      <c r="AH65" s="192"/>
      <c r="AI65" s="192"/>
      <c r="AJ65" s="192"/>
      <c r="AK65" s="192"/>
      <c r="AL65" s="192"/>
      <c r="AM65" s="192"/>
      <c r="AN65" s="192"/>
      <c r="AO65" s="192"/>
      <c r="AP65" s="192"/>
      <c r="AQ65" s="192"/>
      <c r="AR65" s="192"/>
      <c r="AS65" s="192"/>
      <c r="AT65" s="192"/>
      <c r="AU65" s="192"/>
    </row>
    <row r="66" spans="1:47" ht="14.25" outlineLevel="1">
      <c r="A66" s="12"/>
      <c r="B66" s="12"/>
      <c r="C66" s="12"/>
      <c r="D66" s="12"/>
      <c r="E66" s="12"/>
      <c r="F66" s="40" t="str">
        <f>Asset26</f>
        <v>Land &amp; Easements</v>
      </c>
      <c r="G66" s="312">
        <v>1.3795029999999999</v>
      </c>
      <c r="H66" s="63"/>
      <c r="I66" s="63"/>
      <c r="J66" s="63"/>
      <c r="K66" s="63"/>
      <c r="L66" s="63"/>
      <c r="M66" s="63"/>
      <c r="N66" s="63"/>
      <c r="O66" s="63"/>
      <c r="P66" s="63"/>
      <c r="Q66" s="63"/>
      <c r="R66" s="267"/>
      <c r="S66" s="8"/>
      <c r="T66" s="8"/>
      <c r="U66" s="8"/>
      <c r="V66" s="8"/>
      <c r="W66" s="44"/>
      <c r="X66" s="9"/>
      <c r="Y66" s="9"/>
      <c r="Z66" s="9"/>
      <c r="AA66" s="9"/>
      <c r="AB66" s="9"/>
      <c r="AC66" s="9"/>
      <c r="AD66" s="9"/>
      <c r="AE66" s="192"/>
      <c r="AF66" s="192"/>
      <c r="AG66" s="192"/>
      <c r="AH66" s="192"/>
      <c r="AI66" s="192"/>
      <c r="AJ66" s="192"/>
      <c r="AK66" s="192"/>
      <c r="AL66" s="192"/>
      <c r="AM66" s="192"/>
      <c r="AN66" s="192"/>
      <c r="AO66" s="192"/>
      <c r="AP66" s="192"/>
      <c r="AQ66" s="192"/>
      <c r="AR66" s="192"/>
      <c r="AS66" s="192"/>
      <c r="AT66" s="192"/>
      <c r="AU66" s="192"/>
    </row>
    <row r="67" spans="1:47" ht="14.25" outlineLevel="1">
      <c r="A67" s="12"/>
      <c r="B67" s="12"/>
      <c r="C67" s="12"/>
      <c r="D67" s="12"/>
      <c r="E67" s="12"/>
      <c r="F67" s="40" t="str">
        <f>Asset27</f>
        <v>Land Improvements</v>
      </c>
      <c r="G67" s="312">
        <v>5.3676880000000002</v>
      </c>
      <c r="H67" s="63"/>
      <c r="I67" s="63"/>
      <c r="J67" s="63"/>
      <c r="K67" s="63"/>
      <c r="L67" s="63"/>
      <c r="M67" s="63"/>
      <c r="N67" s="63"/>
      <c r="O67" s="63"/>
      <c r="P67" s="63"/>
      <c r="Q67" s="63"/>
      <c r="R67" s="267"/>
      <c r="S67" s="8"/>
      <c r="T67" s="8"/>
      <c r="U67" s="8"/>
      <c r="V67" s="8"/>
      <c r="W67" s="44"/>
      <c r="X67" s="9"/>
      <c r="Y67" s="9"/>
      <c r="Z67" s="9"/>
      <c r="AA67" s="9"/>
      <c r="AB67" s="9"/>
      <c r="AC67" s="9"/>
      <c r="AD67" s="9"/>
      <c r="AE67" s="192"/>
      <c r="AF67" s="192"/>
      <c r="AG67" s="192"/>
      <c r="AH67" s="192"/>
      <c r="AI67" s="192"/>
      <c r="AJ67" s="192"/>
      <c r="AK67" s="192"/>
      <c r="AL67" s="192"/>
      <c r="AM67" s="192"/>
      <c r="AN67" s="192"/>
      <c r="AO67" s="192"/>
      <c r="AP67" s="192"/>
      <c r="AQ67" s="192"/>
      <c r="AR67" s="192"/>
      <c r="AS67" s="192"/>
      <c r="AT67" s="192"/>
      <c r="AU67" s="192"/>
    </row>
    <row r="68" spans="1:47" ht="14.25" outlineLevel="1">
      <c r="A68" s="12"/>
      <c r="B68" s="12"/>
      <c r="C68" s="12"/>
      <c r="D68" s="12"/>
      <c r="E68" s="12"/>
      <c r="F68" s="40" t="str">
        <f>Asset28</f>
        <v>Equity Raising Costs</v>
      </c>
      <c r="G68" s="312">
        <v>0</v>
      </c>
      <c r="H68" s="63"/>
      <c r="I68" s="63"/>
      <c r="J68" s="63"/>
      <c r="K68" s="63"/>
      <c r="L68" s="63"/>
      <c r="M68" s="63"/>
      <c r="N68" s="63"/>
      <c r="O68" s="63"/>
      <c r="P68" s="63"/>
      <c r="Q68" s="63"/>
      <c r="R68" s="268"/>
      <c r="S68" s="8"/>
      <c r="T68" s="8"/>
      <c r="U68" s="8"/>
      <c r="V68" s="8"/>
      <c r="W68" s="44"/>
      <c r="X68" s="9"/>
      <c r="Y68" s="9"/>
      <c r="Z68" s="9"/>
      <c r="AA68" s="9"/>
      <c r="AB68" s="9"/>
      <c r="AC68" s="9"/>
      <c r="AD68" s="9"/>
      <c r="AE68" s="192"/>
      <c r="AF68" s="192"/>
      <c r="AG68" s="192"/>
      <c r="AH68" s="192"/>
      <c r="AI68" s="192"/>
      <c r="AJ68" s="192"/>
      <c r="AK68" s="192"/>
      <c r="AL68" s="192"/>
      <c r="AM68" s="192"/>
      <c r="AN68" s="192"/>
      <c r="AO68" s="192"/>
      <c r="AP68" s="192"/>
      <c r="AQ68" s="192"/>
      <c r="AR68" s="192"/>
      <c r="AS68" s="192"/>
      <c r="AT68" s="192"/>
      <c r="AU68" s="192"/>
    </row>
    <row r="69" spans="1:47" ht="14.25" outlineLevel="1">
      <c r="A69" s="12"/>
      <c r="B69" s="12"/>
      <c r="C69" s="12"/>
      <c r="D69" s="12"/>
      <c r="E69" s="12"/>
      <c r="F69" s="40" t="str">
        <f>Asset29</f>
        <v>Not Used</v>
      </c>
      <c r="G69" s="312"/>
      <c r="H69" s="63"/>
      <c r="I69" s="63"/>
      <c r="J69" s="63"/>
      <c r="K69" s="63"/>
      <c r="L69" s="63"/>
      <c r="M69" s="63"/>
      <c r="N69" s="63"/>
      <c r="O69" s="63"/>
      <c r="P69" s="63"/>
      <c r="Q69" s="63"/>
      <c r="R69" s="268"/>
      <c r="S69" s="8"/>
      <c r="T69" s="8"/>
      <c r="U69" s="8"/>
      <c r="V69" s="8"/>
      <c r="W69" s="44"/>
      <c r="X69" s="9"/>
      <c r="Y69" s="9"/>
      <c r="Z69" s="9"/>
      <c r="AA69" s="9"/>
      <c r="AB69" s="9"/>
      <c r="AC69" s="9"/>
      <c r="AD69" s="9"/>
      <c r="AE69" s="192"/>
      <c r="AF69" s="192"/>
      <c r="AG69" s="192"/>
      <c r="AH69" s="192"/>
      <c r="AI69" s="192"/>
      <c r="AJ69" s="192"/>
      <c r="AK69" s="192"/>
      <c r="AL69" s="192"/>
      <c r="AM69" s="192"/>
      <c r="AN69" s="192"/>
      <c r="AO69" s="192"/>
      <c r="AP69" s="192"/>
      <c r="AQ69" s="192"/>
      <c r="AR69" s="192"/>
      <c r="AS69" s="192"/>
      <c r="AT69" s="192"/>
      <c r="AU69" s="192"/>
    </row>
    <row r="70" spans="1:47" ht="14.25" outlineLevel="1">
      <c r="A70" s="12"/>
      <c r="B70" s="12"/>
      <c r="C70" s="12"/>
      <c r="D70" s="12"/>
      <c r="E70" s="12"/>
      <c r="F70" s="40" t="str">
        <f>Asset30</f>
        <v>Not Used</v>
      </c>
      <c r="G70" s="172"/>
      <c r="H70" s="63"/>
      <c r="I70" s="63"/>
      <c r="J70" s="63"/>
      <c r="K70" s="63"/>
      <c r="L70" s="63"/>
      <c r="M70" s="63"/>
      <c r="N70" s="63"/>
      <c r="O70" s="63"/>
      <c r="P70" s="63"/>
      <c r="Q70" s="63"/>
      <c r="R70" s="268"/>
      <c r="S70" s="8"/>
      <c r="T70" s="8"/>
      <c r="U70" s="8"/>
      <c r="V70" s="8"/>
      <c r="W70" s="44"/>
      <c r="X70" s="9"/>
      <c r="Y70" s="9"/>
      <c r="Z70" s="9"/>
      <c r="AA70" s="9"/>
      <c r="AB70" s="9"/>
      <c r="AC70" s="9"/>
      <c r="AD70" s="9"/>
      <c r="AE70" s="192"/>
      <c r="AF70" s="192"/>
      <c r="AG70" s="192"/>
      <c r="AH70" s="192"/>
      <c r="AI70" s="192"/>
      <c r="AJ70" s="192"/>
      <c r="AK70" s="192"/>
      <c r="AL70" s="192"/>
      <c r="AM70" s="192"/>
      <c r="AN70" s="192"/>
      <c r="AO70" s="192"/>
      <c r="AP70" s="192"/>
      <c r="AQ70" s="192"/>
      <c r="AR70" s="192"/>
      <c r="AS70" s="192"/>
      <c r="AT70" s="192"/>
      <c r="AU70" s="192"/>
    </row>
    <row r="71" spans="1:47" ht="14.25">
      <c r="A71" s="12"/>
      <c r="B71" s="12"/>
      <c r="C71" s="12"/>
      <c r="D71" s="12"/>
      <c r="E71" s="12"/>
      <c r="F71" s="40" t="s">
        <v>22</v>
      </c>
      <c r="G71" s="249">
        <f>SUM(G41:G70)</f>
        <v>673.104375</v>
      </c>
      <c r="H71" s="249">
        <f t="shared" ref="H71:Q71" si="2">SUM(H41:H70)</f>
        <v>0</v>
      </c>
      <c r="I71" s="249">
        <f t="shared" si="2"/>
        <v>0</v>
      </c>
      <c r="J71" s="249">
        <f t="shared" si="2"/>
        <v>0</v>
      </c>
      <c r="K71" s="249">
        <f t="shared" si="2"/>
        <v>0</v>
      </c>
      <c r="L71" s="249">
        <f t="shared" si="2"/>
        <v>0</v>
      </c>
      <c r="M71" s="249">
        <f t="shared" si="2"/>
        <v>0</v>
      </c>
      <c r="N71" s="249">
        <f t="shared" si="2"/>
        <v>0</v>
      </c>
      <c r="O71" s="249">
        <f t="shared" si="2"/>
        <v>0</v>
      </c>
      <c r="P71" s="249">
        <f t="shared" si="2"/>
        <v>0</v>
      </c>
      <c r="Q71" s="249">
        <f t="shared" si="2"/>
        <v>0</v>
      </c>
      <c r="R71" s="269"/>
      <c r="S71" s="270"/>
      <c r="T71" s="270"/>
      <c r="U71" s="38"/>
      <c r="V71" s="38"/>
      <c r="W71" s="38"/>
      <c r="X71" s="48"/>
      <c r="Y71" s="8"/>
      <c r="Z71" s="8"/>
      <c r="AA71" s="44"/>
      <c r="AB71" s="9"/>
      <c r="AC71" s="9"/>
      <c r="AD71" s="9"/>
      <c r="AE71" s="192"/>
      <c r="AF71" s="192"/>
      <c r="AG71" s="192"/>
      <c r="AH71" s="192"/>
      <c r="AI71" s="192"/>
      <c r="AJ71" s="192"/>
      <c r="AK71" s="192"/>
      <c r="AL71" s="192"/>
      <c r="AM71" s="192"/>
      <c r="AN71" s="192"/>
      <c r="AO71" s="192"/>
      <c r="AP71" s="192"/>
      <c r="AQ71" s="192"/>
      <c r="AR71" s="192"/>
      <c r="AS71" s="192"/>
      <c r="AT71" s="192"/>
      <c r="AU71" s="192"/>
    </row>
    <row r="72" spans="1:47" ht="21" customHeight="1">
      <c r="A72" s="9"/>
      <c r="B72" s="9"/>
      <c r="C72" s="9"/>
      <c r="D72" s="9"/>
      <c r="E72" s="9"/>
      <c r="F72" s="9"/>
      <c r="G72" s="9"/>
      <c r="H72" s="18"/>
      <c r="I72" s="20"/>
      <c r="J72" s="9"/>
      <c r="K72" s="9"/>
      <c r="L72" s="9"/>
      <c r="M72" s="9"/>
      <c r="N72" s="9"/>
      <c r="O72" s="9"/>
      <c r="P72" s="9"/>
      <c r="Q72" s="9"/>
      <c r="R72" s="248">
        <f>SUM(G71:Q71)</f>
        <v>673.104375</v>
      </c>
      <c r="S72" s="9"/>
      <c r="T72" s="9"/>
      <c r="U72" s="9"/>
      <c r="V72" s="9"/>
      <c r="W72" s="9"/>
      <c r="X72" s="9"/>
      <c r="Y72" s="9"/>
      <c r="Z72" s="9"/>
      <c r="AA72" s="19"/>
      <c r="AB72" s="9"/>
      <c r="AC72" s="9"/>
      <c r="AD72" s="9"/>
      <c r="AE72" s="192"/>
      <c r="AF72" s="192"/>
      <c r="AG72" s="192"/>
      <c r="AH72" s="192"/>
      <c r="AI72" s="192"/>
      <c r="AJ72" s="192"/>
      <c r="AK72" s="192"/>
      <c r="AL72" s="192"/>
      <c r="AM72" s="192"/>
      <c r="AN72" s="192"/>
      <c r="AO72" s="192"/>
      <c r="AP72" s="192"/>
      <c r="AQ72" s="192"/>
      <c r="AR72" s="192"/>
      <c r="AS72" s="192"/>
      <c r="AT72" s="192"/>
      <c r="AU72" s="192"/>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2"/>
      <c r="AF73" s="192"/>
      <c r="AG73" s="192"/>
      <c r="AH73" s="192"/>
      <c r="AI73" s="192"/>
      <c r="AJ73" s="192"/>
      <c r="AK73" s="192"/>
      <c r="AL73" s="192"/>
      <c r="AM73" s="192"/>
      <c r="AN73" s="192"/>
      <c r="AO73" s="192"/>
      <c r="AP73" s="192"/>
      <c r="AQ73" s="192"/>
      <c r="AR73" s="192"/>
      <c r="AS73" s="192"/>
      <c r="AT73" s="192"/>
      <c r="AU73" s="192"/>
    </row>
    <row r="74" spans="1:47">
      <c r="A74" s="12"/>
      <c r="B74" s="12"/>
      <c r="C74" s="12"/>
      <c r="D74" s="12"/>
      <c r="E74" s="12"/>
      <c r="F74" s="39" t="s">
        <v>5</v>
      </c>
      <c r="G74" s="247" t="str">
        <f>G40</f>
        <v>2009-10</v>
      </c>
      <c r="H74" s="247" t="str">
        <f t="shared" ref="H74:Q74" si="3">H40</f>
        <v>2010-11</v>
      </c>
      <c r="I74" s="247" t="str">
        <f t="shared" si="3"/>
        <v>2011-12</v>
      </c>
      <c r="J74" s="247" t="str">
        <f t="shared" si="3"/>
        <v>2012-13</v>
      </c>
      <c r="K74" s="247" t="str">
        <f t="shared" si="3"/>
        <v>2013-14</v>
      </c>
      <c r="L74" s="247" t="str">
        <f t="shared" si="3"/>
        <v>2014-15</v>
      </c>
      <c r="M74" s="247" t="str">
        <f t="shared" si="3"/>
        <v>2015-16</v>
      </c>
      <c r="N74" s="247" t="str">
        <f t="shared" si="3"/>
        <v>2016-17</v>
      </c>
      <c r="O74" s="247" t="str">
        <f t="shared" si="3"/>
        <v>2017-18</v>
      </c>
      <c r="P74" s="247" t="str">
        <f t="shared" si="3"/>
        <v>2018-19</v>
      </c>
      <c r="Q74" s="247" t="str">
        <f t="shared" si="3"/>
        <v>2019-20</v>
      </c>
      <c r="R74" s="8"/>
      <c r="S74" s="8"/>
      <c r="T74" s="8"/>
      <c r="U74" s="8"/>
      <c r="V74" s="8"/>
      <c r="W74" s="44"/>
      <c r="X74" s="9"/>
      <c r="Y74" s="9"/>
      <c r="Z74" s="9"/>
      <c r="AA74" s="9"/>
      <c r="AB74" s="9"/>
      <c r="AC74" s="9"/>
      <c r="AD74" s="9"/>
      <c r="AE74" s="192"/>
      <c r="AF74" s="192"/>
      <c r="AG74" s="192"/>
      <c r="AH74" s="192"/>
      <c r="AI74" s="192"/>
      <c r="AJ74" s="192"/>
      <c r="AK74" s="192"/>
      <c r="AL74" s="192"/>
      <c r="AM74" s="192"/>
      <c r="AN74" s="192"/>
      <c r="AO74" s="192"/>
      <c r="AP74" s="192"/>
      <c r="AQ74" s="192"/>
      <c r="AR74" s="192"/>
      <c r="AS74" s="192"/>
      <c r="AT74" s="192"/>
      <c r="AU74" s="192"/>
    </row>
    <row r="75" spans="1:47" outlineLevel="1">
      <c r="A75" s="12"/>
      <c r="B75" s="12"/>
      <c r="C75" s="12"/>
      <c r="D75" s="12"/>
      <c r="E75" s="12"/>
      <c r="F75" s="40" t="str">
        <f>Asset1</f>
        <v>Overhead Sub-Transmission Lines</v>
      </c>
      <c r="G75" s="311">
        <v>0</v>
      </c>
      <c r="H75" s="62"/>
      <c r="I75" s="62"/>
      <c r="J75" s="62"/>
      <c r="K75" s="62"/>
      <c r="L75" s="62"/>
      <c r="M75" s="62"/>
      <c r="N75" s="62"/>
      <c r="O75" s="62"/>
      <c r="P75" s="62"/>
      <c r="Q75" s="62"/>
      <c r="R75" s="8"/>
      <c r="S75" s="8"/>
      <c r="T75" s="8"/>
      <c r="U75" s="8"/>
      <c r="V75" s="8"/>
      <c r="W75" s="44"/>
      <c r="X75" s="9"/>
      <c r="Y75" s="9"/>
      <c r="Z75" s="9"/>
      <c r="AA75" s="9"/>
      <c r="AB75" s="9"/>
      <c r="AC75" s="9"/>
      <c r="AD75" s="9"/>
      <c r="AE75" s="192"/>
      <c r="AF75" s="192"/>
      <c r="AG75" s="192"/>
      <c r="AH75" s="192"/>
      <c r="AI75" s="192"/>
      <c r="AJ75" s="192"/>
      <c r="AK75" s="192"/>
      <c r="AL75" s="192"/>
      <c r="AM75" s="192"/>
      <c r="AN75" s="192"/>
      <c r="AO75" s="192"/>
      <c r="AP75" s="192"/>
      <c r="AQ75" s="192"/>
      <c r="AR75" s="192"/>
      <c r="AS75" s="192"/>
      <c r="AT75" s="192"/>
      <c r="AU75" s="192"/>
    </row>
    <row r="76" spans="1:47" outlineLevel="1">
      <c r="A76" s="12"/>
      <c r="B76" s="12"/>
      <c r="C76" s="12"/>
      <c r="D76" s="12"/>
      <c r="E76" s="12"/>
      <c r="F76" s="40" t="str">
        <f>Asset2</f>
        <v>Underground Sub-Transmission Cables</v>
      </c>
      <c r="G76" s="312">
        <v>0</v>
      </c>
      <c r="H76" s="63"/>
      <c r="I76" s="63"/>
      <c r="J76" s="63"/>
      <c r="K76" s="63"/>
      <c r="L76" s="63"/>
      <c r="M76" s="63"/>
      <c r="N76" s="63"/>
      <c r="O76" s="63"/>
      <c r="P76" s="63"/>
      <c r="Q76" s="63"/>
      <c r="R76" s="8"/>
      <c r="S76" s="8"/>
      <c r="T76" s="8"/>
      <c r="U76" s="8"/>
      <c r="V76" s="8"/>
      <c r="W76" s="44"/>
      <c r="X76" s="9"/>
      <c r="Y76" s="9"/>
      <c r="Z76" s="9"/>
      <c r="AA76" s="9"/>
      <c r="AB76" s="9"/>
      <c r="AC76" s="9"/>
      <c r="AD76" s="9"/>
      <c r="AE76" s="192"/>
      <c r="AF76" s="192"/>
      <c r="AG76" s="192"/>
      <c r="AH76" s="192"/>
      <c r="AI76" s="192"/>
      <c r="AJ76" s="192"/>
      <c r="AK76" s="192"/>
      <c r="AL76" s="192"/>
      <c r="AM76" s="192"/>
      <c r="AN76" s="192"/>
      <c r="AO76" s="192"/>
      <c r="AP76" s="192"/>
      <c r="AQ76" s="192"/>
      <c r="AR76" s="192"/>
      <c r="AS76" s="192"/>
      <c r="AT76" s="192"/>
      <c r="AU76" s="192"/>
    </row>
    <row r="77" spans="1:47" outlineLevel="1">
      <c r="A77" s="12"/>
      <c r="B77" s="12"/>
      <c r="C77" s="12"/>
      <c r="D77" s="12"/>
      <c r="E77" s="12"/>
      <c r="F77" s="40" t="str">
        <f>Asset3</f>
        <v>Overhead Distribution Lines</v>
      </c>
      <c r="G77" s="312">
        <v>0</v>
      </c>
      <c r="H77" s="63"/>
      <c r="I77" s="63"/>
      <c r="J77" s="63"/>
      <c r="K77" s="63"/>
      <c r="L77" s="63"/>
      <c r="M77" s="63"/>
      <c r="N77" s="63"/>
      <c r="O77" s="63"/>
      <c r="P77" s="63"/>
      <c r="Q77" s="63"/>
      <c r="R77" s="8"/>
      <c r="S77" s="8"/>
      <c r="T77" s="8"/>
      <c r="U77" s="8"/>
      <c r="V77" s="8"/>
      <c r="W77" s="44"/>
      <c r="X77" s="9"/>
      <c r="Y77" s="9"/>
      <c r="Z77" s="9"/>
      <c r="AA77" s="9"/>
      <c r="AB77" s="9"/>
      <c r="AC77" s="9"/>
      <c r="AD77" s="9"/>
      <c r="AE77" s="192"/>
      <c r="AF77" s="192"/>
      <c r="AG77" s="192"/>
      <c r="AH77" s="192"/>
      <c r="AI77" s="192"/>
      <c r="AJ77" s="192"/>
      <c r="AK77" s="192"/>
      <c r="AL77" s="192"/>
      <c r="AM77" s="192"/>
      <c r="AN77" s="192"/>
      <c r="AO77" s="192"/>
      <c r="AP77" s="192"/>
      <c r="AQ77" s="192"/>
      <c r="AR77" s="192"/>
      <c r="AS77" s="192"/>
      <c r="AT77" s="192"/>
      <c r="AU77" s="192"/>
    </row>
    <row r="78" spans="1:47" outlineLevel="1">
      <c r="A78" s="12"/>
      <c r="B78" s="12"/>
      <c r="C78" s="12"/>
      <c r="D78" s="12"/>
      <c r="E78" s="12"/>
      <c r="F78" s="40" t="str">
        <f>Asset4</f>
        <v>Underground Distribution Cables</v>
      </c>
      <c r="G78" s="312">
        <v>0</v>
      </c>
      <c r="H78" s="63"/>
      <c r="I78" s="63"/>
      <c r="J78" s="63"/>
      <c r="K78" s="63"/>
      <c r="L78" s="63"/>
      <c r="M78" s="63"/>
      <c r="N78" s="63"/>
      <c r="O78" s="63"/>
      <c r="P78" s="63"/>
      <c r="Q78" s="63"/>
      <c r="R78" s="8"/>
      <c r="S78" s="8"/>
      <c r="T78" s="8"/>
      <c r="U78" s="8"/>
      <c r="V78" s="8"/>
      <c r="W78" s="44"/>
      <c r="X78" s="9"/>
      <c r="Y78" s="9"/>
      <c r="Z78" s="9"/>
      <c r="AA78" s="9"/>
      <c r="AB78" s="9"/>
      <c r="AC78" s="9"/>
      <c r="AD78" s="9"/>
      <c r="AE78" s="192"/>
      <c r="AF78" s="192"/>
      <c r="AG78" s="192"/>
      <c r="AH78" s="192"/>
      <c r="AI78" s="192"/>
      <c r="AJ78" s="192"/>
      <c r="AK78" s="192"/>
      <c r="AL78" s="192"/>
      <c r="AM78" s="192"/>
      <c r="AN78" s="192"/>
      <c r="AO78" s="192"/>
      <c r="AP78" s="192"/>
      <c r="AQ78" s="192"/>
      <c r="AR78" s="192"/>
      <c r="AS78" s="192"/>
      <c r="AT78" s="192"/>
      <c r="AU78" s="192"/>
    </row>
    <row r="79" spans="1:47" outlineLevel="1">
      <c r="A79" s="12"/>
      <c r="B79" s="12"/>
      <c r="C79" s="12"/>
      <c r="D79" s="12"/>
      <c r="E79" s="12"/>
      <c r="F79" s="40" t="str">
        <f>Asset5</f>
        <v xml:space="preserve">Distribution Equipment  </v>
      </c>
      <c r="G79" s="312">
        <v>0</v>
      </c>
      <c r="H79" s="63"/>
      <c r="I79" s="63"/>
      <c r="J79" s="63"/>
      <c r="K79" s="63"/>
      <c r="L79" s="63"/>
      <c r="M79" s="63"/>
      <c r="N79" s="63"/>
      <c r="O79" s="63"/>
      <c r="P79" s="63"/>
      <c r="Q79" s="63"/>
      <c r="R79" s="8"/>
      <c r="S79" s="8"/>
      <c r="T79" s="8"/>
      <c r="U79" s="8"/>
      <c r="V79" s="8"/>
      <c r="W79" s="44"/>
      <c r="X79" s="9"/>
      <c r="Y79" s="9"/>
      <c r="Z79" s="9"/>
      <c r="AA79" s="9"/>
      <c r="AB79" s="9"/>
      <c r="AC79" s="9"/>
      <c r="AD79" s="9"/>
      <c r="AE79" s="192"/>
      <c r="AF79" s="192"/>
      <c r="AG79" s="192"/>
      <c r="AH79" s="192"/>
      <c r="AI79" s="192"/>
      <c r="AJ79" s="192"/>
      <c r="AK79" s="192"/>
      <c r="AL79" s="192"/>
      <c r="AM79" s="192"/>
      <c r="AN79" s="192"/>
      <c r="AO79" s="192"/>
      <c r="AP79" s="192"/>
      <c r="AQ79" s="192"/>
      <c r="AR79" s="192"/>
      <c r="AS79" s="192"/>
      <c r="AT79" s="192"/>
      <c r="AU79" s="192"/>
    </row>
    <row r="80" spans="1:47" outlineLevel="1">
      <c r="A80" s="12"/>
      <c r="B80" s="12"/>
      <c r="C80" s="12"/>
      <c r="D80" s="12"/>
      <c r="E80" s="12"/>
      <c r="F80" s="40" t="str">
        <f>Asset6</f>
        <v>Substation Bays</v>
      </c>
      <c r="G80" s="312">
        <v>0</v>
      </c>
      <c r="H80" s="63"/>
      <c r="I80" s="63"/>
      <c r="J80" s="63"/>
      <c r="K80" s="63"/>
      <c r="L80" s="63"/>
      <c r="M80" s="63"/>
      <c r="N80" s="63"/>
      <c r="O80" s="63"/>
      <c r="P80" s="63"/>
      <c r="Q80" s="63"/>
      <c r="R80" s="8"/>
      <c r="S80" s="8"/>
      <c r="T80" s="8"/>
      <c r="U80" s="8"/>
      <c r="V80" s="8"/>
      <c r="W80" s="44"/>
      <c r="X80" s="9"/>
      <c r="Y80" s="9"/>
      <c r="Z80" s="9"/>
      <c r="AA80" s="9"/>
      <c r="AB80" s="9"/>
      <c r="AC80" s="9"/>
      <c r="AD80" s="9"/>
      <c r="AE80" s="192"/>
      <c r="AF80" s="192"/>
      <c r="AG80" s="192"/>
      <c r="AH80" s="192"/>
      <c r="AI80" s="192"/>
      <c r="AJ80" s="192"/>
      <c r="AK80" s="192"/>
      <c r="AL80" s="192"/>
      <c r="AM80" s="192"/>
      <c r="AN80" s="192"/>
      <c r="AO80" s="192"/>
      <c r="AP80" s="192"/>
      <c r="AQ80" s="192"/>
      <c r="AR80" s="192"/>
      <c r="AS80" s="192"/>
      <c r="AT80" s="192"/>
      <c r="AU80" s="192"/>
    </row>
    <row r="81" spans="1:47" outlineLevel="1">
      <c r="A81" s="12"/>
      <c r="B81" s="12"/>
      <c r="C81" s="12"/>
      <c r="D81" s="12"/>
      <c r="E81" s="12"/>
      <c r="F81" s="40" t="str">
        <f>Asset7</f>
        <v>Substation Establishment</v>
      </c>
      <c r="G81" s="312">
        <v>0</v>
      </c>
      <c r="H81" s="63"/>
      <c r="I81" s="63"/>
      <c r="J81" s="63"/>
      <c r="K81" s="63"/>
      <c r="L81" s="63"/>
      <c r="M81" s="63"/>
      <c r="N81" s="63"/>
      <c r="O81" s="63"/>
      <c r="P81" s="63"/>
      <c r="Q81" s="63"/>
      <c r="R81" s="8"/>
      <c r="S81" s="8"/>
      <c r="T81" s="8"/>
      <c r="U81" s="8"/>
      <c r="V81" s="8"/>
      <c r="W81" s="44"/>
      <c r="X81" s="9"/>
      <c r="Y81" s="9"/>
      <c r="Z81" s="9"/>
      <c r="AA81" s="9"/>
      <c r="AB81" s="9"/>
      <c r="AC81" s="9"/>
      <c r="AD81" s="9"/>
      <c r="AE81" s="192"/>
      <c r="AF81" s="192"/>
      <c r="AG81" s="192"/>
      <c r="AH81" s="192"/>
      <c r="AI81" s="192"/>
      <c r="AJ81" s="192"/>
      <c r="AK81" s="192"/>
      <c r="AL81" s="192"/>
      <c r="AM81" s="192"/>
      <c r="AN81" s="192"/>
      <c r="AO81" s="192"/>
      <c r="AP81" s="192"/>
      <c r="AQ81" s="192"/>
      <c r="AR81" s="192"/>
      <c r="AS81" s="192"/>
      <c r="AT81" s="192"/>
      <c r="AU81" s="192"/>
    </row>
    <row r="82" spans="1:47" outlineLevel="1">
      <c r="A82" s="12"/>
      <c r="B82" s="12"/>
      <c r="C82" s="12"/>
      <c r="D82" s="12"/>
      <c r="E82" s="12"/>
      <c r="F82" s="40" t="str">
        <f>Asset8</f>
        <v>Distribution Substation Switchgear</v>
      </c>
      <c r="G82" s="312">
        <v>0</v>
      </c>
      <c r="H82" s="63"/>
      <c r="I82" s="63"/>
      <c r="J82" s="63"/>
      <c r="K82" s="63"/>
      <c r="L82" s="63"/>
      <c r="M82" s="63"/>
      <c r="N82" s="63"/>
      <c r="O82" s="63"/>
      <c r="P82" s="63"/>
      <c r="Q82" s="63"/>
      <c r="R82" s="8"/>
      <c r="S82" s="8"/>
      <c r="T82" s="8"/>
      <c r="U82" s="8"/>
      <c r="V82" s="8"/>
      <c r="W82" s="44"/>
      <c r="X82" s="9"/>
      <c r="Y82" s="9"/>
      <c r="Z82" s="9"/>
      <c r="AA82" s="9"/>
      <c r="AB82" s="9"/>
      <c r="AC82" s="9"/>
      <c r="AD82" s="9"/>
      <c r="AE82" s="192"/>
      <c r="AF82" s="192"/>
      <c r="AG82" s="192"/>
      <c r="AH82" s="192"/>
      <c r="AI82" s="192"/>
      <c r="AJ82" s="192"/>
      <c r="AK82" s="192"/>
      <c r="AL82" s="192"/>
      <c r="AM82" s="192"/>
      <c r="AN82" s="192"/>
      <c r="AO82" s="192"/>
      <c r="AP82" s="192"/>
      <c r="AQ82" s="192"/>
      <c r="AR82" s="192"/>
      <c r="AS82" s="192"/>
      <c r="AT82" s="192"/>
      <c r="AU82" s="192"/>
    </row>
    <row r="83" spans="1:47" outlineLevel="1">
      <c r="A83" s="12"/>
      <c r="B83" s="12"/>
      <c r="C83" s="12"/>
      <c r="D83" s="12"/>
      <c r="E83" s="12"/>
      <c r="F83" s="40" t="str">
        <f>Asset9</f>
        <v>Zone Transformers</v>
      </c>
      <c r="G83" s="312">
        <v>0</v>
      </c>
      <c r="H83" s="63"/>
      <c r="I83" s="63"/>
      <c r="J83" s="63"/>
      <c r="K83" s="63"/>
      <c r="L83" s="63"/>
      <c r="M83" s="63"/>
      <c r="N83" s="63"/>
      <c r="O83" s="63"/>
      <c r="P83" s="63"/>
      <c r="Q83" s="63"/>
      <c r="R83" s="8"/>
      <c r="S83" s="8"/>
      <c r="T83" s="8"/>
      <c r="U83" s="8"/>
      <c r="V83" s="8"/>
      <c r="W83" s="44"/>
      <c r="X83" s="9"/>
      <c r="Y83" s="9"/>
      <c r="Z83" s="9"/>
      <c r="AA83" s="9"/>
      <c r="AB83" s="9"/>
      <c r="AC83" s="9"/>
      <c r="AD83" s="9"/>
      <c r="AE83" s="192"/>
      <c r="AF83" s="192"/>
      <c r="AG83" s="192"/>
      <c r="AH83" s="192"/>
      <c r="AI83" s="192"/>
      <c r="AJ83" s="192"/>
      <c r="AK83" s="192"/>
      <c r="AL83" s="192"/>
      <c r="AM83" s="192"/>
      <c r="AN83" s="192"/>
      <c r="AO83" s="192"/>
      <c r="AP83" s="192"/>
      <c r="AQ83" s="192"/>
      <c r="AR83" s="192"/>
      <c r="AS83" s="192"/>
      <c r="AT83" s="192"/>
      <c r="AU83" s="192"/>
    </row>
    <row r="84" spans="1:47" outlineLevel="1">
      <c r="A84" s="12"/>
      <c r="B84" s="12"/>
      <c r="C84" s="12"/>
      <c r="D84" s="12"/>
      <c r="E84" s="12"/>
      <c r="F84" s="40" t="str">
        <f>Asset10</f>
        <v>Distribution Transformers</v>
      </c>
      <c r="G84" s="312">
        <v>0</v>
      </c>
      <c r="H84" s="63"/>
      <c r="I84" s="63"/>
      <c r="J84" s="63"/>
      <c r="K84" s="63"/>
      <c r="L84" s="63"/>
      <c r="M84" s="63"/>
      <c r="N84" s="63"/>
      <c r="O84" s="63"/>
      <c r="P84" s="63"/>
      <c r="Q84" s="63"/>
      <c r="R84" s="8"/>
      <c r="S84" s="8"/>
      <c r="T84" s="8"/>
      <c r="U84" s="8"/>
      <c r="V84" s="8"/>
      <c r="W84" s="44"/>
      <c r="X84" s="9"/>
      <c r="Y84" s="9"/>
      <c r="Z84" s="9"/>
      <c r="AA84" s="9"/>
      <c r="AB84" s="9"/>
      <c r="AC84" s="9"/>
      <c r="AD84" s="9"/>
      <c r="AE84" s="192"/>
      <c r="AF84" s="192"/>
      <c r="AG84" s="192"/>
      <c r="AH84" s="192"/>
      <c r="AI84" s="192"/>
      <c r="AJ84" s="192"/>
      <c r="AK84" s="192"/>
      <c r="AL84" s="192"/>
      <c r="AM84" s="192"/>
      <c r="AN84" s="192"/>
      <c r="AO84" s="192"/>
      <c r="AP84" s="192"/>
      <c r="AQ84" s="192"/>
      <c r="AR84" s="192"/>
      <c r="AS84" s="192"/>
      <c r="AT84" s="192"/>
      <c r="AU84" s="192"/>
    </row>
    <row r="85" spans="1:47" outlineLevel="1">
      <c r="A85" s="12"/>
      <c r="B85" s="12"/>
      <c r="C85" s="12"/>
      <c r="D85" s="12"/>
      <c r="E85" s="12"/>
      <c r="F85" s="40" t="str">
        <f>Asset11</f>
        <v>Low Voltage Services</v>
      </c>
      <c r="G85" s="312">
        <v>0</v>
      </c>
      <c r="H85" s="63"/>
      <c r="I85" s="63"/>
      <c r="J85" s="63"/>
      <c r="K85" s="63"/>
      <c r="L85" s="63"/>
      <c r="M85" s="63"/>
      <c r="N85" s="63"/>
      <c r="O85" s="63"/>
      <c r="P85" s="63"/>
      <c r="Q85" s="63"/>
      <c r="R85" s="8"/>
      <c r="S85" s="8"/>
      <c r="T85" s="8"/>
      <c r="U85" s="8"/>
      <c r="V85" s="8"/>
      <c r="W85" s="44"/>
      <c r="X85" s="9"/>
      <c r="Y85" s="9"/>
      <c r="Z85" s="9"/>
      <c r="AA85" s="9"/>
      <c r="AB85" s="9"/>
      <c r="AC85" s="9"/>
      <c r="AD85" s="9"/>
      <c r="AE85" s="192"/>
      <c r="AF85" s="192"/>
      <c r="AG85" s="192"/>
      <c r="AH85" s="192"/>
      <c r="AI85" s="192"/>
      <c r="AJ85" s="192"/>
      <c r="AK85" s="192"/>
      <c r="AL85" s="192"/>
      <c r="AM85" s="192"/>
      <c r="AN85" s="192"/>
      <c r="AO85" s="192"/>
      <c r="AP85" s="192"/>
      <c r="AQ85" s="192"/>
      <c r="AR85" s="192"/>
      <c r="AS85" s="192"/>
      <c r="AT85" s="192"/>
      <c r="AU85" s="192"/>
    </row>
    <row r="86" spans="1:47" outlineLevel="1">
      <c r="A86" s="12"/>
      <c r="B86" s="12"/>
      <c r="C86" s="12"/>
      <c r="D86" s="12"/>
      <c r="E86" s="12"/>
      <c r="F86" s="40" t="str">
        <f>Asset12</f>
        <v>Metering</v>
      </c>
      <c r="G86" s="312">
        <v>0</v>
      </c>
      <c r="H86" s="63"/>
      <c r="I86" s="63"/>
      <c r="J86" s="63"/>
      <c r="K86" s="63"/>
      <c r="L86" s="63"/>
      <c r="M86" s="63"/>
      <c r="N86" s="63"/>
      <c r="O86" s="63"/>
      <c r="P86" s="63"/>
      <c r="Q86" s="63"/>
      <c r="R86" s="8"/>
      <c r="S86" s="8"/>
      <c r="T86" s="8"/>
      <c r="U86" s="8"/>
      <c r="V86" s="8"/>
      <c r="W86" s="44"/>
      <c r="X86" s="9"/>
      <c r="Y86" s="9"/>
      <c r="Z86" s="9"/>
      <c r="AA86" s="9"/>
      <c r="AB86" s="9"/>
      <c r="AC86" s="9"/>
      <c r="AD86" s="9"/>
      <c r="AE86" s="192"/>
      <c r="AF86" s="192"/>
      <c r="AG86" s="192"/>
      <c r="AH86" s="192"/>
      <c r="AI86" s="192"/>
      <c r="AJ86" s="192"/>
      <c r="AK86" s="192"/>
      <c r="AL86" s="192"/>
      <c r="AM86" s="192"/>
      <c r="AN86" s="192"/>
      <c r="AO86" s="192"/>
      <c r="AP86" s="192"/>
      <c r="AQ86" s="192"/>
      <c r="AR86" s="192"/>
      <c r="AS86" s="192"/>
      <c r="AT86" s="192"/>
      <c r="AU86" s="192"/>
    </row>
    <row r="87" spans="1:47" outlineLevel="1">
      <c r="A87" s="12"/>
      <c r="B87" s="12"/>
      <c r="C87" s="12"/>
      <c r="D87" s="12"/>
      <c r="E87" s="12"/>
      <c r="F87" s="40" t="str">
        <f>Asset13</f>
        <v xml:space="preserve">Communications – Pilot Wires </v>
      </c>
      <c r="G87" s="312">
        <v>0</v>
      </c>
      <c r="H87" s="63"/>
      <c r="I87" s="63"/>
      <c r="J87" s="63"/>
      <c r="K87" s="63"/>
      <c r="L87" s="63"/>
      <c r="M87" s="63"/>
      <c r="N87" s="63"/>
      <c r="O87" s="63"/>
      <c r="P87" s="63"/>
      <c r="Q87" s="63"/>
      <c r="R87" s="8"/>
      <c r="S87" s="8"/>
      <c r="T87" s="8"/>
      <c r="U87" s="8"/>
      <c r="V87" s="8"/>
      <c r="W87" s="44"/>
      <c r="X87" s="9"/>
      <c r="Y87" s="9"/>
      <c r="Z87" s="9"/>
      <c r="AA87" s="9"/>
      <c r="AB87" s="9"/>
      <c r="AC87" s="9"/>
      <c r="AD87" s="9"/>
      <c r="AE87" s="192"/>
      <c r="AF87" s="192"/>
      <c r="AG87" s="192"/>
      <c r="AH87" s="192"/>
      <c r="AI87" s="192"/>
      <c r="AJ87" s="192"/>
      <c r="AK87" s="192"/>
      <c r="AL87" s="192"/>
      <c r="AM87" s="192"/>
      <c r="AN87" s="192"/>
      <c r="AO87" s="192"/>
      <c r="AP87" s="192"/>
      <c r="AQ87" s="192"/>
      <c r="AR87" s="192"/>
      <c r="AS87" s="192"/>
      <c r="AT87" s="192"/>
      <c r="AU87" s="192"/>
    </row>
    <row r="88" spans="1:47" outlineLevel="1">
      <c r="A88" s="12"/>
      <c r="B88" s="12"/>
      <c r="C88" s="12"/>
      <c r="D88" s="12"/>
      <c r="E88" s="12"/>
      <c r="F88" s="40" t="str">
        <f>Asset14</f>
        <v>Generation Assets</v>
      </c>
      <c r="G88" s="312">
        <v>0</v>
      </c>
      <c r="H88" s="63"/>
      <c r="I88" s="63"/>
      <c r="J88" s="63"/>
      <c r="K88" s="63"/>
      <c r="L88" s="63"/>
      <c r="M88" s="63"/>
      <c r="N88" s="63"/>
      <c r="O88" s="63"/>
      <c r="P88" s="63"/>
      <c r="Q88" s="63"/>
      <c r="R88" s="8"/>
      <c r="S88" s="8"/>
      <c r="T88" s="8"/>
      <c r="U88" s="8"/>
      <c r="V88" s="8"/>
      <c r="W88" s="44"/>
      <c r="X88" s="9"/>
      <c r="Y88" s="9"/>
      <c r="Z88" s="9"/>
      <c r="AA88" s="9"/>
      <c r="AB88" s="9"/>
      <c r="AC88" s="9"/>
      <c r="AD88" s="9"/>
      <c r="AE88" s="192"/>
      <c r="AF88" s="192"/>
      <c r="AG88" s="192"/>
      <c r="AH88" s="192"/>
      <c r="AI88" s="192"/>
      <c r="AJ88" s="192"/>
      <c r="AK88" s="192"/>
      <c r="AL88" s="192"/>
      <c r="AM88" s="192"/>
      <c r="AN88" s="192"/>
      <c r="AO88" s="192"/>
      <c r="AP88" s="192"/>
      <c r="AQ88" s="192"/>
      <c r="AR88" s="192"/>
      <c r="AS88" s="192"/>
      <c r="AT88" s="192"/>
      <c r="AU88" s="192"/>
    </row>
    <row r="89" spans="1:47" outlineLevel="1">
      <c r="A89" s="12"/>
      <c r="B89" s="12"/>
      <c r="C89" s="12"/>
      <c r="D89" s="12"/>
      <c r="E89" s="12"/>
      <c r="F89" s="40" t="str">
        <f>Asset15</f>
        <v>Street Lighting</v>
      </c>
      <c r="G89" s="312"/>
      <c r="H89" s="63"/>
      <c r="I89" s="63"/>
      <c r="J89" s="63"/>
      <c r="K89" s="63"/>
      <c r="L89" s="63"/>
      <c r="M89" s="63"/>
      <c r="N89" s="63"/>
      <c r="O89" s="63"/>
      <c r="P89" s="63"/>
      <c r="Q89" s="63"/>
      <c r="R89" s="8"/>
      <c r="S89" s="8"/>
      <c r="T89" s="8"/>
      <c r="U89" s="8"/>
      <c r="V89" s="8"/>
      <c r="W89" s="44"/>
      <c r="X89" s="9"/>
      <c r="Y89" s="9"/>
      <c r="Z89" s="9"/>
      <c r="AA89" s="9"/>
      <c r="AB89" s="9"/>
      <c r="AC89" s="9"/>
      <c r="AD89" s="9"/>
      <c r="AE89" s="192"/>
      <c r="AF89" s="192"/>
      <c r="AG89" s="192"/>
      <c r="AH89" s="192"/>
      <c r="AI89" s="192"/>
      <c r="AJ89" s="192"/>
      <c r="AK89" s="192"/>
      <c r="AL89" s="192"/>
      <c r="AM89" s="192"/>
      <c r="AN89" s="192"/>
      <c r="AO89" s="192"/>
      <c r="AP89" s="192"/>
      <c r="AQ89" s="192"/>
      <c r="AR89" s="192"/>
      <c r="AS89" s="192"/>
      <c r="AT89" s="192"/>
      <c r="AU89" s="192"/>
    </row>
    <row r="90" spans="1:47" outlineLevel="1">
      <c r="A90" s="12"/>
      <c r="B90" s="12"/>
      <c r="C90" s="12"/>
      <c r="D90" s="12"/>
      <c r="E90" s="12"/>
      <c r="F90" s="40" t="str">
        <f>Asset16</f>
        <v>Other Equipment</v>
      </c>
      <c r="G90" s="312">
        <v>0</v>
      </c>
      <c r="H90" s="63"/>
      <c r="I90" s="63"/>
      <c r="J90" s="63"/>
      <c r="K90" s="63"/>
      <c r="L90" s="63"/>
      <c r="M90" s="63"/>
      <c r="N90" s="63"/>
      <c r="O90" s="63"/>
      <c r="P90" s="63"/>
      <c r="Q90" s="63"/>
      <c r="R90" s="8"/>
      <c r="S90" s="8"/>
      <c r="T90" s="8"/>
      <c r="U90" s="8"/>
      <c r="V90" s="8"/>
      <c r="W90" s="44"/>
      <c r="X90" s="9"/>
      <c r="Y90" s="9"/>
      <c r="Z90" s="9"/>
      <c r="AA90" s="9"/>
      <c r="AB90" s="9"/>
      <c r="AC90" s="9"/>
      <c r="AD90" s="9"/>
      <c r="AE90" s="192"/>
      <c r="AF90" s="192"/>
      <c r="AG90" s="192"/>
      <c r="AH90" s="192"/>
      <c r="AI90" s="192"/>
      <c r="AJ90" s="192"/>
      <c r="AK90" s="192"/>
      <c r="AL90" s="192"/>
      <c r="AM90" s="192"/>
      <c r="AN90" s="192"/>
      <c r="AO90" s="192"/>
      <c r="AP90" s="192"/>
      <c r="AQ90" s="192"/>
      <c r="AR90" s="192"/>
      <c r="AS90" s="192"/>
      <c r="AT90" s="192"/>
      <c r="AU90" s="192"/>
    </row>
    <row r="91" spans="1:47" outlineLevel="1">
      <c r="A91" s="12"/>
      <c r="B91" s="12"/>
      <c r="C91" s="12"/>
      <c r="D91" s="12"/>
      <c r="E91" s="12"/>
      <c r="F91" s="40" t="str">
        <f>Asset17</f>
        <v>Control Centre - SCADA</v>
      </c>
      <c r="G91" s="312">
        <v>0</v>
      </c>
      <c r="H91" s="63"/>
      <c r="I91" s="63"/>
      <c r="J91" s="63"/>
      <c r="K91" s="63"/>
      <c r="L91" s="63"/>
      <c r="M91" s="63"/>
      <c r="N91" s="63"/>
      <c r="O91" s="63"/>
      <c r="P91" s="63"/>
      <c r="Q91" s="63"/>
      <c r="R91" s="8"/>
      <c r="S91" s="8"/>
      <c r="T91" s="8"/>
      <c r="U91" s="8"/>
      <c r="V91" s="8"/>
      <c r="W91" s="44"/>
      <c r="X91" s="9"/>
      <c r="Y91" s="9"/>
      <c r="Z91" s="9"/>
      <c r="AA91" s="9"/>
      <c r="AB91" s="9"/>
      <c r="AC91" s="9"/>
      <c r="AD91" s="9"/>
      <c r="AE91" s="192"/>
      <c r="AF91" s="192"/>
      <c r="AG91" s="192"/>
      <c r="AH91" s="192"/>
      <c r="AI91" s="192"/>
      <c r="AJ91" s="192"/>
      <c r="AK91" s="192"/>
      <c r="AL91" s="192"/>
      <c r="AM91" s="192"/>
      <c r="AN91" s="192"/>
      <c r="AO91" s="192"/>
      <c r="AP91" s="192"/>
      <c r="AQ91" s="192"/>
      <c r="AR91" s="192"/>
      <c r="AS91" s="192"/>
      <c r="AT91" s="192"/>
      <c r="AU91" s="192"/>
    </row>
    <row r="92" spans="1:47" outlineLevel="1">
      <c r="A92" s="12"/>
      <c r="B92" s="12"/>
      <c r="C92" s="12"/>
      <c r="D92" s="12"/>
      <c r="E92" s="12"/>
      <c r="F92" s="40" t="str">
        <f>Asset18</f>
        <v>Land &amp; Easements (System)</v>
      </c>
      <c r="G92" s="312">
        <v>0</v>
      </c>
      <c r="H92" s="63"/>
      <c r="I92" s="63"/>
      <c r="J92" s="63"/>
      <c r="K92" s="63"/>
      <c r="L92" s="63"/>
      <c r="M92" s="63"/>
      <c r="N92" s="63"/>
      <c r="O92" s="63"/>
      <c r="P92" s="63"/>
      <c r="Q92" s="63"/>
      <c r="R92" s="8"/>
      <c r="S92" s="8"/>
      <c r="T92" s="8"/>
      <c r="U92" s="8"/>
      <c r="V92" s="8"/>
      <c r="W92" s="44"/>
      <c r="X92" s="9"/>
      <c r="Y92" s="9"/>
      <c r="Z92" s="9"/>
      <c r="AA92" s="9"/>
      <c r="AB92" s="9"/>
      <c r="AC92" s="9"/>
      <c r="AD92" s="9"/>
      <c r="AE92" s="192"/>
      <c r="AF92" s="192"/>
      <c r="AG92" s="192"/>
      <c r="AH92" s="192"/>
      <c r="AI92" s="192"/>
      <c r="AJ92" s="192"/>
      <c r="AK92" s="192"/>
      <c r="AL92" s="192"/>
      <c r="AM92" s="192"/>
      <c r="AN92" s="192"/>
      <c r="AO92" s="192"/>
      <c r="AP92" s="192"/>
      <c r="AQ92" s="192"/>
      <c r="AR92" s="192"/>
      <c r="AS92" s="192"/>
      <c r="AT92" s="192"/>
      <c r="AU92" s="192"/>
    </row>
    <row r="93" spans="1:47" outlineLevel="1">
      <c r="A93" s="12"/>
      <c r="B93" s="12"/>
      <c r="C93" s="12"/>
      <c r="D93" s="12"/>
      <c r="E93" s="12"/>
      <c r="F93" s="40" t="str">
        <f>Asset19</f>
        <v>Metering Type 5-6</v>
      </c>
      <c r="G93" s="312">
        <v>0</v>
      </c>
      <c r="H93" s="63"/>
      <c r="I93" s="63"/>
      <c r="J93" s="63"/>
      <c r="K93" s="63"/>
      <c r="L93" s="63"/>
      <c r="M93" s="63"/>
      <c r="N93" s="63"/>
      <c r="O93" s="63"/>
      <c r="P93" s="63"/>
      <c r="Q93" s="63"/>
      <c r="R93" s="8"/>
      <c r="S93" s="8"/>
      <c r="T93" s="8"/>
      <c r="U93" s="8"/>
      <c r="V93" s="8"/>
      <c r="W93" s="44"/>
      <c r="X93" s="9"/>
      <c r="Y93" s="9"/>
      <c r="Z93" s="9"/>
      <c r="AA93" s="9"/>
      <c r="AB93" s="9"/>
      <c r="AC93" s="9"/>
      <c r="AD93" s="9"/>
      <c r="AE93" s="192"/>
      <c r="AF93" s="192"/>
      <c r="AG93" s="192"/>
      <c r="AH93" s="192"/>
      <c r="AI93" s="192"/>
      <c r="AJ93" s="192"/>
      <c r="AK93" s="192"/>
      <c r="AL93" s="192"/>
      <c r="AM93" s="192"/>
      <c r="AN93" s="192"/>
      <c r="AO93" s="192"/>
      <c r="AP93" s="192"/>
      <c r="AQ93" s="192"/>
      <c r="AR93" s="192"/>
      <c r="AS93" s="192"/>
      <c r="AT93" s="192"/>
      <c r="AU93" s="192"/>
    </row>
    <row r="94" spans="1:47" outlineLevel="1">
      <c r="A94" s="12"/>
      <c r="B94" s="12"/>
      <c r="C94" s="12"/>
      <c r="D94" s="12"/>
      <c r="E94" s="12"/>
      <c r="F94" s="40" t="str">
        <f>Asset20</f>
        <v>Communications</v>
      </c>
      <c r="G94" s="312">
        <v>0</v>
      </c>
      <c r="H94" s="63"/>
      <c r="I94" s="63"/>
      <c r="J94" s="63"/>
      <c r="K94" s="63"/>
      <c r="L94" s="63"/>
      <c r="M94" s="63"/>
      <c r="N94" s="63"/>
      <c r="O94" s="63"/>
      <c r="P94" s="63"/>
      <c r="Q94" s="63"/>
      <c r="R94" s="8"/>
      <c r="S94" s="8"/>
      <c r="T94" s="8"/>
      <c r="U94" s="8"/>
      <c r="V94" s="8"/>
      <c r="W94" s="44"/>
      <c r="X94" s="9"/>
      <c r="Y94" s="9"/>
      <c r="Z94" s="9"/>
      <c r="AA94" s="9"/>
      <c r="AB94" s="9"/>
      <c r="AC94" s="9"/>
      <c r="AD94" s="9"/>
      <c r="AE94" s="192"/>
      <c r="AF94" s="192"/>
      <c r="AG94" s="192"/>
      <c r="AH94" s="192"/>
      <c r="AI94" s="192"/>
      <c r="AJ94" s="192"/>
      <c r="AK94" s="192"/>
      <c r="AL94" s="192"/>
      <c r="AM94" s="192"/>
      <c r="AN94" s="192"/>
      <c r="AO94" s="192"/>
      <c r="AP94" s="192"/>
      <c r="AQ94" s="192"/>
      <c r="AR94" s="192"/>
      <c r="AS94" s="192"/>
      <c r="AT94" s="192"/>
      <c r="AU94" s="192"/>
    </row>
    <row r="95" spans="1:47" outlineLevel="1">
      <c r="A95" s="12"/>
      <c r="B95" s="12"/>
      <c r="C95" s="12"/>
      <c r="D95" s="12"/>
      <c r="E95" s="12"/>
      <c r="F95" s="40" t="str">
        <f>Asset21</f>
        <v>IT Systems</v>
      </c>
      <c r="G95" s="312">
        <v>0</v>
      </c>
      <c r="H95" s="63"/>
      <c r="I95" s="63"/>
      <c r="J95" s="63"/>
      <c r="K95" s="63"/>
      <c r="L95" s="63"/>
      <c r="M95" s="63"/>
      <c r="N95" s="63"/>
      <c r="O95" s="63"/>
      <c r="P95" s="63"/>
      <c r="Q95" s="63"/>
      <c r="R95" s="8"/>
      <c r="S95" s="8"/>
      <c r="T95" s="8"/>
      <c r="U95" s="8"/>
      <c r="V95" s="8"/>
      <c r="W95" s="44"/>
      <c r="X95" s="9"/>
      <c r="Y95" s="9"/>
      <c r="Z95" s="9"/>
      <c r="AA95" s="9"/>
      <c r="AB95" s="9"/>
      <c r="AC95" s="9"/>
      <c r="AD95" s="9"/>
      <c r="AE95" s="192"/>
      <c r="AF95" s="192"/>
      <c r="AG95" s="192"/>
      <c r="AH95" s="192"/>
      <c r="AI95" s="192"/>
      <c r="AJ95" s="192"/>
      <c r="AK95" s="192"/>
      <c r="AL95" s="192"/>
      <c r="AM95" s="192"/>
      <c r="AN95" s="192"/>
      <c r="AO95" s="192"/>
      <c r="AP95" s="192"/>
      <c r="AQ95" s="192"/>
      <c r="AR95" s="192"/>
      <c r="AS95" s="192"/>
      <c r="AT95" s="192"/>
      <c r="AU95" s="192"/>
    </row>
    <row r="96" spans="1:47" outlineLevel="1">
      <c r="A96" s="12"/>
      <c r="B96" s="12"/>
      <c r="C96" s="12"/>
      <c r="D96" s="12"/>
      <c r="E96" s="12"/>
      <c r="F96" s="40" t="str">
        <f>Asset22</f>
        <v>Office Equipment &amp; Furniture</v>
      </c>
      <c r="G96" s="312">
        <v>1.9E-2</v>
      </c>
      <c r="H96" s="63"/>
      <c r="I96" s="63"/>
      <c r="J96" s="63"/>
      <c r="K96" s="63"/>
      <c r="L96" s="63"/>
      <c r="M96" s="63"/>
      <c r="N96" s="63"/>
      <c r="O96" s="63"/>
      <c r="P96" s="63"/>
      <c r="Q96" s="63"/>
      <c r="R96" s="8"/>
      <c r="S96" s="8"/>
      <c r="T96" s="8"/>
      <c r="U96" s="8"/>
      <c r="V96" s="8"/>
      <c r="W96" s="44"/>
      <c r="X96" s="9"/>
      <c r="Y96" s="9"/>
      <c r="Z96" s="9"/>
      <c r="AA96" s="9"/>
      <c r="AB96" s="9"/>
      <c r="AC96" s="9"/>
      <c r="AD96" s="9"/>
      <c r="AE96" s="192"/>
      <c r="AF96" s="192"/>
      <c r="AG96" s="192"/>
      <c r="AH96" s="192"/>
      <c r="AI96" s="192"/>
      <c r="AJ96" s="192"/>
      <c r="AK96" s="192"/>
      <c r="AL96" s="192"/>
      <c r="AM96" s="192"/>
      <c r="AN96" s="192"/>
      <c r="AO96" s="192"/>
      <c r="AP96" s="192"/>
      <c r="AQ96" s="192"/>
      <c r="AR96" s="192"/>
      <c r="AS96" s="192"/>
      <c r="AT96" s="192"/>
      <c r="AU96" s="192"/>
    </row>
    <row r="97" spans="1:47" outlineLevel="1">
      <c r="A97" s="12"/>
      <c r="B97" s="12"/>
      <c r="C97" s="12"/>
      <c r="D97" s="12"/>
      <c r="E97" s="12"/>
      <c r="F97" s="40" t="str">
        <f>Asset23</f>
        <v>Motor Vehicles</v>
      </c>
      <c r="G97" s="312">
        <v>6.657</v>
      </c>
      <c r="H97" s="63"/>
      <c r="I97" s="63"/>
      <c r="J97" s="63"/>
      <c r="K97" s="63"/>
      <c r="L97" s="63"/>
      <c r="M97" s="63"/>
      <c r="N97" s="63"/>
      <c r="O97" s="63"/>
      <c r="P97" s="63"/>
      <c r="Q97" s="63"/>
      <c r="R97" s="8"/>
      <c r="S97" s="8"/>
      <c r="T97" s="8"/>
      <c r="U97" s="8"/>
      <c r="V97" s="8"/>
      <c r="W97" s="44"/>
      <c r="X97" s="9"/>
      <c r="Y97" s="9"/>
      <c r="Z97" s="9"/>
      <c r="AA97" s="9"/>
      <c r="AB97" s="9"/>
      <c r="AC97" s="9"/>
      <c r="AD97" s="9"/>
      <c r="AE97" s="192"/>
      <c r="AF97" s="192"/>
      <c r="AG97" s="192"/>
      <c r="AH97" s="192"/>
      <c r="AI97" s="192"/>
      <c r="AJ97" s="192"/>
      <c r="AK97" s="192"/>
      <c r="AL97" s="192"/>
      <c r="AM97" s="192"/>
      <c r="AN97" s="192"/>
      <c r="AO97" s="192"/>
      <c r="AP97" s="192"/>
      <c r="AQ97" s="192"/>
      <c r="AR97" s="192"/>
      <c r="AS97" s="192"/>
      <c r="AT97" s="192"/>
      <c r="AU97" s="192"/>
    </row>
    <row r="98" spans="1:47" outlineLevel="1">
      <c r="A98" s="12"/>
      <c r="B98" s="12"/>
      <c r="C98" s="12"/>
      <c r="D98" s="12"/>
      <c r="E98" s="12"/>
      <c r="F98" s="40" t="str">
        <f>Asset24</f>
        <v>Plant &amp; Equipment</v>
      </c>
      <c r="G98" s="312">
        <v>0.59899999999999998</v>
      </c>
      <c r="H98" s="63"/>
      <c r="I98" s="63"/>
      <c r="J98" s="63"/>
      <c r="K98" s="63"/>
      <c r="L98" s="63"/>
      <c r="M98" s="63"/>
      <c r="N98" s="63"/>
      <c r="O98" s="63"/>
      <c r="P98" s="63"/>
      <c r="Q98" s="63"/>
      <c r="R98" s="8"/>
      <c r="S98" s="8"/>
      <c r="T98" s="8"/>
      <c r="U98" s="8"/>
      <c r="V98" s="8"/>
      <c r="W98" s="44"/>
      <c r="X98" s="9"/>
      <c r="Y98" s="9"/>
      <c r="Z98" s="9"/>
      <c r="AA98" s="9"/>
      <c r="AB98" s="9"/>
      <c r="AC98" s="9"/>
      <c r="AD98" s="9"/>
      <c r="AE98" s="192"/>
      <c r="AF98" s="192"/>
      <c r="AG98" s="192"/>
      <c r="AH98" s="192"/>
      <c r="AI98" s="192"/>
      <c r="AJ98" s="192"/>
      <c r="AK98" s="192"/>
      <c r="AL98" s="192"/>
      <c r="AM98" s="192"/>
      <c r="AN98" s="192"/>
      <c r="AO98" s="192"/>
      <c r="AP98" s="192"/>
      <c r="AQ98" s="192"/>
      <c r="AR98" s="192"/>
      <c r="AS98" s="192"/>
      <c r="AT98" s="192"/>
      <c r="AU98" s="192"/>
    </row>
    <row r="99" spans="1:47" outlineLevel="1">
      <c r="A99" s="12"/>
      <c r="B99" s="12"/>
      <c r="C99" s="12"/>
      <c r="D99" s="12"/>
      <c r="E99" s="12"/>
      <c r="F99" s="40" t="str">
        <f>Asset25</f>
        <v>Buildings</v>
      </c>
      <c r="G99" s="312">
        <v>3.8370000000000002</v>
      </c>
      <c r="H99" s="63"/>
      <c r="I99" s="63"/>
      <c r="J99" s="63"/>
      <c r="K99" s="63"/>
      <c r="L99" s="63"/>
      <c r="M99" s="63"/>
      <c r="N99" s="63"/>
      <c r="O99" s="63"/>
      <c r="P99" s="63"/>
      <c r="Q99" s="63"/>
      <c r="R99" s="8"/>
      <c r="S99" s="8"/>
      <c r="T99" s="8"/>
      <c r="U99" s="8"/>
      <c r="V99" s="8"/>
      <c r="W99" s="44"/>
      <c r="X99" s="9"/>
      <c r="Y99" s="9"/>
      <c r="Z99" s="9"/>
      <c r="AA99" s="9"/>
      <c r="AB99" s="9"/>
      <c r="AC99" s="9"/>
      <c r="AD99" s="9"/>
      <c r="AE99" s="192"/>
      <c r="AF99" s="192"/>
      <c r="AG99" s="192"/>
      <c r="AH99" s="192"/>
      <c r="AI99" s="192"/>
      <c r="AJ99" s="192"/>
      <c r="AK99" s="192"/>
      <c r="AL99" s="192"/>
      <c r="AM99" s="192"/>
      <c r="AN99" s="192"/>
      <c r="AO99" s="192"/>
      <c r="AP99" s="192"/>
      <c r="AQ99" s="192"/>
      <c r="AR99" s="192"/>
      <c r="AS99" s="192"/>
      <c r="AT99" s="192"/>
      <c r="AU99" s="192"/>
    </row>
    <row r="100" spans="1:47" outlineLevel="1">
      <c r="A100" s="12"/>
      <c r="B100" s="12"/>
      <c r="C100" s="12"/>
      <c r="D100" s="12"/>
      <c r="E100" s="12"/>
      <c r="F100" s="40" t="str">
        <f>Asset26</f>
        <v>Land &amp; Easements</v>
      </c>
      <c r="G100" s="312">
        <v>0.44400000000000001</v>
      </c>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2"/>
      <c r="AF100" s="192"/>
      <c r="AG100" s="192"/>
      <c r="AH100" s="192"/>
      <c r="AI100" s="192"/>
      <c r="AJ100" s="192"/>
      <c r="AK100" s="192"/>
      <c r="AL100" s="192"/>
      <c r="AM100" s="192"/>
      <c r="AN100" s="192"/>
      <c r="AO100" s="192"/>
      <c r="AP100" s="192"/>
      <c r="AQ100" s="192"/>
      <c r="AR100" s="192"/>
      <c r="AS100" s="192"/>
      <c r="AT100" s="192"/>
      <c r="AU100" s="192"/>
    </row>
    <row r="101" spans="1:47" outlineLevel="1">
      <c r="A101" s="12"/>
      <c r="B101" s="12"/>
      <c r="C101" s="12"/>
      <c r="D101" s="12"/>
      <c r="E101" s="12"/>
      <c r="F101" s="40" t="str">
        <f>Asset27</f>
        <v>Land Improvements</v>
      </c>
      <c r="G101" s="312">
        <v>0</v>
      </c>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2"/>
      <c r="AF101" s="192"/>
      <c r="AG101" s="192"/>
      <c r="AH101" s="192"/>
      <c r="AI101" s="192"/>
      <c r="AJ101" s="192"/>
      <c r="AK101" s="192"/>
      <c r="AL101" s="192"/>
      <c r="AM101" s="192"/>
      <c r="AN101" s="192"/>
      <c r="AO101" s="192"/>
      <c r="AP101" s="192"/>
      <c r="AQ101" s="192"/>
      <c r="AR101" s="192"/>
      <c r="AS101" s="192"/>
      <c r="AT101" s="192"/>
      <c r="AU101" s="192"/>
    </row>
    <row r="102" spans="1:47" outlineLevel="1">
      <c r="A102" s="12"/>
      <c r="B102" s="12"/>
      <c r="C102" s="12"/>
      <c r="D102" s="12"/>
      <c r="E102" s="12"/>
      <c r="F102" s="40" t="str">
        <f>Asset28</f>
        <v>Equity Raising Costs</v>
      </c>
      <c r="G102" s="312">
        <v>0</v>
      </c>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2"/>
      <c r="AF102" s="192"/>
      <c r="AG102" s="192"/>
      <c r="AH102" s="192"/>
      <c r="AI102" s="192"/>
      <c r="AJ102" s="192"/>
      <c r="AK102" s="192"/>
      <c r="AL102" s="192"/>
      <c r="AM102" s="192"/>
      <c r="AN102" s="192"/>
      <c r="AO102" s="192"/>
      <c r="AP102" s="192"/>
      <c r="AQ102" s="192"/>
      <c r="AR102" s="192"/>
      <c r="AS102" s="192"/>
      <c r="AT102" s="192"/>
      <c r="AU102" s="192"/>
    </row>
    <row r="103" spans="1:47" outlineLevel="1">
      <c r="A103" s="12"/>
      <c r="B103" s="12"/>
      <c r="C103" s="12"/>
      <c r="D103" s="12"/>
      <c r="E103" s="12"/>
      <c r="F103" s="40" t="str">
        <f>Asset29</f>
        <v>Not Used</v>
      </c>
      <c r="G103" s="31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2"/>
      <c r="AF103" s="192"/>
      <c r="AG103" s="192"/>
      <c r="AH103" s="192"/>
      <c r="AI103" s="192"/>
      <c r="AJ103" s="192"/>
      <c r="AK103" s="192"/>
      <c r="AL103" s="192"/>
      <c r="AM103" s="192"/>
      <c r="AN103" s="192"/>
      <c r="AO103" s="192"/>
      <c r="AP103" s="192"/>
      <c r="AQ103" s="192"/>
      <c r="AR103" s="192"/>
      <c r="AS103" s="192"/>
      <c r="AT103" s="192"/>
      <c r="AU103" s="192"/>
    </row>
    <row r="104" spans="1:47" outlineLevel="1">
      <c r="A104" s="12"/>
      <c r="B104" s="12"/>
      <c r="C104" s="12"/>
      <c r="D104" s="12"/>
      <c r="E104" s="12"/>
      <c r="F104" s="40" t="str">
        <f>Asset30</f>
        <v>Not Used</v>
      </c>
      <c r="G104" s="31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2"/>
      <c r="AF104" s="192"/>
      <c r="AG104" s="192"/>
      <c r="AH104" s="192"/>
      <c r="AI104" s="192"/>
      <c r="AJ104" s="192"/>
      <c r="AK104" s="192"/>
      <c r="AL104" s="192"/>
      <c r="AM104" s="192"/>
      <c r="AN104" s="192"/>
      <c r="AO104" s="192"/>
      <c r="AP104" s="192"/>
      <c r="AQ104" s="192"/>
      <c r="AR104" s="192"/>
      <c r="AS104" s="192"/>
      <c r="AT104" s="192"/>
      <c r="AU104" s="192"/>
    </row>
    <row r="105" spans="1:47">
      <c r="A105" s="12"/>
      <c r="B105" s="12"/>
      <c r="C105" s="12"/>
      <c r="D105" s="12"/>
      <c r="E105" s="12"/>
      <c r="F105" s="40" t="s">
        <v>22</v>
      </c>
      <c r="G105" s="249">
        <f t="shared" ref="G105:Q105" si="4">SUM(G75:G104)</f>
        <v>11.556000000000001</v>
      </c>
      <c r="H105" s="249">
        <f t="shared" si="4"/>
        <v>0</v>
      </c>
      <c r="I105" s="249">
        <f t="shared" si="4"/>
        <v>0</v>
      </c>
      <c r="J105" s="249">
        <f t="shared" si="4"/>
        <v>0</v>
      </c>
      <c r="K105" s="249">
        <f t="shared" si="4"/>
        <v>0</v>
      </c>
      <c r="L105" s="249">
        <f t="shared" si="4"/>
        <v>0</v>
      </c>
      <c r="M105" s="249">
        <f t="shared" si="4"/>
        <v>0</v>
      </c>
      <c r="N105" s="249">
        <f t="shared" si="4"/>
        <v>0</v>
      </c>
      <c r="O105" s="249">
        <f t="shared" si="4"/>
        <v>0</v>
      </c>
      <c r="P105" s="249">
        <f t="shared" si="4"/>
        <v>0</v>
      </c>
      <c r="Q105" s="249">
        <f t="shared" si="4"/>
        <v>0</v>
      </c>
      <c r="R105" s="38"/>
      <c r="S105" s="38"/>
      <c r="T105" s="38"/>
      <c r="U105" s="38"/>
      <c r="V105" s="38"/>
      <c r="W105" s="38"/>
      <c r="X105" s="48"/>
      <c r="Y105" s="8"/>
      <c r="Z105" s="8"/>
      <c r="AA105" s="44"/>
      <c r="AB105" s="9"/>
      <c r="AC105" s="9"/>
      <c r="AD105" s="9"/>
      <c r="AE105" s="192"/>
      <c r="AF105" s="192"/>
      <c r="AG105" s="192"/>
      <c r="AH105" s="192"/>
      <c r="AI105" s="192"/>
      <c r="AJ105" s="192"/>
      <c r="AK105" s="192"/>
      <c r="AL105" s="192"/>
      <c r="AM105" s="192"/>
      <c r="AN105" s="192"/>
      <c r="AO105" s="192"/>
      <c r="AP105" s="192"/>
      <c r="AQ105" s="192"/>
      <c r="AR105" s="192"/>
      <c r="AS105" s="192"/>
      <c r="AT105" s="192"/>
      <c r="AU105" s="192"/>
    </row>
    <row r="106" spans="1:47" ht="20.25" customHeight="1">
      <c r="A106" s="12"/>
      <c r="B106" s="12"/>
      <c r="C106" s="12"/>
      <c r="D106" s="12"/>
      <c r="F106" s="9"/>
      <c r="G106" s="9"/>
      <c r="H106" s="18"/>
      <c r="I106" s="20"/>
      <c r="J106" s="9"/>
      <c r="K106" s="9"/>
      <c r="L106" s="9"/>
      <c r="M106" s="9"/>
      <c r="N106" s="9"/>
      <c r="O106" s="9"/>
      <c r="P106" s="9"/>
      <c r="Q106" s="9"/>
      <c r="R106" s="248">
        <f>SUM(G105:Q105)</f>
        <v>11.556000000000001</v>
      </c>
      <c r="S106" s="9"/>
      <c r="T106" s="9"/>
      <c r="U106" s="9"/>
      <c r="V106" s="9"/>
      <c r="W106" s="9"/>
      <c r="X106" s="9"/>
      <c r="Y106" s="9"/>
      <c r="Z106" s="9"/>
      <c r="AA106" s="19"/>
      <c r="AB106" s="9"/>
      <c r="AC106" s="9"/>
      <c r="AD106" s="9"/>
      <c r="AE106" s="192"/>
      <c r="AF106" s="192"/>
      <c r="AG106" s="192"/>
      <c r="AH106" s="192"/>
      <c r="AI106" s="192"/>
      <c r="AJ106" s="192"/>
      <c r="AK106" s="192"/>
      <c r="AL106" s="192"/>
      <c r="AM106" s="192"/>
      <c r="AN106" s="192"/>
      <c r="AO106" s="192"/>
      <c r="AP106" s="192"/>
      <c r="AQ106" s="192"/>
      <c r="AR106" s="192"/>
      <c r="AS106" s="192"/>
      <c r="AT106" s="192"/>
      <c r="AU106" s="192"/>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2"/>
      <c r="AF107" s="192"/>
      <c r="AG107" s="192"/>
      <c r="AH107" s="192"/>
      <c r="AI107" s="192"/>
      <c r="AJ107" s="192"/>
      <c r="AK107" s="192"/>
      <c r="AL107" s="192"/>
      <c r="AM107" s="192"/>
      <c r="AN107" s="192"/>
      <c r="AO107" s="192"/>
      <c r="AP107" s="192"/>
      <c r="AQ107" s="192"/>
      <c r="AR107" s="192"/>
      <c r="AS107" s="192"/>
      <c r="AT107" s="192"/>
      <c r="AU107" s="192"/>
    </row>
    <row r="108" spans="1:47">
      <c r="A108" s="12"/>
      <c r="B108" s="12"/>
      <c r="C108" s="12"/>
      <c r="D108" s="12"/>
      <c r="E108" s="12"/>
      <c r="F108" s="39" t="s">
        <v>5</v>
      </c>
      <c r="G108" s="247" t="str">
        <f>G74</f>
        <v>2009-10</v>
      </c>
      <c r="H108" s="247" t="str">
        <f t="shared" ref="H108:Q108" si="5">H74</f>
        <v>2010-11</v>
      </c>
      <c r="I108" s="247" t="str">
        <f t="shared" si="5"/>
        <v>2011-12</v>
      </c>
      <c r="J108" s="247" t="str">
        <f t="shared" si="5"/>
        <v>2012-13</v>
      </c>
      <c r="K108" s="247" t="str">
        <f t="shared" si="5"/>
        <v>2013-14</v>
      </c>
      <c r="L108" s="247" t="str">
        <f t="shared" si="5"/>
        <v>2014-15</v>
      </c>
      <c r="M108" s="247" t="str">
        <f t="shared" si="5"/>
        <v>2015-16</v>
      </c>
      <c r="N108" s="247" t="str">
        <f t="shared" si="5"/>
        <v>2016-17</v>
      </c>
      <c r="O108" s="247" t="str">
        <f t="shared" si="5"/>
        <v>2017-18</v>
      </c>
      <c r="P108" s="247" t="str">
        <f t="shared" si="5"/>
        <v>2018-19</v>
      </c>
      <c r="Q108" s="247" t="str">
        <f t="shared" si="5"/>
        <v>2019-20</v>
      </c>
      <c r="R108" s="8"/>
      <c r="S108" s="8"/>
      <c r="T108" s="8"/>
      <c r="U108" s="8"/>
      <c r="V108" s="8"/>
      <c r="W108" s="44"/>
      <c r="X108" s="9"/>
      <c r="Y108" s="9"/>
      <c r="Z108" s="9"/>
      <c r="AA108" s="9"/>
      <c r="AB108" s="9"/>
      <c r="AC108" s="9"/>
      <c r="AD108" s="9"/>
      <c r="AE108" s="192"/>
      <c r="AF108" s="192"/>
      <c r="AG108" s="192"/>
      <c r="AH108" s="192"/>
      <c r="AI108" s="192"/>
      <c r="AJ108" s="192"/>
      <c r="AK108" s="192"/>
      <c r="AL108" s="192"/>
      <c r="AM108" s="192"/>
      <c r="AN108" s="192"/>
      <c r="AO108" s="192"/>
      <c r="AP108" s="192"/>
      <c r="AQ108" s="192"/>
      <c r="AR108" s="192"/>
      <c r="AS108" s="192"/>
      <c r="AT108" s="192"/>
      <c r="AU108" s="192"/>
    </row>
    <row r="109" spans="1:47" outlineLevel="1">
      <c r="A109" s="12"/>
      <c r="B109" s="12"/>
      <c r="C109" s="12"/>
      <c r="D109" s="12"/>
      <c r="E109" s="12"/>
      <c r="F109" s="40" t="str">
        <f>Asset1</f>
        <v>Overhead 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2"/>
      <c r="AF109" s="192"/>
      <c r="AG109" s="192"/>
      <c r="AH109" s="192"/>
      <c r="AI109" s="192"/>
      <c r="AJ109" s="192"/>
      <c r="AK109" s="192"/>
      <c r="AL109" s="192"/>
      <c r="AM109" s="192"/>
      <c r="AN109" s="192"/>
      <c r="AO109" s="192"/>
      <c r="AP109" s="192"/>
      <c r="AQ109" s="192"/>
      <c r="AR109" s="192"/>
      <c r="AS109" s="192"/>
      <c r="AT109" s="192"/>
      <c r="AU109" s="192"/>
    </row>
    <row r="110" spans="1:47" outlineLevel="1">
      <c r="A110" s="12"/>
      <c r="B110" s="12"/>
      <c r="C110" s="12"/>
      <c r="D110" s="12"/>
      <c r="E110" s="12"/>
      <c r="F110" s="40" t="str">
        <f>Asset2</f>
        <v>Underground Sub-Transmission Cables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2"/>
      <c r="AF110" s="192"/>
      <c r="AG110" s="192"/>
      <c r="AH110" s="192"/>
      <c r="AI110" s="192"/>
      <c r="AJ110" s="192"/>
      <c r="AK110" s="192"/>
      <c r="AL110" s="192"/>
      <c r="AM110" s="192"/>
      <c r="AN110" s="192"/>
      <c r="AO110" s="192"/>
      <c r="AP110" s="192"/>
      <c r="AQ110" s="192"/>
      <c r="AR110" s="192"/>
      <c r="AS110" s="192"/>
      <c r="AT110" s="192"/>
      <c r="AU110" s="192"/>
    </row>
    <row r="111" spans="1:47" outlineLevel="1">
      <c r="A111" s="12"/>
      <c r="B111" s="12"/>
      <c r="C111" s="12"/>
      <c r="D111" s="12"/>
      <c r="E111" s="12"/>
      <c r="F111" s="40" t="str">
        <f>Asset3</f>
        <v>Overhead Distribution Lines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2"/>
      <c r="AF111" s="192"/>
      <c r="AG111" s="192"/>
      <c r="AH111" s="192"/>
      <c r="AI111" s="192"/>
      <c r="AJ111" s="192"/>
      <c r="AK111" s="192"/>
      <c r="AL111" s="192"/>
      <c r="AM111" s="192"/>
      <c r="AN111" s="192"/>
      <c r="AO111" s="192"/>
      <c r="AP111" s="192"/>
      <c r="AQ111" s="192"/>
      <c r="AR111" s="192"/>
      <c r="AS111" s="192"/>
      <c r="AT111" s="192"/>
      <c r="AU111" s="192"/>
    </row>
    <row r="112" spans="1:47" outlineLevel="1">
      <c r="A112" s="12"/>
      <c r="B112" s="12"/>
      <c r="C112" s="12"/>
      <c r="D112" s="12"/>
      <c r="E112" s="12"/>
      <c r="F112" s="40" t="str">
        <f>Asset4</f>
        <v>Underground Distribution Cables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2"/>
      <c r="AF112" s="192"/>
      <c r="AG112" s="192"/>
      <c r="AH112" s="192"/>
      <c r="AI112" s="192"/>
      <c r="AJ112" s="192"/>
      <c r="AK112" s="192"/>
      <c r="AL112" s="192"/>
      <c r="AM112" s="192"/>
      <c r="AN112" s="192"/>
      <c r="AO112" s="192"/>
      <c r="AP112" s="192"/>
      <c r="AQ112" s="192"/>
      <c r="AR112" s="192"/>
      <c r="AS112" s="192"/>
      <c r="AT112" s="192"/>
      <c r="AU112" s="192"/>
    </row>
    <row r="113" spans="1:47" outlineLevel="1">
      <c r="A113" s="12"/>
      <c r="B113" s="12"/>
      <c r="C113" s="12"/>
      <c r="D113" s="12"/>
      <c r="E113" s="12"/>
      <c r="F113" s="40" t="str">
        <f>Asset5</f>
        <v xml:space="preserve">Distribution Equipment  </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2"/>
      <c r="AF113" s="192"/>
      <c r="AG113" s="192"/>
      <c r="AH113" s="192"/>
      <c r="AI113" s="192"/>
      <c r="AJ113" s="192"/>
      <c r="AK113" s="192"/>
      <c r="AL113" s="192"/>
      <c r="AM113" s="192"/>
      <c r="AN113" s="192"/>
      <c r="AO113" s="192"/>
      <c r="AP113" s="192"/>
      <c r="AQ113" s="192"/>
      <c r="AR113" s="192"/>
      <c r="AS113" s="192"/>
      <c r="AT113" s="192"/>
      <c r="AU113" s="192"/>
    </row>
    <row r="114" spans="1:47" outlineLevel="1">
      <c r="A114" s="12"/>
      <c r="B114" s="12"/>
      <c r="C114" s="12"/>
      <c r="D114" s="12"/>
      <c r="E114" s="12"/>
      <c r="F114" s="40" t="str">
        <f>Asset6</f>
        <v>Substation Bays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2"/>
      <c r="AF114" s="192"/>
      <c r="AG114" s="192"/>
      <c r="AH114" s="192"/>
      <c r="AI114" s="192"/>
      <c r="AJ114" s="192"/>
      <c r="AK114" s="192"/>
      <c r="AL114" s="192"/>
      <c r="AM114" s="192"/>
      <c r="AN114" s="192"/>
      <c r="AO114" s="192"/>
      <c r="AP114" s="192"/>
      <c r="AQ114" s="192"/>
      <c r="AR114" s="192"/>
      <c r="AS114" s="192"/>
      <c r="AT114" s="192"/>
      <c r="AU114" s="192"/>
    </row>
    <row r="115" spans="1:47" outlineLevel="1">
      <c r="A115" s="12"/>
      <c r="B115" s="12"/>
      <c r="C115" s="12"/>
      <c r="D115" s="12"/>
      <c r="E115" s="12"/>
      <c r="F115" s="40" t="str">
        <f>Asset7</f>
        <v>Substation Establishment</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2"/>
      <c r="AF115" s="192"/>
      <c r="AG115" s="192"/>
      <c r="AH115" s="192"/>
      <c r="AI115" s="192"/>
      <c r="AJ115" s="192"/>
      <c r="AK115" s="192"/>
      <c r="AL115" s="192"/>
      <c r="AM115" s="192"/>
      <c r="AN115" s="192"/>
      <c r="AO115" s="192"/>
      <c r="AP115" s="192"/>
      <c r="AQ115" s="192"/>
      <c r="AR115" s="192"/>
      <c r="AS115" s="192"/>
      <c r="AT115" s="192"/>
      <c r="AU115" s="192"/>
    </row>
    <row r="116" spans="1:47" outlineLevel="1">
      <c r="A116" s="12"/>
      <c r="B116" s="12"/>
      <c r="C116" s="12"/>
      <c r="D116" s="12"/>
      <c r="E116" s="12"/>
      <c r="F116" s="40" t="str">
        <f>Asset8</f>
        <v>Distribution Substation Switchgear</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2"/>
      <c r="AF116" s="192"/>
      <c r="AG116" s="192"/>
      <c r="AH116" s="192"/>
      <c r="AI116" s="192"/>
      <c r="AJ116" s="192"/>
      <c r="AK116" s="192"/>
      <c r="AL116" s="192"/>
      <c r="AM116" s="192"/>
      <c r="AN116" s="192"/>
      <c r="AO116" s="192"/>
      <c r="AP116" s="192"/>
      <c r="AQ116" s="192"/>
      <c r="AR116" s="192"/>
      <c r="AS116" s="192"/>
      <c r="AT116" s="192"/>
      <c r="AU116" s="192"/>
    </row>
    <row r="117" spans="1:47" outlineLevel="1">
      <c r="A117" s="12"/>
      <c r="B117" s="12"/>
      <c r="C117" s="12"/>
      <c r="D117" s="12"/>
      <c r="E117" s="12"/>
      <c r="F117" s="40" t="str">
        <f>Asset9</f>
        <v>Zone Transformers</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2"/>
      <c r="AF117" s="192"/>
      <c r="AG117" s="192"/>
      <c r="AH117" s="192"/>
      <c r="AI117" s="192"/>
      <c r="AJ117" s="192"/>
      <c r="AK117" s="192"/>
      <c r="AL117" s="192"/>
      <c r="AM117" s="192"/>
      <c r="AN117" s="192"/>
      <c r="AO117" s="192"/>
      <c r="AP117" s="192"/>
      <c r="AQ117" s="192"/>
      <c r="AR117" s="192"/>
      <c r="AS117" s="192"/>
      <c r="AT117" s="192"/>
      <c r="AU117" s="192"/>
    </row>
    <row r="118" spans="1:47" outlineLevel="1">
      <c r="A118" s="12"/>
      <c r="B118" s="12"/>
      <c r="C118" s="12"/>
      <c r="D118" s="12"/>
      <c r="E118" s="12"/>
      <c r="F118" s="40" t="str">
        <f>Asset10</f>
        <v>Distribution Transformers</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2"/>
      <c r="AF118" s="192"/>
      <c r="AG118" s="192"/>
      <c r="AH118" s="192"/>
      <c r="AI118" s="192"/>
      <c r="AJ118" s="192"/>
      <c r="AK118" s="192"/>
      <c r="AL118" s="192"/>
      <c r="AM118" s="192"/>
      <c r="AN118" s="192"/>
      <c r="AO118" s="192"/>
      <c r="AP118" s="192"/>
      <c r="AQ118" s="192"/>
      <c r="AR118" s="192"/>
      <c r="AS118" s="192"/>
      <c r="AT118" s="192"/>
      <c r="AU118" s="192"/>
    </row>
    <row r="119" spans="1:47" outlineLevel="1">
      <c r="A119" s="12"/>
      <c r="B119" s="12"/>
      <c r="C119" s="12"/>
      <c r="D119" s="12"/>
      <c r="E119" s="12"/>
      <c r="F119" s="40" t="str">
        <f>Asset11</f>
        <v>Low Voltage Services</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2"/>
      <c r="AF119" s="192"/>
      <c r="AG119" s="192"/>
      <c r="AH119" s="192"/>
      <c r="AI119" s="192"/>
      <c r="AJ119" s="192"/>
      <c r="AK119" s="192"/>
      <c r="AL119" s="192"/>
      <c r="AM119" s="192"/>
      <c r="AN119" s="192"/>
      <c r="AO119" s="192"/>
      <c r="AP119" s="192"/>
      <c r="AQ119" s="192"/>
      <c r="AR119" s="192"/>
      <c r="AS119" s="192"/>
      <c r="AT119" s="192"/>
      <c r="AU119" s="192"/>
    </row>
    <row r="120" spans="1:47" outlineLevel="1">
      <c r="A120" s="12"/>
      <c r="B120" s="12"/>
      <c r="C120" s="12"/>
      <c r="D120" s="12"/>
      <c r="E120" s="12"/>
      <c r="F120" s="40" t="str">
        <f>Asset12</f>
        <v>Metering</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2"/>
      <c r="AF120" s="192"/>
      <c r="AG120" s="192"/>
      <c r="AH120" s="192"/>
      <c r="AI120" s="192"/>
      <c r="AJ120" s="192"/>
      <c r="AK120" s="192"/>
      <c r="AL120" s="192"/>
      <c r="AM120" s="192"/>
      <c r="AN120" s="192"/>
      <c r="AO120" s="192"/>
      <c r="AP120" s="192"/>
      <c r="AQ120" s="192"/>
      <c r="AR120" s="192"/>
      <c r="AS120" s="192"/>
      <c r="AT120" s="192"/>
      <c r="AU120" s="192"/>
    </row>
    <row r="121" spans="1:47" outlineLevel="1">
      <c r="A121" s="12"/>
      <c r="B121" s="12"/>
      <c r="C121" s="12"/>
      <c r="D121" s="12"/>
      <c r="E121" s="12"/>
      <c r="F121" s="40" t="str">
        <f>Asset13</f>
        <v xml:space="preserve">Communications – Pilot Wires </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2"/>
      <c r="AF121" s="192"/>
      <c r="AG121" s="192"/>
      <c r="AH121" s="192"/>
      <c r="AI121" s="192"/>
      <c r="AJ121" s="192"/>
      <c r="AK121" s="192"/>
      <c r="AL121" s="192"/>
      <c r="AM121" s="192"/>
      <c r="AN121" s="192"/>
      <c r="AO121" s="192"/>
      <c r="AP121" s="192"/>
      <c r="AQ121" s="192"/>
      <c r="AR121" s="192"/>
      <c r="AS121" s="192"/>
      <c r="AT121" s="192"/>
      <c r="AU121" s="192"/>
    </row>
    <row r="122" spans="1:47" outlineLevel="1">
      <c r="A122" s="12"/>
      <c r="B122" s="12"/>
      <c r="C122" s="12"/>
      <c r="D122" s="12"/>
      <c r="E122" s="12"/>
      <c r="F122" s="40" t="str">
        <f>Asset14</f>
        <v>Generation Assets</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2"/>
      <c r="AF122" s="192"/>
      <c r="AG122" s="192"/>
      <c r="AH122" s="192"/>
      <c r="AI122" s="192"/>
      <c r="AJ122" s="192"/>
      <c r="AK122" s="192"/>
      <c r="AL122" s="192"/>
      <c r="AM122" s="192"/>
      <c r="AN122" s="192"/>
      <c r="AO122" s="192"/>
      <c r="AP122" s="192"/>
      <c r="AQ122" s="192"/>
      <c r="AR122" s="192"/>
      <c r="AS122" s="192"/>
      <c r="AT122" s="192"/>
      <c r="AU122" s="192"/>
    </row>
    <row r="123" spans="1:47" outlineLevel="1">
      <c r="A123" s="12"/>
      <c r="B123" s="12"/>
      <c r="C123" s="12"/>
      <c r="D123" s="12"/>
      <c r="E123" s="12"/>
      <c r="F123" s="40" t="str">
        <f>Asset15</f>
        <v>Street Lighting</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2"/>
      <c r="AF123" s="192"/>
      <c r="AG123" s="192"/>
      <c r="AH123" s="192"/>
      <c r="AI123" s="192"/>
      <c r="AJ123" s="192"/>
      <c r="AK123" s="192"/>
      <c r="AL123" s="192"/>
      <c r="AM123" s="192"/>
      <c r="AN123" s="192"/>
      <c r="AO123" s="192"/>
      <c r="AP123" s="192"/>
      <c r="AQ123" s="192"/>
      <c r="AR123" s="192"/>
      <c r="AS123" s="192"/>
      <c r="AT123" s="192"/>
      <c r="AU123" s="192"/>
    </row>
    <row r="124" spans="1:47" outlineLevel="1">
      <c r="A124" s="12"/>
      <c r="B124" s="12"/>
      <c r="C124" s="12"/>
      <c r="D124" s="12"/>
      <c r="E124" s="12"/>
      <c r="F124" s="40" t="str">
        <f>Asset16</f>
        <v>Other Equipment</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2"/>
      <c r="AF124" s="192"/>
      <c r="AG124" s="192"/>
      <c r="AH124" s="192"/>
      <c r="AI124" s="192"/>
      <c r="AJ124" s="192"/>
      <c r="AK124" s="192"/>
      <c r="AL124" s="192"/>
      <c r="AM124" s="192"/>
      <c r="AN124" s="192"/>
      <c r="AO124" s="192"/>
      <c r="AP124" s="192"/>
      <c r="AQ124" s="192"/>
      <c r="AR124" s="192"/>
      <c r="AS124" s="192"/>
      <c r="AT124" s="192"/>
      <c r="AU124" s="192"/>
    </row>
    <row r="125" spans="1:47" outlineLevel="1">
      <c r="A125" s="12"/>
      <c r="B125" s="12"/>
      <c r="C125" s="12"/>
      <c r="D125" s="12"/>
      <c r="E125" s="12"/>
      <c r="F125" s="40" t="str">
        <f>Asset17</f>
        <v>Control Centre - SCADA</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2"/>
      <c r="AF125" s="192"/>
      <c r="AG125" s="192"/>
      <c r="AH125" s="192"/>
      <c r="AI125" s="192"/>
      <c r="AJ125" s="192"/>
      <c r="AK125" s="192"/>
      <c r="AL125" s="192"/>
      <c r="AM125" s="192"/>
      <c r="AN125" s="192"/>
      <c r="AO125" s="192"/>
      <c r="AP125" s="192"/>
      <c r="AQ125" s="192"/>
      <c r="AR125" s="192"/>
      <c r="AS125" s="192"/>
      <c r="AT125" s="192"/>
      <c r="AU125" s="192"/>
    </row>
    <row r="126" spans="1:47" outlineLevel="1">
      <c r="A126" s="12"/>
      <c r="B126" s="12"/>
      <c r="C126" s="12"/>
      <c r="D126" s="12"/>
      <c r="E126" s="12"/>
      <c r="F126" s="40" t="str">
        <f>Asset18</f>
        <v>Land &amp; Easements (System)</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2"/>
      <c r="AF126" s="192"/>
      <c r="AG126" s="192"/>
      <c r="AH126" s="192"/>
      <c r="AI126" s="192"/>
      <c r="AJ126" s="192"/>
      <c r="AK126" s="192"/>
      <c r="AL126" s="192"/>
      <c r="AM126" s="192"/>
      <c r="AN126" s="192"/>
      <c r="AO126" s="192"/>
      <c r="AP126" s="192"/>
      <c r="AQ126" s="192"/>
      <c r="AR126" s="192"/>
      <c r="AS126" s="192"/>
      <c r="AT126" s="192"/>
      <c r="AU126" s="192"/>
    </row>
    <row r="127" spans="1:47" outlineLevel="1">
      <c r="A127" s="12"/>
      <c r="B127" s="12"/>
      <c r="C127" s="12"/>
      <c r="D127" s="12"/>
      <c r="E127" s="12"/>
      <c r="F127" s="40" t="str">
        <f>Asset19</f>
        <v>Metering Type 5-6</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2"/>
      <c r="AF127" s="192"/>
      <c r="AG127" s="192"/>
      <c r="AH127" s="192"/>
      <c r="AI127" s="192"/>
      <c r="AJ127" s="192"/>
      <c r="AK127" s="192"/>
      <c r="AL127" s="192"/>
      <c r="AM127" s="192"/>
      <c r="AN127" s="192"/>
      <c r="AO127" s="192"/>
      <c r="AP127" s="192"/>
      <c r="AQ127" s="192"/>
      <c r="AR127" s="192"/>
      <c r="AS127" s="192"/>
      <c r="AT127" s="192"/>
      <c r="AU127" s="192"/>
    </row>
    <row r="128" spans="1:47" outlineLevel="1">
      <c r="A128" s="12"/>
      <c r="B128" s="12"/>
      <c r="C128" s="12"/>
      <c r="D128" s="12"/>
      <c r="E128" s="12"/>
      <c r="F128" s="40" t="str">
        <f>Asset20</f>
        <v>Communications</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2"/>
      <c r="AF128" s="192"/>
      <c r="AG128" s="192"/>
      <c r="AH128" s="192"/>
      <c r="AI128" s="192"/>
      <c r="AJ128" s="192"/>
      <c r="AK128" s="192"/>
      <c r="AL128" s="192"/>
      <c r="AM128" s="192"/>
      <c r="AN128" s="192"/>
      <c r="AO128" s="192"/>
      <c r="AP128" s="192"/>
      <c r="AQ128" s="192"/>
      <c r="AR128" s="192"/>
      <c r="AS128" s="192"/>
      <c r="AT128" s="192"/>
      <c r="AU128" s="192"/>
    </row>
    <row r="129" spans="1:47" outlineLevel="1">
      <c r="A129" s="12"/>
      <c r="B129" s="12"/>
      <c r="C129" s="12"/>
      <c r="D129" s="12"/>
      <c r="E129" s="12"/>
      <c r="F129" s="40" t="str">
        <f>Asset21</f>
        <v>IT Systems</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2"/>
      <c r="AF129" s="192"/>
      <c r="AG129" s="192"/>
      <c r="AH129" s="192"/>
      <c r="AI129" s="192"/>
      <c r="AJ129" s="192"/>
      <c r="AK129" s="192"/>
      <c r="AL129" s="192"/>
      <c r="AM129" s="192"/>
      <c r="AN129" s="192"/>
      <c r="AO129" s="192"/>
      <c r="AP129" s="192"/>
      <c r="AQ129" s="192"/>
      <c r="AR129" s="192"/>
      <c r="AS129" s="192"/>
      <c r="AT129" s="192"/>
      <c r="AU129" s="192"/>
    </row>
    <row r="130" spans="1:47" outlineLevel="1">
      <c r="A130" s="12"/>
      <c r="B130" s="12"/>
      <c r="C130" s="12"/>
      <c r="D130" s="12"/>
      <c r="E130" s="12"/>
      <c r="F130" s="40" t="str">
        <f>Asset22</f>
        <v>Office Equipment &amp; Furniture</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2"/>
      <c r="AF130" s="192"/>
      <c r="AG130" s="192"/>
      <c r="AH130" s="192"/>
      <c r="AI130" s="192"/>
      <c r="AJ130" s="192"/>
      <c r="AK130" s="192"/>
      <c r="AL130" s="192"/>
      <c r="AM130" s="192"/>
      <c r="AN130" s="192"/>
      <c r="AO130" s="192"/>
      <c r="AP130" s="192"/>
      <c r="AQ130" s="192"/>
      <c r="AR130" s="192"/>
      <c r="AS130" s="192"/>
      <c r="AT130" s="192"/>
      <c r="AU130" s="192"/>
    </row>
    <row r="131" spans="1:47" outlineLevel="1">
      <c r="A131" s="12"/>
      <c r="B131" s="12"/>
      <c r="C131" s="12"/>
      <c r="D131" s="12"/>
      <c r="E131" s="12"/>
      <c r="F131" s="40" t="str">
        <f>Asset23</f>
        <v>Motor Vehicles</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2"/>
      <c r="AF131" s="192"/>
      <c r="AG131" s="192"/>
      <c r="AH131" s="192"/>
      <c r="AI131" s="192"/>
      <c r="AJ131" s="192"/>
      <c r="AK131" s="192"/>
      <c r="AL131" s="192"/>
      <c r="AM131" s="192"/>
      <c r="AN131" s="192"/>
      <c r="AO131" s="192"/>
      <c r="AP131" s="192"/>
      <c r="AQ131" s="192"/>
      <c r="AR131" s="192"/>
      <c r="AS131" s="192"/>
      <c r="AT131" s="192"/>
      <c r="AU131" s="192"/>
    </row>
    <row r="132" spans="1:47" outlineLevel="1">
      <c r="A132" s="12"/>
      <c r="B132" s="12"/>
      <c r="C132" s="12"/>
      <c r="D132" s="12"/>
      <c r="E132" s="12"/>
      <c r="F132" s="40" t="str">
        <f>Asset24</f>
        <v>Plant &amp; Equipment</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2"/>
      <c r="AF132" s="192"/>
      <c r="AG132" s="192"/>
      <c r="AH132" s="192"/>
      <c r="AI132" s="192"/>
      <c r="AJ132" s="192"/>
      <c r="AK132" s="192"/>
      <c r="AL132" s="192"/>
      <c r="AM132" s="192"/>
      <c r="AN132" s="192"/>
      <c r="AO132" s="192"/>
      <c r="AP132" s="192"/>
      <c r="AQ132" s="192"/>
      <c r="AR132" s="192"/>
      <c r="AS132" s="192"/>
      <c r="AT132" s="192"/>
      <c r="AU132" s="192"/>
    </row>
    <row r="133" spans="1:47" outlineLevel="1">
      <c r="A133" s="12"/>
      <c r="B133" s="12"/>
      <c r="C133" s="12"/>
      <c r="D133" s="12"/>
      <c r="E133" s="12"/>
      <c r="F133" s="40" t="str">
        <f>Asset25</f>
        <v>Buildings</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2"/>
      <c r="AF133" s="192"/>
      <c r="AG133" s="192"/>
      <c r="AH133" s="192"/>
      <c r="AI133" s="192"/>
      <c r="AJ133" s="192"/>
      <c r="AK133" s="192"/>
      <c r="AL133" s="192"/>
      <c r="AM133" s="192"/>
      <c r="AN133" s="192"/>
      <c r="AO133" s="192"/>
      <c r="AP133" s="192"/>
      <c r="AQ133" s="192"/>
      <c r="AR133" s="192"/>
      <c r="AS133" s="192"/>
      <c r="AT133" s="192"/>
      <c r="AU133" s="192"/>
    </row>
    <row r="134" spans="1:47" outlineLevel="1">
      <c r="A134" s="12"/>
      <c r="B134" s="12"/>
      <c r="C134" s="12"/>
      <c r="D134" s="12"/>
      <c r="E134" s="12"/>
      <c r="F134" s="40" t="str">
        <f>Asset26</f>
        <v>Land &amp; Easements</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2"/>
      <c r="AF134" s="192"/>
      <c r="AG134" s="192"/>
      <c r="AH134" s="192"/>
      <c r="AI134" s="192"/>
      <c r="AJ134" s="192"/>
      <c r="AK134" s="192"/>
      <c r="AL134" s="192"/>
      <c r="AM134" s="192"/>
      <c r="AN134" s="192"/>
      <c r="AO134" s="192"/>
      <c r="AP134" s="192"/>
      <c r="AQ134" s="192"/>
      <c r="AR134" s="192"/>
      <c r="AS134" s="192"/>
      <c r="AT134" s="192"/>
      <c r="AU134" s="192"/>
    </row>
    <row r="135" spans="1:47" outlineLevel="1">
      <c r="A135" s="12"/>
      <c r="B135" s="12"/>
      <c r="C135" s="12"/>
      <c r="D135" s="12"/>
      <c r="E135" s="12"/>
      <c r="F135" s="40" t="str">
        <f>Asset27</f>
        <v>Land Improvements</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2"/>
      <c r="AF135" s="192"/>
      <c r="AG135" s="192"/>
      <c r="AH135" s="192"/>
      <c r="AI135" s="192"/>
      <c r="AJ135" s="192"/>
      <c r="AK135" s="192"/>
      <c r="AL135" s="192"/>
      <c r="AM135" s="192"/>
      <c r="AN135" s="192"/>
      <c r="AO135" s="192"/>
      <c r="AP135" s="192"/>
      <c r="AQ135" s="192"/>
      <c r="AR135" s="192"/>
      <c r="AS135" s="192"/>
      <c r="AT135" s="192"/>
      <c r="AU135" s="192"/>
    </row>
    <row r="136" spans="1:47" outlineLevel="1">
      <c r="A136" s="12"/>
      <c r="B136" s="12"/>
      <c r="C136" s="12"/>
      <c r="D136" s="12"/>
      <c r="E136" s="12"/>
      <c r="F136" s="40" t="str">
        <f>Asset28</f>
        <v>Equity Raising Costs</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2"/>
      <c r="AF136" s="192"/>
      <c r="AG136" s="192"/>
      <c r="AH136" s="192"/>
      <c r="AI136" s="192"/>
      <c r="AJ136" s="192"/>
      <c r="AK136" s="192"/>
      <c r="AL136" s="192"/>
      <c r="AM136" s="192"/>
      <c r="AN136" s="192"/>
      <c r="AO136" s="192"/>
      <c r="AP136" s="192"/>
      <c r="AQ136" s="192"/>
      <c r="AR136" s="192"/>
      <c r="AS136" s="192"/>
      <c r="AT136" s="192"/>
      <c r="AU136" s="192"/>
    </row>
    <row r="137" spans="1:47" outlineLevel="1">
      <c r="A137" s="12"/>
      <c r="B137" s="12"/>
      <c r="C137" s="12"/>
      <c r="D137" s="12"/>
      <c r="E137" s="12"/>
      <c r="F137" s="40" t="str">
        <f>Asset29</f>
        <v>Not Used</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2"/>
      <c r="AF137" s="192"/>
      <c r="AG137" s="192"/>
      <c r="AH137" s="192"/>
      <c r="AI137" s="192"/>
      <c r="AJ137" s="192"/>
      <c r="AK137" s="192"/>
      <c r="AL137" s="192"/>
      <c r="AM137" s="192"/>
      <c r="AN137" s="192"/>
      <c r="AO137" s="192"/>
      <c r="AP137" s="192"/>
      <c r="AQ137" s="192"/>
      <c r="AR137" s="192"/>
      <c r="AS137" s="192"/>
      <c r="AT137" s="192"/>
      <c r="AU137" s="192"/>
    </row>
    <row r="138" spans="1:47" outlineLevel="1">
      <c r="A138" s="12"/>
      <c r="B138" s="12"/>
      <c r="C138" s="12"/>
      <c r="D138" s="12"/>
      <c r="E138" s="12"/>
      <c r="F138" s="40" t="str">
        <f>Asset30</f>
        <v>Not Used</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2"/>
      <c r="AF138" s="192"/>
      <c r="AG138" s="192"/>
      <c r="AH138" s="192"/>
      <c r="AI138" s="192"/>
      <c r="AJ138" s="192"/>
      <c r="AK138" s="192"/>
      <c r="AL138" s="192"/>
      <c r="AM138" s="192"/>
      <c r="AN138" s="192"/>
      <c r="AO138" s="192"/>
      <c r="AP138" s="192"/>
      <c r="AQ138" s="192"/>
      <c r="AR138" s="192"/>
      <c r="AS138" s="192"/>
      <c r="AT138" s="192"/>
      <c r="AU138" s="192"/>
    </row>
    <row r="139" spans="1:47">
      <c r="A139" s="12"/>
      <c r="B139" s="12"/>
      <c r="C139" s="12"/>
      <c r="D139" s="12"/>
      <c r="E139" s="12"/>
      <c r="F139" s="40" t="s">
        <v>22</v>
      </c>
      <c r="G139" s="249">
        <f t="shared" ref="G139:Q139" si="6">SUM(G109:G138)</f>
        <v>0</v>
      </c>
      <c r="H139" s="249">
        <f t="shared" si="6"/>
        <v>0</v>
      </c>
      <c r="I139" s="249">
        <f t="shared" si="6"/>
        <v>0</v>
      </c>
      <c r="J139" s="249">
        <f t="shared" si="6"/>
        <v>0</v>
      </c>
      <c r="K139" s="249">
        <f t="shared" si="6"/>
        <v>0</v>
      </c>
      <c r="L139" s="249">
        <f t="shared" si="6"/>
        <v>0</v>
      </c>
      <c r="M139" s="249">
        <f t="shared" si="6"/>
        <v>0</v>
      </c>
      <c r="N139" s="249">
        <f t="shared" si="6"/>
        <v>0</v>
      </c>
      <c r="O139" s="249">
        <f t="shared" si="6"/>
        <v>0</v>
      </c>
      <c r="P139" s="249">
        <f t="shared" si="6"/>
        <v>0</v>
      </c>
      <c r="Q139" s="249">
        <f t="shared" si="6"/>
        <v>0</v>
      </c>
      <c r="R139" s="38"/>
      <c r="S139" s="38"/>
      <c r="T139" s="38"/>
      <c r="U139" s="38"/>
      <c r="V139" s="38"/>
      <c r="W139" s="38"/>
      <c r="X139" s="48"/>
      <c r="Y139" s="8"/>
      <c r="Z139" s="8"/>
      <c r="AA139" s="44"/>
      <c r="AB139" s="9"/>
      <c r="AC139" s="9"/>
      <c r="AD139" s="9"/>
      <c r="AE139" s="192"/>
      <c r="AF139" s="192"/>
      <c r="AG139" s="192"/>
      <c r="AH139" s="192"/>
      <c r="AI139" s="192"/>
      <c r="AJ139" s="192"/>
      <c r="AK139" s="192"/>
      <c r="AL139" s="192"/>
      <c r="AM139" s="192"/>
      <c r="AN139" s="192"/>
      <c r="AO139" s="192"/>
      <c r="AP139" s="192"/>
      <c r="AQ139" s="192"/>
      <c r="AR139" s="192"/>
      <c r="AS139" s="192"/>
      <c r="AT139" s="192"/>
      <c r="AU139" s="192"/>
    </row>
    <row r="140" spans="1:47" ht="20.25" customHeight="1">
      <c r="A140" s="12"/>
      <c r="B140" s="12"/>
      <c r="C140" s="12"/>
      <c r="D140" s="12"/>
      <c r="F140" s="9"/>
      <c r="G140" s="9"/>
      <c r="H140" s="18"/>
      <c r="I140" s="20"/>
      <c r="J140" s="9"/>
      <c r="K140" s="9"/>
      <c r="L140" s="9"/>
      <c r="M140" s="9"/>
      <c r="N140" s="9"/>
      <c r="O140" s="9"/>
      <c r="P140" s="9"/>
      <c r="Q140" s="9"/>
      <c r="R140" s="248">
        <f>SUM(G139:Q139)</f>
        <v>0</v>
      </c>
      <c r="S140" s="9"/>
      <c r="T140" s="9"/>
      <c r="U140" s="9"/>
      <c r="V140" s="9"/>
      <c r="W140" s="9"/>
      <c r="X140" s="9"/>
      <c r="Y140" s="9"/>
      <c r="Z140" s="9"/>
      <c r="AA140" s="19"/>
      <c r="AB140" s="9"/>
      <c r="AC140" s="9"/>
      <c r="AD140" s="9"/>
      <c r="AE140" s="192"/>
      <c r="AF140" s="192"/>
      <c r="AG140" s="192"/>
      <c r="AH140" s="192"/>
      <c r="AI140" s="192"/>
      <c r="AJ140" s="192"/>
      <c r="AK140" s="192"/>
      <c r="AL140" s="192"/>
      <c r="AM140" s="192"/>
      <c r="AN140" s="192"/>
      <c r="AO140" s="192"/>
      <c r="AP140" s="192"/>
      <c r="AQ140" s="192"/>
      <c r="AR140" s="192"/>
      <c r="AS140" s="192"/>
      <c r="AT140" s="192"/>
      <c r="AU140" s="192"/>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2"/>
      <c r="AF141" s="192"/>
      <c r="AG141" s="192"/>
      <c r="AH141" s="192"/>
      <c r="AI141" s="192"/>
      <c r="AJ141" s="192"/>
      <c r="AK141" s="192"/>
      <c r="AL141" s="192"/>
      <c r="AM141" s="192"/>
      <c r="AN141" s="192"/>
      <c r="AO141" s="192"/>
      <c r="AP141" s="192"/>
      <c r="AQ141" s="192"/>
      <c r="AR141" s="192"/>
      <c r="AS141" s="192"/>
      <c r="AT141" s="192"/>
      <c r="AU141" s="192"/>
    </row>
    <row r="142" spans="1:47">
      <c r="A142" s="12"/>
      <c r="B142" s="12"/>
      <c r="C142" s="12"/>
      <c r="D142" s="12"/>
      <c r="E142" s="12"/>
      <c r="F142" s="39" t="s">
        <v>5</v>
      </c>
      <c r="G142" s="247" t="str">
        <f>G40</f>
        <v>2009-10</v>
      </c>
      <c r="H142" s="247" t="str">
        <f t="shared" ref="H142:Q142" si="7">H40</f>
        <v>2010-11</v>
      </c>
      <c r="I142" s="247" t="str">
        <f t="shared" si="7"/>
        <v>2011-12</v>
      </c>
      <c r="J142" s="247" t="str">
        <f t="shared" si="7"/>
        <v>2012-13</v>
      </c>
      <c r="K142" s="247" t="str">
        <f t="shared" si="7"/>
        <v>2013-14</v>
      </c>
      <c r="L142" s="247" t="str">
        <f t="shared" si="7"/>
        <v>2014-15</v>
      </c>
      <c r="M142" s="247" t="str">
        <f t="shared" si="7"/>
        <v>2015-16</v>
      </c>
      <c r="N142" s="247" t="str">
        <f t="shared" si="7"/>
        <v>2016-17</v>
      </c>
      <c r="O142" s="247" t="str">
        <f t="shared" si="7"/>
        <v>2017-18</v>
      </c>
      <c r="P142" s="247" t="str">
        <f t="shared" si="7"/>
        <v>2018-19</v>
      </c>
      <c r="Q142" s="247" t="str">
        <f t="shared" si="7"/>
        <v>2019-20</v>
      </c>
      <c r="R142" s="8"/>
      <c r="S142" s="8"/>
      <c r="T142" s="8"/>
      <c r="U142" s="8"/>
      <c r="V142" s="8"/>
      <c r="W142" s="44"/>
      <c r="X142" s="9"/>
      <c r="Y142" s="9"/>
      <c r="Z142" s="9"/>
      <c r="AA142" s="9"/>
      <c r="AB142" s="9"/>
      <c r="AC142" s="9"/>
      <c r="AD142" s="9"/>
      <c r="AE142" s="192"/>
      <c r="AF142" s="192"/>
      <c r="AG142" s="192"/>
      <c r="AH142" s="192"/>
      <c r="AI142" s="192"/>
      <c r="AJ142" s="192"/>
      <c r="AK142" s="192"/>
      <c r="AL142" s="192"/>
      <c r="AM142" s="192"/>
      <c r="AN142" s="192"/>
      <c r="AO142" s="192"/>
      <c r="AP142" s="192"/>
      <c r="AQ142" s="192"/>
      <c r="AR142" s="192"/>
      <c r="AS142" s="192"/>
      <c r="AT142" s="192"/>
      <c r="AU142" s="192"/>
    </row>
    <row r="143" spans="1:47" outlineLevel="1">
      <c r="A143" s="12"/>
      <c r="B143" s="12"/>
      <c r="C143" s="12"/>
      <c r="D143" s="12"/>
      <c r="E143" s="12"/>
      <c r="F143" s="40" t="str">
        <f>Asset1</f>
        <v>Overhead Sub-Transmission Lines</v>
      </c>
      <c r="G143" s="179">
        <f t="shared" ref="G143:Q143" si="8">(G41-G75-G109)/G$178</f>
        <v>53.059756</v>
      </c>
      <c r="H143" s="178">
        <f t="shared" si="8"/>
        <v>0</v>
      </c>
      <c r="I143" s="178">
        <f t="shared" si="8"/>
        <v>0</v>
      </c>
      <c r="J143" s="178">
        <f t="shared" si="8"/>
        <v>0</v>
      </c>
      <c r="K143" s="178">
        <f t="shared" si="8"/>
        <v>0</v>
      </c>
      <c r="L143" s="178">
        <f t="shared" si="8"/>
        <v>0</v>
      </c>
      <c r="M143" s="178">
        <f t="shared" si="8"/>
        <v>0</v>
      </c>
      <c r="N143" s="178">
        <f t="shared" si="8"/>
        <v>0</v>
      </c>
      <c r="O143" s="178">
        <f t="shared" si="8"/>
        <v>0</v>
      </c>
      <c r="P143" s="178">
        <f t="shared" si="8"/>
        <v>0</v>
      </c>
      <c r="Q143" s="178">
        <f t="shared" si="8"/>
        <v>0</v>
      </c>
      <c r="R143" s="8"/>
      <c r="S143" s="8"/>
      <c r="T143" s="8"/>
      <c r="U143" s="8"/>
      <c r="V143" s="8"/>
      <c r="W143" s="44"/>
      <c r="X143" s="9"/>
      <c r="Y143" s="9"/>
      <c r="Z143" s="9"/>
      <c r="AA143" s="9"/>
      <c r="AB143" s="9"/>
      <c r="AC143" s="9"/>
      <c r="AD143" s="9"/>
      <c r="AE143" s="192"/>
      <c r="AF143" s="192"/>
      <c r="AG143" s="192"/>
      <c r="AH143" s="192"/>
      <c r="AI143" s="192"/>
      <c r="AJ143" s="192"/>
      <c r="AK143" s="192"/>
      <c r="AL143" s="192"/>
      <c r="AM143" s="192"/>
      <c r="AN143" s="192"/>
      <c r="AO143" s="192"/>
      <c r="AP143" s="192"/>
      <c r="AQ143" s="192"/>
      <c r="AR143" s="192"/>
      <c r="AS143" s="192"/>
      <c r="AT143" s="192"/>
      <c r="AU143" s="192"/>
    </row>
    <row r="144" spans="1:47" outlineLevel="1">
      <c r="A144" s="12"/>
      <c r="B144" s="12"/>
      <c r="C144" s="12"/>
      <c r="D144" s="12"/>
      <c r="E144" s="12"/>
      <c r="F144" s="40" t="str">
        <f>Asset2</f>
        <v>Underground Sub-Transmission Cables</v>
      </c>
      <c r="G144" s="180">
        <f t="shared" ref="G144:Q144" si="9">(G42-G76-G110)/G$178</f>
        <v>0.432778</v>
      </c>
      <c r="H144" s="93">
        <f t="shared" si="9"/>
        <v>0</v>
      </c>
      <c r="I144" s="93">
        <f t="shared" si="9"/>
        <v>0</v>
      </c>
      <c r="J144" s="93">
        <f t="shared" si="9"/>
        <v>0</v>
      </c>
      <c r="K144" s="93">
        <f t="shared" si="9"/>
        <v>0</v>
      </c>
      <c r="L144" s="93">
        <f t="shared" si="9"/>
        <v>0</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2"/>
      <c r="AF144" s="192"/>
      <c r="AG144" s="192"/>
      <c r="AH144" s="192"/>
      <c r="AI144" s="192"/>
      <c r="AJ144" s="192"/>
      <c r="AK144" s="192"/>
      <c r="AL144" s="192"/>
      <c r="AM144" s="192"/>
      <c r="AN144" s="192"/>
      <c r="AO144" s="192"/>
      <c r="AP144" s="192"/>
      <c r="AQ144" s="192"/>
      <c r="AR144" s="192"/>
      <c r="AS144" s="192"/>
      <c r="AT144" s="192"/>
      <c r="AU144" s="192"/>
    </row>
    <row r="145" spans="1:47" outlineLevel="1">
      <c r="A145" s="12"/>
      <c r="B145" s="12"/>
      <c r="C145" s="12"/>
      <c r="D145" s="12"/>
      <c r="E145" s="12"/>
      <c r="F145" s="40" t="str">
        <f>Asset3</f>
        <v>Overhead Distribution Lines</v>
      </c>
      <c r="G145" s="180">
        <f t="shared" ref="G145:Q145" si="10">(G43-G77-G111)/G$178</f>
        <v>81.441964999999996</v>
      </c>
      <c r="H145" s="93">
        <f t="shared" si="10"/>
        <v>0</v>
      </c>
      <c r="I145" s="93">
        <f t="shared" si="10"/>
        <v>0</v>
      </c>
      <c r="J145" s="93">
        <f t="shared" si="10"/>
        <v>0</v>
      </c>
      <c r="K145" s="93">
        <f t="shared" si="10"/>
        <v>0</v>
      </c>
      <c r="L145" s="93">
        <f t="shared" si="10"/>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2"/>
      <c r="AF145" s="192"/>
      <c r="AG145" s="192"/>
      <c r="AH145" s="192"/>
      <c r="AI145" s="192"/>
      <c r="AJ145" s="192"/>
      <c r="AK145" s="192"/>
      <c r="AL145" s="192"/>
      <c r="AM145" s="192"/>
      <c r="AN145" s="192"/>
      <c r="AO145" s="192"/>
      <c r="AP145" s="192"/>
      <c r="AQ145" s="192"/>
      <c r="AR145" s="192"/>
      <c r="AS145" s="192"/>
      <c r="AT145" s="192"/>
      <c r="AU145" s="192"/>
    </row>
    <row r="146" spans="1:47" outlineLevel="1">
      <c r="A146" s="12"/>
      <c r="B146" s="12"/>
      <c r="C146" s="12"/>
      <c r="D146" s="12"/>
      <c r="E146" s="12"/>
      <c r="F146" s="140" t="str">
        <f>Asset4</f>
        <v>Underground Distribution Cables</v>
      </c>
      <c r="G146" s="180">
        <f t="shared" ref="G146:Q146" si="11">(G44-G78-G112)/G$178</f>
        <v>58.82246</v>
      </c>
      <c r="H146" s="93">
        <f t="shared" si="11"/>
        <v>0</v>
      </c>
      <c r="I146" s="93">
        <f t="shared" si="11"/>
        <v>0</v>
      </c>
      <c r="J146" s="93">
        <f t="shared" si="11"/>
        <v>0</v>
      </c>
      <c r="K146" s="93">
        <f t="shared" si="11"/>
        <v>0</v>
      </c>
      <c r="L146" s="93">
        <f t="shared" si="11"/>
        <v>0</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2"/>
      <c r="AF146" s="192"/>
      <c r="AG146" s="192"/>
      <c r="AH146" s="192"/>
      <c r="AI146" s="192"/>
      <c r="AJ146" s="192"/>
      <c r="AK146" s="192"/>
      <c r="AL146" s="192"/>
      <c r="AM146" s="192"/>
      <c r="AN146" s="192"/>
      <c r="AO146" s="192"/>
      <c r="AP146" s="192"/>
      <c r="AQ146" s="192"/>
      <c r="AR146" s="192"/>
      <c r="AS146" s="192"/>
      <c r="AT146" s="192"/>
      <c r="AU146" s="192"/>
    </row>
    <row r="147" spans="1:47" outlineLevel="1">
      <c r="A147" s="12"/>
      <c r="B147" s="12"/>
      <c r="C147" s="12"/>
      <c r="D147" s="12"/>
      <c r="E147" s="12"/>
      <c r="F147" s="140" t="str">
        <f>Asset5</f>
        <v xml:space="preserve">Distribution Equipment  </v>
      </c>
      <c r="G147" s="180">
        <f t="shared" ref="G147:Q147" si="12">(G45-G79-G113)/G$178</f>
        <v>2.4935900000000002</v>
      </c>
      <c r="H147" s="93">
        <f t="shared" si="12"/>
        <v>0</v>
      </c>
      <c r="I147" s="93">
        <f t="shared" si="12"/>
        <v>0</v>
      </c>
      <c r="J147" s="93">
        <f t="shared" si="12"/>
        <v>0</v>
      </c>
      <c r="K147" s="93">
        <f t="shared" si="12"/>
        <v>0</v>
      </c>
      <c r="L147" s="93">
        <f t="shared" si="12"/>
        <v>0</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2"/>
      <c r="AF147" s="192"/>
      <c r="AG147" s="192"/>
      <c r="AH147" s="192"/>
      <c r="AI147" s="192"/>
      <c r="AJ147" s="192"/>
      <c r="AK147" s="192"/>
      <c r="AL147" s="192"/>
      <c r="AM147" s="192"/>
      <c r="AN147" s="192"/>
      <c r="AO147" s="192"/>
      <c r="AP147" s="192"/>
      <c r="AQ147" s="192"/>
      <c r="AR147" s="192"/>
      <c r="AS147" s="192"/>
      <c r="AT147" s="192"/>
      <c r="AU147" s="192"/>
    </row>
    <row r="148" spans="1:47" outlineLevel="1">
      <c r="A148" s="12"/>
      <c r="B148" s="12"/>
      <c r="C148" s="12"/>
      <c r="D148" s="12"/>
      <c r="E148" s="12"/>
      <c r="F148" s="140" t="str">
        <f>Asset6</f>
        <v>Substation Bays</v>
      </c>
      <c r="G148" s="180">
        <f t="shared" ref="G148:Q148" si="13">(G46-G80-G114)/G$178</f>
        <v>107.019395</v>
      </c>
      <c r="H148" s="93">
        <f t="shared" si="13"/>
        <v>0</v>
      </c>
      <c r="I148" s="93">
        <f t="shared" si="13"/>
        <v>0</v>
      </c>
      <c r="J148" s="93">
        <f t="shared" si="13"/>
        <v>0</v>
      </c>
      <c r="K148" s="93">
        <f t="shared" si="13"/>
        <v>0</v>
      </c>
      <c r="L148" s="93">
        <f t="shared" si="13"/>
        <v>0</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2"/>
      <c r="AF148" s="192"/>
      <c r="AG148" s="192"/>
      <c r="AH148" s="192"/>
      <c r="AI148" s="192"/>
      <c r="AJ148" s="192"/>
      <c r="AK148" s="192"/>
      <c r="AL148" s="192"/>
      <c r="AM148" s="192"/>
      <c r="AN148" s="192"/>
      <c r="AO148" s="192"/>
      <c r="AP148" s="192"/>
      <c r="AQ148" s="192"/>
      <c r="AR148" s="192"/>
      <c r="AS148" s="192"/>
      <c r="AT148" s="192"/>
      <c r="AU148" s="192"/>
    </row>
    <row r="149" spans="1:47" outlineLevel="1">
      <c r="A149" s="12"/>
      <c r="B149" s="12"/>
      <c r="C149" s="12"/>
      <c r="D149" s="12"/>
      <c r="E149" s="12"/>
      <c r="F149" s="140" t="str">
        <f>Asset7</f>
        <v>Substation Establishment</v>
      </c>
      <c r="G149" s="180">
        <f t="shared" ref="G149:Q149" si="14">(G47-G81-G115)/G$178</f>
        <v>17.472391999999999</v>
      </c>
      <c r="H149" s="93">
        <f t="shared" si="14"/>
        <v>0</v>
      </c>
      <c r="I149" s="93">
        <f t="shared" si="14"/>
        <v>0</v>
      </c>
      <c r="J149" s="93">
        <f t="shared" si="14"/>
        <v>0</v>
      </c>
      <c r="K149" s="93">
        <f t="shared" si="14"/>
        <v>0</v>
      </c>
      <c r="L149" s="93">
        <f t="shared" si="14"/>
        <v>0</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2"/>
      <c r="AF149" s="192"/>
      <c r="AG149" s="192"/>
      <c r="AH149" s="192"/>
      <c r="AI149" s="192"/>
      <c r="AJ149" s="192"/>
      <c r="AK149" s="192"/>
      <c r="AL149" s="192"/>
      <c r="AM149" s="192"/>
      <c r="AN149" s="192"/>
      <c r="AO149" s="192"/>
      <c r="AP149" s="192"/>
      <c r="AQ149" s="192"/>
      <c r="AR149" s="192"/>
      <c r="AS149" s="192"/>
      <c r="AT149" s="192"/>
      <c r="AU149" s="192"/>
    </row>
    <row r="150" spans="1:47" outlineLevel="1">
      <c r="A150" s="12"/>
      <c r="B150" s="12"/>
      <c r="C150" s="12"/>
      <c r="D150" s="12"/>
      <c r="E150" s="12"/>
      <c r="F150" s="140" t="str">
        <f>Asset8</f>
        <v>Distribution Substation Switchgear</v>
      </c>
      <c r="G150" s="180">
        <f t="shared" ref="G150:Q150" si="15">(G48-G82-G116)/G$178</f>
        <v>22.587323999999999</v>
      </c>
      <c r="H150" s="93">
        <f t="shared" si="15"/>
        <v>0</v>
      </c>
      <c r="I150" s="93">
        <f t="shared" si="15"/>
        <v>0</v>
      </c>
      <c r="J150" s="93">
        <f t="shared" si="15"/>
        <v>0</v>
      </c>
      <c r="K150" s="93">
        <f t="shared" si="15"/>
        <v>0</v>
      </c>
      <c r="L150" s="93">
        <f t="shared" si="15"/>
        <v>0</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2"/>
      <c r="AF150" s="192"/>
      <c r="AG150" s="192"/>
      <c r="AH150" s="192"/>
      <c r="AI150" s="192"/>
      <c r="AJ150" s="192"/>
      <c r="AK150" s="192"/>
      <c r="AL150" s="192"/>
      <c r="AM150" s="192"/>
      <c r="AN150" s="192"/>
      <c r="AO150" s="192"/>
      <c r="AP150" s="192"/>
      <c r="AQ150" s="192"/>
      <c r="AR150" s="192"/>
      <c r="AS150" s="192"/>
      <c r="AT150" s="192"/>
      <c r="AU150" s="192"/>
    </row>
    <row r="151" spans="1:47" outlineLevel="1">
      <c r="A151" s="12"/>
      <c r="B151" s="12"/>
      <c r="C151" s="12"/>
      <c r="D151" s="12"/>
      <c r="E151" s="12"/>
      <c r="F151" s="140" t="str">
        <f>Asset9</f>
        <v>Zone Transformers</v>
      </c>
      <c r="G151" s="180">
        <f t="shared" ref="G151:Q151" si="16">(G49-G83-G117)/G$178</f>
        <v>42.677061999999999</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2"/>
      <c r="AF151" s="192"/>
      <c r="AG151" s="192"/>
      <c r="AH151" s="192"/>
      <c r="AI151" s="192"/>
      <c r="AJ151" s="192"/>
      <c r="AK151" s="192"/>
      <c r="AL151" s="192"/>
      <c r="AM151" s="192"/>
      <c r="AN151" s="192"/>
      <c r="AO151" s="192"/>
      <c r="AP151" s="192"/>
      <c r="AQ151" s="192"/>
      <c r="AR151" s="192"/>
      <c r="AS151" s="192"/>
      <c r="AT151" s="192"/>
      <c r="AU151" s="192"/>
    </row>
    <row r="152" spans="1:47" outlineLevel="1">
      <c r="A152" s="12"/>
      <c r="B152" s="12"/>
      <c r="C152" s="12"/>
      <c r="D152" s="12"/>
      <c r="E152" s="12"/>
      <c r="F152" s="140" t="str">
        <f>Asset10</f>
        <v>Distribution Transformers</v>
      </c>
      <c r="G152" s="180">
        <f t="shared" ref="G152:Q152" si="17">(G50-G84-G118)/G$178</f>
        <v>81.151724000000002</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2"/>
      <c r="AF152" s="192"/>
      <c r="AG152" s="192"/>
      <c r="AH152" s="192"/>
      <c r="AI152" s="192"/>
      <c r="AJ152" s="192"/>
      <c r="AK152" s="192"/>
      <c r="AL152" s="192"/>
      <c r="AM152" s="192"/>
      <c r="AN152" s="192"/>
      <c r="AO152" s="192"/>
      <c r="AP152" s="192"/>
      <c r="AQ152" s="192"/>
      <c r="AR152" s="192"/>
      <c r="AS152" s="192"/>
      <c r="AT152" s="192"/>
      <c r="AU152" s="192"/>
    </row>
    <row r="153" spans="1:47" outlineLevel="1">
      <c r="A153" s="12"/>
      <c r="B153" s="12"/>
      <c r="C153" s="12"/>
      <c r="D153" s="12"/>
      <c r="E153" s="12"/>
      <c r="F153" s="140" t="str">
        <f>Asset11</f>
        <v>Low Voltage Services</v>
      </c>
      <c r="G153" s="180">
        <f t="shared" ref="G153:Q153" si="18">(G51-G85-G119)/G$178</f>
        <v>13.357322999999999</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2"/>
      <c r="AF153" s="192"/>
      <c r="AG153" s="192"/>
      <c r="AH153" s="192"/>
      <c r="AI153" s="192"/>
      <c r="AJ153" s="192"/>
      <c r="AK153" s="192"/>
      <c r="AL153" s="192"/>
      <c r="AM153" s="192"/>
      <c r="AN153" s="192"/>
      <c r="AO153" s="192"/>
      <c r="AP153" s="192"/>
      <c r="AQ153" s="192"/>
      <c r="AR153" s="192"/>
      <c r="AS153" s="192"/>
      <c r="AT153" s="192"/>
      <c r="AU153" s="192"/>
    </row>
    <row r="154" spans="1:47" outlineLevel="1">
      <c r="A154" s="12"/>
      <c r="B154" s="12"/>
      <c r="C154" s="12"/>
      <c r="D154" s="12"/>
      <c r="E154" s="12"/>
      <c r="F154" s="140" t="str">
        <f>Asset12</f>
        <v>Metering</v>
      </c>
      <c r="G154" s="180">
        <f t="shared" ref="G154:Q154" si="19">(G52-G86-G120)/G$178</f>
        <v>35.483144000000003</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2"/>
      <c r="AF154" s="192"/>
      <c r="AG154" s="192"/>
      <c r="AH154" s="192"/>
      <c r="AI154" s="192"/>
      <c r="AJ154" s="192"/>
      <c r="AK154" s="192"/>
      <c r="AL154" s="192"/>
      <c r="AM154" s="192"/>
      <c r="AN154" s="192"/>
      <c r="AO154" s="192"/>
      <c r="AP154" s="192"/>
      <c r="AQ154" s="192"/>
      <c r="AR154" s="192"/>
      <c r="AS154" s="192"/>
      <c r="AT154" s="192"/>
      <c r="AU154" s="192"/>
    </row>
    <row r="155" spans="1:47" outlineLevel="1">
      <c r="A155" s="12"/>
      <c r="B155" s="12"/>
      <c r="C155" s="12"/>
      <c r="D155" s="12"/>
      <c r="E155" s="12"/>
      <c r="F155" s="140" t="str">
        <f>Asset13</f>
        <v xml:space="preserve">Communications – Pilot Wires </v>
      </c>
      <c r="G155" s="180">
        <f t="shared" ref="G155:Q155" si="20">(G53-G87-G121)/G$178</f>
        <v>8.2752890000000008</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2"/>
      <c r="AF155" s="192"/>
      <c r="AG155" s="192"/>
      <c r="AH155" s="192"/>
      <c r="AI155" s="192"/>
      <c r="AJ155" s="192"/>
      <c r="AK155" s="192"/>
      <c r="AL155" s="192"/>
      <c r="AM155" s="192"/>
      <c r="AN155" s="192"/>
      <c r="AO155" s="192"/>
      <c r="AP155" s="192"/>
      <c r="AQ155" s="192"/>
      <c r="AR155" s="192"/>
      <c r="AS155" s="192"/>
      <c r="AT155" s="192"/>
      <c r="AU155" s="192"/>
    </row>
    <row r="156" spans="1:47" outlineLevel="1">
      <c r="A156" s="12"/>
      <c r="B156" s="12"/>
      <c r="C156" s="12"/>
      <c r="D156" s="12"/>
      <c r="E156" s="12"/>
      <c r="F156" s="140" t="str">
        <f>Asset14</f>
        <v>Generation Assets</v>
      </c>
      <c r="G156" s="180">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2"/>
      <c r="AF156" s="192"/>
      <c r="AG156" s="192"/>
      <c r="AH156" s="192"/>
      <c r="AI156" s="192"/>
      <c r="AJ156" s="192"/>
      <c r="AK156" s="192"/>
      <c r="AL156" s="192"/>
      <c r="AM156" s="192"/>
      <c r="AN156" s="192"/>
      <c r="AO156" s="192"/>
      <c r="AP156" s="192"/>
      <c r="AQ156" s="192"/>
      <c r="AR156" s="192"/>
      <c r="AS156" s="192"/>
      <c r="AT156" s="192"/>
      <c r="AU156" s="192"/>
    </row>
    <row r="157" spans="1:47" outlineLevel="1">
      <c r="A157" s="12"/>
      <c r="B157" s="12"/>
      <c r="C157" s="12"/>
      <c r="D157" s="12"/>
      <c r="E157" s="12"/>
      <c r="F157" s="140" t="str">
        <f>Asset15</f>
        <v>Street Lighting</v>
      </c>
      <c r="G157" s="180">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2"/>
      <c r="AF157" s="192"/>
      <c r="AG157" s="192"/>
      <c r="AH157" s="192"/>
      <c r="AI157" s="192"/>
      <c r="AJ157" s="192"/>
      <c r="AK157" s="192"/>
      <c r="AL157" s="192"/>
      <c r="AM157" s="192"/>
      <c r="AN157" s="192"/>
      <c r="AO157" s="192"/>
      <c r="AP157" s="192"/>
      <c r="AQ157" s="192"/>
      <c r="AR157" s="192"/>
      <c r="AS157" s="192"/>
      <c r="AT157" s="192"/>
      <c r="AU157" s="192"/>
    </row>
    <row r="158" spans="1:47" outlineLevel="1">
      <c r="A158" s="12"/>
      <c r="B158" s="12"/>
      <c r="C158" s="12"/>
      <c r="D158" s="12"/>
      <c r="E158" s="12"/>
      <c r="F158" s="140" t="str">
        <f>Asset16</f>
        <v>Other Equipment</v>
      </c>
      <c r="G158" s="180">
        <f t="shared" ref="G158:Q158" si="23">(G56-G90-G124)/G$178</f>
        <v>3.7534399999999999</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2"/>
      <c r="AF158" s="192"/>
      <c r="AG158" s="192"/>
      <c r="AH158" s="192"/>
      <c r="AI158" s="192"/>
      <c r="AJ158" s="192"/>
      <c r="AK158" s="192"/>
      <c r="AL158" s="192"/>
      <c r="AM158" s="192"/>
      <c r="AN158" s="192"/>
      <c r="AO158" s="192"/>
      <c r="AP158" s="192"/>
      <c r="AQ158" s="192"/>
      <c r="AR158" s="192"/>
      <c r="AS158" s="192"/>
      <c r="AT158" s="192"/>
      <c r="AU158" s="192"/>
    </row>
    <row r="159" spans="1:47" outlineLevel="1">
      <c r="A159" s="12"/>
      <c r="B159" s="12"/>
      <c r="C159" s="12"/>
      <c r="D159" s="12"/>
      <c r="E159" s="12"/>
      <c r="F159" s="140" t="str">
        <f>Asset17</f>
        <v>Control Centre - SCADA</v>
      </c>
      <c r="G159" s="180">
        <f t="shared" ref="G159:Q159" si="24">(G57-G91-G125)/G$178</f>
        <v>12.598336</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2"/>
      <c r="AF159" s="192"/>
      <c r="AG159" s="192"/>
      <c r="AH159" s="192"/>
      <c r="AI159" s="192"/>
      <c r="AJ159" s="192"/>
      <c r="AK159" s="192"/>
      <c r="AL159" s="192"/>
      <c r="AM159" s="192"/>
      <c r="AN159" s="192"/>
      <c r="AO159" s="192"/>
      <c r="AP159" s="192"/>
      <c r="AQ159" s="192"/>
      <c r="AR159" s="192"/>
      <c r="AS159" s="192"/>
      <c r="AT159" s="192"/>
      <c r="AU159" s="192"/>
    </row>
    <row r="160" spans="1:47" outlineLevel="1">
      <c r="A160" s="12"/>
      <c r="B160" s="12"/>
      <c r="C160" s="12"/>
      <c r="D160" s="12"/>
      <c r="E160" s="12"/>
      <c r="F160" s="140" t="str">
        <f>Asset18</f>
        <v>Land &amp; Easements (System)</v>
      </c>
      <c r="G160" s="180">
        <f t="shared" ref="G160:Q160" si="25">(G58-G92-G126)/G$178</f>
        <v>3.1161400000000001</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2"/>
      <c r="AF160" s="192"/>
      <c r="AG160" s="192"/>
      <c r="AH160" s="192"/>
      <c r="AI160" s="192"/>
      <c r="AJ160" s="192"/>
      <c r="AK160" s="192"/>
      <c r="AL160" s="192"/>
      <c r="AM160" s="192"/>
      <c r="AN160" s="192"/>
      <c r="AO160" s="192"/>
      <c r="AP160" s="192"/>
      <c r="AQ160" s="192"/>
      <c r="AR160" s="192"/>
      <c r="AS160" s="192"/>
      <c r="AT160" s="192"/>
      <c r="AU160" s="192"/>
    </row>
    <row r="161" spans="1:47" outlineLevel="1">
      <c r="A161" s="12"/>
      <c r="B161" s="12"/>
      <c r="C161" s="12"/>
      <c r="D161" s="12"/>
      <c r="E161" s="12"/>
      <c r="F161" s="140" t="str">
        <f>Asset19</f>
        <v>Metering Type 5-6</v>
      </c>
      <c r="G161" s="180">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2"/>
      <c r="AF161" s="192"/>
      <c r="AG161" s="192"/>
      <c r="AH161" s="192"/>
      <c r="AI161" s="192"/>
      <c r="AJ161" s="192"/>
      <c r="AK161" s="192"/>
      <c r="AL161" s="192"/>
      <c r="AM161" s="192"/>
      <c r="AN161" s="192"/>
      <c r="AO161" s="192"/>
      <c r="AP161" s="192"/>
      <c r="AQ161" s="192"/>
      <c r="AR161" s="192"/>
      <c r="AS161" s="192"/>
      <c r="AT161" s="192"/>
      <c r="AU161" s="192"/>
    </row>
    <row r="162" spans="1:47" outlineLevel="1">
      <c r="A162" s="12"/>
      <c r="B162" s="12"/>
      <c r="C162" s="12"/>
      <c r="D162" s="12"/>
      <c r="E162" s="12"/>
      <c r="F162" s="140" t="str">
        <f>Asset20</f>
        <v>Communications</v>
      </c>
      <c r="G162" s="180">
        <f t="shared" ref="G162:Q162" si="27">(G60-G94-G128)/G$178</f>
        <v>0.42815399999999998</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2"/>
      <c r="AF162" s="192"/>
      <c r="AG162" s="192"/>
      <c r="AH162" s="192"/>
      <c r="AI162" s="192"/>
      <c r="AJ162" s="192"/>
      <c r="AK162" s="192"/>
      <c r="AL162" s="192"/>
      <c r="AM162" s="192"/>
      <c r="AN162" s="192"/>
      <c r="AO162" s="192"/>
      <c r="AP162" s="192"/>
      <c r="AQ162" s="192"/>
      <c r="AR162" s="192"/>
      <c r="AS162" s="192"/>
      <c r="AT162" s="192"/>
      <c r="AU162" s="192"/>
    </row>
    <row r="163" spans="1:47" outlineLevel="1">
      <c r="A163" s="12"/>
      <c r="B163" s="12"/>
      <c r="C163" s="12"/>
      <c r="D163" s="12"/>
      <c r="E163" s="12"/>
      <c r="F163" s="40" t="str">
        <f>Asset21</f>
        <v>IT Systems</v>
      </c>
      <c r="G163" s="180">
        <f t="shared" ref="G163:Q163" si="28">(G61-G95-G129)/G$178</f>
        <v>49.394682000000003</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2"/>
      <c r="AF163" s="192"/>
      <c r="AG163" s="192"/>
      <c r="AH163" s="192"/>
      <c r="AI163" s="192"/>
      <c r="AJ163" s="192"/>
      <c r="AK163" s="192"/>
      <c r="AL163" s="192"/>
      <c r="AM163" s="192"/>
      <c r="AN163" s="192"/>
      <c r="AO163" s="192"/>
      <c r="AP163" s="192"/>
      <c r="AQ163" s="192"/>
      <c r="AR163" s="192"/>
      <c r="AS163" s="192"/>
      <c r="AT163" s="192"/>
      <c r="AU163" s="192"/>
    </row>
    <row r="164" spans="1:47" outlineLevel="1">
      <c r="A164" s="12"/>
      <c r="B164" s="12"/>
      <c r="C164" s="12"/>
      <c r="D164" s="12"/>
      <c r="E164" s="12"/>
      <c r="F164" s="40" t="str">
        <f>Asset22</f>
        <v>Office Equipment &amp; Furniture</v>
      </c>
      <c r="G164" s="180">
        <f t="shared" ref="G164:Q164" si="29">(G62-G96-G130)/G$178</f>
        <v>1.5353080000000001</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2"/>
      <c r="AF164" s="192"/>
      <c r="AG164" s="192"/>
      <c r="AH164" s="192"/>
      <c r="AI164" s="192"/>
      <c r="AJ164" s="192"/>
      <c r="AK164" s="192"/>
      <c r="AL164" s="192"/>
      <c r="AM164" s="192"/>
      <c r="AN164" s="192"/>
      <c r="AO164" s="192"/>
      <c r="AP164" s="192"/>
      <c r="AQ164" s="192"/>
      <c r="AR164" s="192"/>
      <c r="AS164" s="192"/>
      <c r="AT164" s="192"/>
      <c r="AU164" s="192"/>
    </row>
    <row r="165" spans="1:47" outlineLevel="1">
      <c r="A165" s="12"/>
      <c r="B165" s="12"/>
      <c r="C165" s="12"/>
      <c r="D165" s="12"/>
      <c r="E165" s="12"/>
      <c r="F165" s="40" t="str">
        <f>Asset23</f>
        <v>Motor Vehicles</v>
      </c>
      <c r="G165" s="180">
        <f t="shared" ref="G165:Q165" si="30">(G63-G97-G131)/G$178</f>
        <v>15.037036000000001</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2"/>
      <c r="AF165" s="192"/>
      <c r="AG165" s="192"/>
      <c r="AH165" s="192"/>
      <c r="AI165" s="192"/>
      <c r="AJ165" s="192"/>
      <c r="AK165" s="192"/>
      <c r="AL165" s="192"/>
      <c r="AM165" s="192"/>
      <c r="AN165" s="192"/>
      <c r="AO165" s="192"/>
      <c r="AP165" s="192"/>
      <c r="AQ165" s="192"/>
      <c r="AR165" s="192"/>
      <c r="AS165" s="192"/>
      <c r="AT165" s="192"/>
      <c r="AU165" s="192"/>
    </row>
    <row r="166" spans="1:47" outlineLevel="1">
      <c r="A166" s="12"/>
      <c r="B166" s="12"/>
      <c r="C166" s="12"/>
      <c r="D166" s="12"/>
      <c r="E166" s="12"/>
      <c r="F166" s="40" t="str">
        <f>Asset24</f>
        <v>Plant &amp; Equipment</v>
      </c>
      <c r="G166" s="180">
        <f t="shared" ref="G166:Q166" si="31">(G64-G98-G132)/G$178</f>
        <v>14.391947</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2"/>
      <c r="AF166" s="192"/>
      <c r="AG166" s="192"/>
      <c r="AH166" s="192"/>
      <c r="AI166" s="192"/>
      <c r="AJ166" s="192"/>
      <c r="AK166" s="192"/>
      <c r="AL166" s="192"/>
      <c r="AM166" s="192"/>
      <c r="AN166" s="192"/>
      <c r="AO166" s="192"/>
      <c r="AP166" s="192"/>
      <c r="AQ166" s="192"/>
      <c r="AR166" s="192"/>
      <c r="AS166" s="192"/>
      <c r="AT166" s="192"/>
      <c r="AU166" s="192"/>
    </row>
    <row r="167" spans="1:47" outlineLevel="1">
      <c r="A167" s="12"/>
      <c r="B167" s="12"/>
      <c r="C167" s="12"/>
      <c r="D167" s="12"/>
      <c r="E167" s="12"/>
      <c r="F167" s="40" t="str">
        <f>Asset25</f>
        <v>Buildings</v>
      </c>
      <c r="G167" s="180">
        <f t="shared" ref="G167:Q167" si="32">(G65-G99-G133)/G$178</f>
        <v>30.715939000000002</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2"/>
      <c r="AF167" s="192"/>
      <c r="AG167" s="192"/>
      <c r="AH167" s="192"/>
      <c r="AI167" s="192"/>
      <c r="AJ167" s="192"/>
      <c r="AK167" s="192"/>
      <c r="AL167" s="192"/>
      <c r="AM167" s="192"/>
      <c r="AN167" s="192"/>
      <c r="AO167" s="192"/>
      <c r="AP167" s="192"/>
      <c r="AQ167" s="192"/>
      <c r="AR167" s="192"/>
      <c r="AS167" s="192"/>
      <c r="AT167" s="192"/>
      <c r="AU167" s="192"/>
    </row>
    <row r="168" spans="1:47" outlineLevel="1">
      <c r="A168" s="12"/>
      <c r="B168" s="12"/>
      <c r="C168" s="12"/>
      <c r="D168" s="12"/>
      <c r="E168" s="12"/>
      <c r="F168" s="40" t="str">
        <f>Asset26</f>
        <v>Land &amp; Easements</v>
      </c>
      <c r="G168" s="180">
        <f t="shared" ref="G168:Q168" si="33">(G66-G100-G134)/G$178</f>
        <v>0.93550299999999997</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2"/>
      <c r="AF168" s="192"/>
      <c r="AG168" s="192"/>
      <c r="AH168" s="192"/>
      <c r="AI168" s="192"/>
      <c r="AJ168" s="192"/>
      <c r="AK168" s="192"/>
      <c r="AL168" s="192"/>
      <c r="AM168" s="192"/>
      <c r="AN168" s="192"/>
      <c r="AO168" s="192"/>
      <c r="AP168" s="192"/>
      <c r="AQ168" s="192"/>
      <c r="AR168" s="192"/>
      <c r="AS168" s="192"/>
      <c r="AT168" s="192"/>
      <c r="AU168" s="192"/>
    </row>
    <row r="169" spans="1:47" outlineLevel="1">
      <c r="A169" s="12"/>
      <c r="B169" s="12"/>
      <c r="C169" s="12"/>
      <c r="D169" s="12"/>
      <c r="E169" s="12"/>
      <c r="F169" s="40" t="str">
        <f>Asset27</f>
        <v>Land Improvements</v>
      </c>
      <c r="G169" s="180">
        <f t="shared" ref="G169:Q169" si="34">(G67-G101-G135)/G$178</f>
        <v>5.3676880000000002</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2"/>
      <c r="AF169" s="192"/>
      <c r="AG169" s="192"/>
      <c r="AH169" s="192"/>
      <c r="AI169" s="192"/>
      <c r="AJ169" s="192"/>
      <c r="AK169" s="192"/>
      <c r="AL169" s="192"/>
      <c r="AM169" s="192"/>
      <c r="AN169" s="192"/>
      <c r="AO169" s="192"/>
      <c r="AP169" s="192"/>
      <c r="AQ169" s="192"/>
      <c r="AR169" s="192"/>
      <c r="AS169" s="192"/>
      <c r="AT169" s="192"/>
      <c r="AU169" s="192"/>
    </row>
    <row r="170" spans="1:47" outlineLevel="1">
      <c r="A170" s="12"/>
      <c r="B170" s="12"/>
      <c r="C170" s="12"/>
      <c r="D170" s="12"/>
      <c r="E170" s="12"/>
      <c r="F170" s="40" t="str">
        <f>Asset28</f>
        <v>Equity Raising Costs</v>
      </c>
      <c r="G170" s="180">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2"/>
      <c r="AF170" s="192"/>
      <c r="AG170" s="192"/>
      <c r="AH170" s="192"/>
      <c r="AI170" s="192"/>
      <c r="AJ170" s="192"/>
      <c r="AK170" s="192"/>
      <c r="AL170" s="192"/>
      <c r="AM170" s="192"/>
      <c r="AN170" s="192"/>
      <c r="AO170" s="192"/>
      <c r="AP170" s="192"/>
      <c r="AQ170" s="192"/>
      <c r="AR170" s="192"/>
      <c r="AS170" s="192"/>
      <c r="AT170" s="192"/>
      <c r="AU170" s="192"/>
    </row>
    <row r="171" spans="1:47" outlineLevel="1">
      <c r="A171" s="12"/>
      <c r="B171" s="12"/>
      <c r="C171" s="12"/>
      <c r="D171" s="12"/>
      <c r="E171" s="12"/>
      <c r="F171" s="40" t="str">
        <f>Asset29</f>
        <v>Not Used</v>
      </c>
      <c r="G171" s="180">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2"/>
      <c r="AF171" s="192"/>
      <c r="AG171" s="192"/>
      <c r="AH171" s="192"/>
      <c r="AI171" s="192"/>
      <c r="AJ171" s="192"/>
      <c r="AK171" s="192"/>
      <c r="AL171" s="192"/>
      <c r="AM171" s="192"/>
      <c r="AN171" s="192"/>
      <c r="AO171" s="192"/>
      <c r="AP171" s="192"/>
      <c r="AQ171" s="192"/>
      <c r="AR171" s="192"/>
      <c r="AS171" s="192"/>
      <c r="AT171" s="192"/>
      <c r="AU171" s="192"/>
    </row>
    <row r="172" spans="1:47" outlineLevel="1">
      <c r="A172" s="12"/>
      <c r="B172" s="12"/>
      <c r="C172" s="12"/>
      <c r="D172" s="12"/>
      <c r="E172" s="12"/>
      <c r="F172" s="40" t="str">
        <f>Asset30</f>
        <v>Not Used</v>
      </c>
      <c r="G172" s="180">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2"/>
      <c r="AF172" s="192"/>
      <c r="AG172" s="192"/>
      <c r="AH172" s="192"/>
      <c r="AI172" s="192"/>
      <c r="AJ172" s="192"/>
      <c r="AK172" s="192"/>
      <c r="AL172" s="192"/>
      <c r="AM172" s="192"/>
      <c r="AN172" s="192"/>
      <c r="AO172" s="192"/>
      <c r="AP172" s="192"/>
      <c r="AQ172" s="192"/>
      <c r="AR172" s="192"/>
      <c r="AS172" s="192"/>
      <c r="AT172" s="192"/>
      <c r="AU172" s="192"/>
    </row>
    <row r="173" spans="1:47">
      <c r="A173" s="12"/>
      <c r="B173" s="12"/>
      <c r="C173" s="12"/>
      <c r="D173" s="12"/>
      <c r="E173" s="12"/>
      <c r="F173" s="40" t="s">
        <v>22</v>
      </c>
      <c r="G173" s="249">
        <f t="shared" ref="G173:Q173" si="38">SUM(G143:G172)</f>
        <v>661.54837499999996</v>
      </c>
      <c r="H173" s="249">
        <f t="shared" si="38"/>
        <v>0</v>
      </c>
      <c r="I173" s="249">
        <f t="shared" si="38"/>
        <v>0</v>
      </c>
      <c r="J173" s="249">
        <f t="shared" si="38"/>
        <v>0</v>
      </c>
      <c r="K173" s="249">
        <f t="shared" si="38"/>
        <v>0</v>
      </c>
      <c r="L173" s="249">
        <f t="shared" si="38"/>
        <v>0</v>
      </c>
      <c r="M173" s="249">
        <f t="shared" si="38"/>
        <v>0</v>
      </c>
      <c r="N173" s="249">
        <f t="shared" si="38"/>
        <v>0</v>
      </c>
      <c r="O173" s="249">
        <f t="shared" si="38"/>
        <v>0</v>
      </c>
      <c r="P173" s="249">
        <f t="shared" si="38"/>
        <v>0</v>
      </c>
      <c r="Q173" s="249">
        <f t="shared" si="38"/>
        <v>0</v>
      </c>
      <c r="R173" s="38"/>
      <c r="S173" s="38"/>
      <c r="T173" s="38"/>
      <c r="U173" s="38"/>
      <c r="V173" s="38"/>
      <c r="W173" s="38"/>
      <c r="X173" s="90"/>
      <c r="Y173" s="8"/>
      <c r="Z173" s="8"/>
      <c r="AA173" s="44"/>
      <c r="AB173" s="9"/>
      <c r="AC173" s="9"/>
      <c r="AD173" s="9"/>
      <c r="AE173" s="192"/>
      <c r="AF173" s="192"/>
      <c r="AG173" s="192"/>
      <c r="AH173" s="192"/>
      <c r="AI173" s="192"/>
      <c r="AJ173" s="192"/>
      <c r="AK173" s="192"/>
      <c r="AL173" s="192"/>
      <c r="AM173" s="192"/>
      <c r="AN173" s="192"/>
      <c r="AO173" s="192"/>
      <c r="AP173" s="192"/>
      <c r="AQ173" s="192"/>
      <c r="AR173" s="192"/>
      <c r="AS173" s="192"/>
      <c r="AT173" s="192"/>
      <c r="AU173" s="192"/>
    </row>
    <row r="174" spans="1:47" ht="21" customHeight="1">
      <c r="A174" s="12"/>
      <c r="B174" s="12"/>
      <c r="C174" s="12"/>
      <c r="D174" s="12"/>
      <c r="E174" s="12"/>
      <c r="F174" s="40"/>
      <c r="G174" s="61"/>
      <c r="H174" s="61"/>
      <c r="I174" s="61"/>
      <c r="J174" s="61"/>
      <c r="K174" s="61"/>
      <c r="L174" s="61"/>
      <c r="M174" s="61"/>
      <c r="N174" s="38"/>
      <c r="O174" s="38"/>
      <c r="P174" s="38"/>
      <c r="Q174" s="38"/>
      <c r="R174" s="248">
        <f>SUM(G173:Q173)</f>
        <v>661.54837499999996</v>
      </c>
      <c r="S174" s="38"/>
      <c r="T174" s="38"/>
      <c r="U174" s="38"/>
      <c r="V174" s="38"/>
      <c r="W174" s="38"/>
      <c r="X174" s="38"/>
      <c r="Y174" s="8"/>
      <c r="Z174" s="8"/>
      <c r="AA174" s="44"/>
      <c r="AB174" s="9"/>
      <c r="AC174" s="9"/>
      <c r="AD174" s="9"/>
      <c r="AE174" s="192"/>
      <c r="AF174" s="192"/>
      <c r="AG174" s="192"/>
      <c r="AH174" s="192"/>
      <c r="AI174" s="192"/>
      <c r="AJ174" s="192"/>
      <c r="AK174" s="192"/>
      <c r="AL174" s="192"/>
      <c r="AM174" s="192"/>
      <c r="AN174" s="192"/>
      <c r="AO174" s="192"/>
      <c r="AP174" s="192"/>
      <c r="AQ174" s="192"/>
      <c r="AR174" s="192"/>
      <c r="AS174" s="192"/>
      <c r="AT174" s="192"/>
      <c r="AU174" s="192"/>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2"/>
      <c r="AF175" s="192"/>
      <c r="AG175" s="192"/>
      <c r="AH175" s="192"/>
      <c r="AI175" s="192"/>
      <c r="AJ175" s="192"/>
      <c r="AK175" s="192"/>
      <c r="AL175" s="192"/>
      <c r="AM175" s="192"/>
      <c r="AN175" s="192"/>
      <c r="AO175" s="192"/>
      <c r="AP175" s="192"/>
      <c r="AQ175" s="192"/>
      <c r="AR175" s="192"/>
      <c r="AS175" s="192"/>
      <c r="AT175" s="192"/>
      <c r="AU175" s="192"/>
    </row>
    <row r="176" spans="1:47" ht="14.25" customHeight="1">
      <c r="A176" s="12"/>
      <c r="B176" s="12"/>
      <c r="C176" s="12"/>
      <c r="D176" s="12"/>
      <c r="E176" s="12"/>
      <c r="F176" s="15"/>
      <c r="G176" s="148" t="str">
        <f>G40</f>
        <v>2009-10</v>
      </c>
      <c r="H176" s="148" t="str">
        <f t="shared" ref="H176:Q176" si="39">H40</f>
        <v>2010-11</v>
      </c>
      <c r="I176" s="148" t="str">
        <f t="shared" si="39"/>
        <v>2011-12</v>
      </c>
      <c r="J176" s="148" t="str">
        <f t="shared" si="39"/>
        <v>2012-13</v>
      </c>
      <c r="K176" s="148" t="str">
        <f t="shared" si="39"/>
        <v>2013-14</v>
      </c>
      <c r="L176" s="148" t="str">
        <f t="shared" si="39"/>
        <v>2014-15</v>
      </c>
      <c r="M176" s="148" t="str">
        <f t="shared" si="39"/>
        <v>2015-16</v>
      </c>
      <c r="N176" s="148" t="str">
        <f t="shared" si="39"/>
        <v>2016-17</v>
      </c>
      <c r="O176" s="148" t="str">
        <f t="shared" si="39"/>
        <v>2017-18</v>
      </c>
      <c r="P176" s="148" t="str">
        <f t="shared" si="39"/>
        <v>2018-19</v>
      </c>
      <c r="Q176" s="148" t="str">
        <f t="shared" si="39"/>
        <v>2019-20</v>
      </c>
      <c r="R176" s="13"/>
      <c r="S176" s="13"/>
      <c r="T176" s="13"/>
      <c r="U176" s="13"/>
      <c r="V176" s="13"/>
      <c r="W176" s="13"/>
      <c r="X176" s="9"/>
      <c r="Y176" s="9"/>
      <c r="Z176" s="9"/>
      <c r="AA176" s="9"/>
      <c r="AB176" s="9"/>
      <c r="AC176" s="9"/>
      <c r="AD176" s="9"/>
      <c r="AE176" s="192"/>
      <c r="AF176" s="192"/>
      <c r="AG176" s="192"/>
      <c r="AH176" s="192"/>
      <c r="AI176" s="192"/>
      <c r="AJ176" s="192"/>
      <c r="AK176" s="192"/>
      <c r="AL176" s="192"/>
      <c r="AM176" s="192"/>
      <c r="AN176" s="192"/>
      <c r="AO176" s="192"/>
      <c r="AP176" s="192"/>
      <c r="AQ176" s="192"/>
      <c r="AR176" s="192"/>
      <c r="AS176" s="192"/>
      <c r="AT176" s="192"/>
      <c r="AU176" s="192"/>
    </row>
    <row r="177" spans="1:47" ht="12.75" customHeight="1">
      <c r="A177" s="12"/>
      <c r="B177" s="12"/>
      <c r="C177" s="12"/>
      <c r="D177" s="12"/>
      <c r="E177" s="12"/>
      <c r="F177" s="97" t="s">
        <v>37</v>
      </c>
      <c r="G177" s="173">
        <v>2.8899999999999999E-2</v>
      </c>
      <c r="H177" s="309">
        <v>3.3300000000000003E-2</v>
      </c>
      <c r="I177" s="310">
        <v>1.5800000000000002E-2</v>
      </c>
      <c r="J177" s="310">
        <v>2.5000000000000001E-2</v>
      </c>
      <c r="K177" s="310">
        <v>2.93E-2</v>
      </c>
      <c r="L177" s="319">
        <v>1.3299999999999999E-2</v>
      </c>
      <c r="M177" s="109"/>
      <c r="N177" s="109"/>
      <c r="O177" s="109"/>
      <c r="P177" s="109"/>
      <c r="Q177" s="109"/>
      <c r="R177" s="14"/>
      <c r="S177" s="14"/>
      <c r="T177" s="14"/>
      <c r="U177" s="14"/>
      <c r="V177" s="14"/>
      <c r="W177" s="14"/>
      <c r="X177" s="14"/>
      <c r="Y177" s="14"/>
      <c r="Z177" s="8"/>
      <c r="AA177" s="9"/>
      <c r="AB177" s="9"/>
      <c r="AC177" s="9"/>
      <c r="AD177" s="9"/>
      <c r="AE177" s="192"/>
      <c r="AF177" s="192"/>
      <c r="AG177" s="192"/>
      <c r="AH177" s="192"/>
      <c r="AI177" s="192"/>
      <c r="AJ177" s="192"/>
      <c r="AK177" s="192"/>
      <c r="AL177" s="192"/>
      <c r="AM177" s="192"/>
      <c r="AN177" s="192"/>
      <c r="AO177" s="192"/>
      <c r="AP177" s="192"/>
      <c r="AQ177" s="192"/>
      <c r="AR177" s="192"/>
      <c r="AS177" s="192"/>
      <c r="AT177" s="192"/>
      <c r="AU177" s="192"/>
    </row>
    <row r="178" spans="1:47" ht="13.5" customHeight="1">
      <c r="A178" s="12"/>
      <c r="B178" s="12"/>
      <c r="C178" s="12"/>
      <c r="D178" s="12"/>
      <c r="E178" s="12"/>
      <c r="F178" s="97" t="s">
        <v>77</v>
      </c>
      <c r="G178" s="246">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1.154547182866098</v>
      </c>
      <c r="N178" s="94">
        <f t="shared" si="40"/>
        <v>1.154547182866098</v>
      </c>
      <c r="O178" s="94">
        <f t="shared" si="40"/>
        <v>1.154547182866098</v>
      </c>
      <c r="P178" s="94">
        <f t="shared" si="40"/>
        <v>1.154547182866098</v>
      </c>
      <c r="Q178" s="94">
        <f t="shared" si="40"/>
        <v>1.154547182866098</v>
      </c>
      <c r="R178" s="14"/>
      <c r="S178" s="14"/>
      <c r="T178" s="14"/>
      <c r="U178" s="14"/>
      <c r="V178" s="14"/>
      <c r="W178" s="14"/>
      <c r="X178" s="14"/>
      <c r="Y178" s="14"/>
      <c r="Z178" s="8"/>
      <c r="AA178" s="9"/>
      <c r="AB178" s="9"/>
      <c r="AC178" s="9"/>
      <c r="AD178" s="9"/>
      <c r="AE178" s="192"/>
      <c r="AF178" s="192"/>
      <c r="AG178" s="192"/>
      <c r="AH178" s="192"/>
      <c r="AI178" s="192"/>
      <c r="AJ178" s="192"/>
      <c r="AK178" s="192"/>
      <c r="AL178" s="192"/>
      <c r="AM178" s="192"/>
      <c r="AN178" s="192"/>
      <c r="AO178" s="192"/>
      <c r="AP178" s="192"/>
      <c r="AQ178" s="192"/>
      <c r="AR178" s="192"/>
      <c r="AS178" s="192"/>
      <c r="AT178" s="192"/>
      <c r="AU178" s="192"/>
    </row>
    <row r="179" spans="1:47" ht="13.5" customHeight="1">
      <c r="A179" s="12"/>
      <c r="B179" s="12"/>
      <c r="C179" s="12"/>
      <c r="D179" s="12"/>
      <c r="E179" s="12"/>
      <c r="F179" s="97" t="s">
        <v>40</v>
      </c>
      <c r="G179" s="336">
        <v>2.76E-2</v>
      </c>
      <c r="H179" s="337">
        <v>2.52E-2</v>
      </c>
      <c r="I179" s="41">
        <f>H179</f>
        <v>2.52E-2</v>
      </c>
      <c r="J179" s="41">
        <f t="shared" ref="J179:Q179" si="41">I179</f>
        <v>2.52E-2</v>
      </c>
      <c r="K179" s="41">
        <f t="shared" si="41"/>
        <v>2.52E-2</v>
      </c>
      <c r="L179" s="50">
        <f t="shared" si="41"/>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2"/>
      <c r="AF179" s="192"/>
      <c r="AG179" s="192"/>
      <c r="AH179" s="192"/>
      <c r="AI179" s="192"/>
      <c r="AJ179" s="192"/>
      <c r="AK179" s="192"/>
      <c r="AL179" s="192"/>
      <c r="AM179" s="192"/>
      <c r="AN179" s="192"/>
      <c r="AO179" s="192"/>
      <c r="AP179" s="192"/>
      <c r="AQ179" s="192"/>
      <c r="AR179" s="192"/>
      <c r="AS179" s="192"/>
      <c r="AT179" s="192"/>
      <c r="AU179" s="192"/>
    </row>
    <row r="180" spans="1:47" ht="12.75" customHeight="1">
      <c r="A180" s="12"/>
      <c r="B180" s="12"/>
      <c r="C180" s="12"/>
      <c r="D180" s="12"/>
      <c r="E180" s="12"/>
      <c r="F180" s="97" t="s">
        <v>39</v>
      </c>
      <c r="G180" s="246">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2"/>
      <c r="AF180" s="192"/>
      <c r="AG180" s="192"/>
      <c r="AH180" s="192"/>
      <c r="AI180" s="192"/>
      <c r="AJ180" s="192"/>
      <c r="AK180" s="192"/>
      <c r="AL180" s="192"/>
      <c r="AM180" s="192"/>
      <c r="AN180" s="192"/>
      <c r="AO180" s="192"/>
      <c r="AP180" s="192"/>
      <c r="AQ180" s="192"/>
      <c r="AR180" s="192"/>
      <c r="AS180" s="192"/>
      <c r="AT180" s="192"/>
      <c r="AU180" s="192"/>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2"/>
      <c r="AF181" s="192"/>
      <c r="AG181" s="192"/>
      <c r="AH181" s="192"/>
      <c r="AI181" s="192"/>
      <c r="AJ181" s="192"/>
      <c r="AK181" s="192"/>
      <c r="AL181" s="192"/>
      <c r="AM181" s="192"/>
      <c r="AN181" s="192"/>
      <c r="AO181" s="192"/>
      <c r="AP181" s="192"/>
      <c r="AQ181" s="192"/>
      <c r="AR181" s="192"/>
      <c r="AS181" s="192"/>
      <c r="AT181" s="192"/>
      <c r="AU181" s="192"/>
    </row>
    <row r="182" spans="1:47" ht="14.25" customHeight="1">
      <c r="A182" s="12"/>
      <c r="B182" s="12"/>
      <c r="C182" s="12"/>
      <c r="D182" s="12"/>
      <c r="E182" s="12"/>
      <c r="F182" s="98" t="s">
        <v>90</v>
      </c>
      <c r="G182" s="173">
        <v>8.5000000000000006E-2</v>
      </c>
      <c r="H182" s="109">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2"/>
      <c r="AF182" s="192"/>
      <c r="AG182" s="192"/>
      <c r="AH182" s="192"/>
      <c r="AI182" s="192"/>
      <c r="AJ182" s="192"/>
      <c r="AK182" s="192"/>
      <c r="AL182" s="192"/>
      <c r="AM182" s="192"/>
      <c r="AN182" s="192"/>
      <c r="AO182" s="192"/>
      <c r="AP182" s="192"/>
      <c r="AQ182" s="192"/>
      <c r="AR182" s="192"/>
      <c r="AS182" s="192"/>
      <c r="AT182" s="192"/>
      <c r="AU182" s="192"/>
    </row>
    <row r="183" spans="1:47">
      <c r="A183" s="12"/>
      <c r="B183" s="12"/>
      <c r="C183" s="12"/>
      <c r="D183" s="12"/>
      <c r="E183" s="12"/>
      <c r="F183" s="97" t="s">
        <v>91</v>
      </c>
      <c r="G183" s="196">
        <f>(1+G182)/(1+G179)-1</f>
        <v>5.5858310626702989E-2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2"/>
      <c r="AF183" s="192"/>
      <c r="AG183" s="192"/>
      <c r="AH183" s="192"/>
      <c r="AI183" s="192"/>
      <c r="AJ183" s="192"/>
      <c r="AK183" s="192"/>
      <c r="AL183" s="192"/>
      <c r="AM183" s="192"/>
      <c r="AN183" s="192"/>
      <c r="AO183" s="192"/>
      <c r="AP183" s="192"/>
      <c r="AQ183" s="192"/>
      <c r="AR183" s="192"/>
      <c r="AS183" s="192"/>
      <c r="AT183" s="192"/>
      <c r="AU183" s="192"/>
    </row>
    <row r="184" spans="1:47" ht="24" customHeight="1">
      <c r="A184" s="12"/>
      <c r="B184" s="12"/>
      <c r="C184" s="12"/>
      <c r="D184" s="12"/>
      <c r="E184" s="12"/>
      <c r="F184" s="163" t="s">
        <v>92</v>
      </c>
      <c r="G184" s="196">
        <f t="shared" ref="G184:L184" si="45">(1+G183)*(1+G177)-1</f>
        <v>8.6372615803814723E-2</v>
      </c>
      <c r="H184" s="41">
        <f t="shared" si="45"/>
        <v>0.10586886461178313</v>
      </c>
      <c r="I184" s="41">
        <f t="shared" si="45"/>
        <v>8.7139836129535686E-2</v>
      </c>
      <c r="J184" s="41">
        <f t="shared" si="45"/>
        <v>9.6985953960202709E-2</v>
      </c>
      <c r="K184" s="41">
        <f t="shared" si="45"/>
        <v>0.10158794381584091</v>
      </c>
      <c r="L184" s="41">
        <f t="shared" si="45"/>
        <v>8.4464260632072019E-2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2"/>
      <c r="AF184" s="192"/>
      <c r="AG184" s="192"/>
      <c r="AH184" s="192"/>
      <c r="AI184" s="192"/>
      <c r="AJ184" s="192"/>
      <c r="AK184" s="192"/>
      <c r="AL184" s="192"/>
      <c r="AM184" s="192"/>
      <c r="AN184" s="192"/>
      <c r="AO184" s="192"/>
      <c r="AP184" s="192"/>
      <c r="AQ184" s="192"/>
      <c r="AR184" s="192"/>
      <c r="AS184" s="192"/>
      <c r="AT184" s="192"/>
      <c r="AU184" s="192"/>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2"/>
      <c r="AF185" s="192"/>
      <c r="AG185" s="192"/>
      <c r="AH185" s="192"/>
      <c r="AI185" s="192"/>
      <c r="AJ185" s="192"/>
      <c r="AK185" s="192"/>
      <c r="AL185" s="192"/>
      <c r="AM185" s="192"/>
      <c r="AN185" s="192"/>
      <c r="AO185" s="192"/>
      <c r="AP185" s="192"/>
      <c r="AQ185" s="192"/>
      <c r="AR185" s="192"/>
      <c r="AS185" s="192"/>
      <c r="AT185" s="192"/>
      <c r="AU185" s="192"/>
    </row>
    <row r="186" spans="1:47" s="9" customFormat="1" ht="22.5" customHeight="1">
      <c r="A186" s="12"/>
      <c r="B186" s="12"/>
      <c r="C186" s="12"/>
      <c r="D186" s="12"/>
      <c r="E186" s="12"/>
      <c r="G186"/>
      <c r="H186" s="18"/>
      <c r="I186" s="20"/>
      <c r="N186"/>
      <c r="AA186" s="19"/>
      <c r="AE186" s="192"/>
      <c r="AF186" s="192"/>
      <c r="AG186" s="192"/>
      <c r="AH186" s="192"/>
      <c r="AI186" s="192"/>
      <c r="AJ186" s="192"/>
      <c r="AK186" s="192"/>
      <c r="AL186" s="192"/>
      <c r="AM186" s="192"/>
      <c r="AN186" s="192"/>
      <c r="AO186" s="192"/>
      <c r="AP186" s="192"/>
      <c r="AQ186" s="192"/>
      <c r="AR186" s="192"/>
      <c r="AS186" s="192"/>
      <c r="AT186" s="192"/>
      <c r="AU186" s="192"/>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2"/>
      <c r="AF187" s="192"/>
      <c r="AG187" s="192"/>
      <c r="AH187" s="192"/>
      <c r="AI187" s="192"/>
      <c r="AJ187" s="192"/>
      <c r="AK187" s="192"/>
      <c r="AL187" s="192"/>
      <c r="AM187" s="192"/>
      <c r="AN187" s="192"/>
      <c r="AO187" s="192"/>
      <c r="AP187" s="192"/>
      <c r="AQ187" s="192"/>
      <c r="AR187" s="192"/>
      <c r="AS187" s="192"/>
      <c r="AT187" s="192"/>
      <c r="AU187" s="192"/>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2"/>
      <c r="AF188" s="192"/>
      <c r="AG188" s="192"/>
      <c r="AH188" s="192"/>
      <c r="AI188" s="192"/>
      <c r="AJ188" s="192"/>
      <c r="AK188" s="192"/>
      <c r="AL188" s="192"/>
      <c r="AM188" s="192"/>
      <c r="AN188" s="192"/>
      <c r="AO188" s="192"/>
      <c r="AP188" s="192"/>
      <c r="AQ188" s="192"/>
      <c r="AR188" s="192"/>
      <c r="AS188" s="192"/>
      <c r="AT188" s="192"/>
      <c r="AU188" s="192"/>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2"/>
      <c r="AF189" s="192"/>
      <c r="AG189" s="192"/>
      <c r="AH189" s="192"/>
      <c r="AI189" s="192"/>
      <c r="AJ189" s="192"/>
      <c r="AK189" s="192"/>
      <c r="AL189" s="192"/>
      <c r="AM189" s="192"/>
      <c r="AN189" s="192"/>
      <c r="AO189" s="192"/>
      <c r="AP189" s="192"/>
      <c r="AQ189" s="192"/>
      <c r="AR189" s="192"/>
      <c r="AS189" s="192"/>
      <c r="AT189" s="192"/>
      <c r="AU189" s="192"/>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2"/>
      <c r="AF190" s="192"/>
      <c r="AG190" s="192"/>
      <c r="AH190" s="192"/>
      <c r="AI190" s="192"/>
      <c r="AJ190" s="192"/>
      <c r="AK190" s="192"/>
      <c r="AL190" s="192"/>
      <c r="AM190" s="192"/>
      <c r="AN190" s="192"/>
      <c r="AO190" s="192"/>
      <c r="AP190" s="192"/>
      <c r="AQ190" s="192"/>
      <c r="AR190" s="192"/>
      <c r="AS190" s="192"/>
      <c r="AT190" s="192"/>
      <c r="AU190" s="192"/>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2"/>
      <c r="AF191" s="192"/>
      <c r="AG191" s="192"/>
      <c r="AH191" s="192"/>
      <c r="AI191" s="192"/>
      <c r="AJ191" s="192"/>
      <c r="AK191" s="192"/>
      <c r="AL191" s="192"/>
      <c r="AM191" s="192"/>
      <c r="AN191" s="192"/>
      <c r="AO191" s="192"/>
      <c r="AP191" s="192"/>
      <c r="AQ191" s="192"/>
      <c r="AR191" s="192"/>
      <c r="AS191" s="192"/>
      <c r="AT191" s="192"/>
      <c r="AU191" s="192"/>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2"/>
      <c r="AF192" s="192"/>
      <c r="AG192" s="192"/>
      <c r="AH192" s="192"/>
      <c r="AI192" s="192"/>
      <c r="AJ192" s="192"/>
      <c r="AK192" s="192"/>
      <c r="AL192" s="192"/>
      <c r="AM192" s="192"/>
      <c r="AN192" s="192"/>
      <c r="AO192" s="192"/>
      <c r="AP192" s="192"/>
      <c r="AQ192" s="192"/>
      <c r="AR192" s="192"/>
      <c r="AS192" s="192"/>
      <c r="AT192" s="192"/>
      <c r="AU192" s="192"/>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2"/>
      <c r="AF193" s="192"/>
      <c r="AG193" s="192"/>
      <c r="AH193" s="192"/>
      <c r="AI193" s="192"/>
      <c r="AJ193" s="192"/>
      <c r="AK193" s="192"/>
      <c r="AL193" s="192"/>
      <c r="AM193" s="192"/>
      <c r="AN193" s="192"/>
      <c r="AO193" s="192"/>
      <c r="AP193" s="192"/>
      <c r="AQ193" s="192"/>
      <c r="AR193" s="192"/>
      <c r="AS193" s="192"/>
      <c r="AT193" s="192"/>
      <c r="AU193" s="192"/>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2"/>
      <c r="AF194" s="192"/>
      <c r="AG194" s="192"/>
      <c r="AH194" s="192"/>
      <c r="AI194" s="192"/>
      <c r="AJ194" s="192"/>
      <c r="AK194" s="192"/>
      <c r="AL194" s="192"/>
      <c r="AM194" s="192"/>
      <c r="AN194" s="192"/>
      <c r="AO194" s="192"/>
      <c r="AP194" s="192"/>
      <c r="AQ194" s="192"/>
      <c r="AR194" s="192"/>
      <c r="AS194" s="192"/>
      <c r="AT194" s="192"/>
      <c r="AU194" s="192"/>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2"/>
      <c r="AF195" s="192"/>
      <c r="AG195" s="192"/>
      <c r="AH195" s="192"/>
      <c r="AI195" s="192"/>
      <c r="AJ195" s="192"/>
      <c r="AK195" s="192"/>
      <c r="AL195" s="192"/>
      <c r="AM195" s="192"/>
      <c r="AN195" s="192"/>
      <c r="AO195" s="192"/>
      <c r="AP195" s="192"/>
      <c r="AQ195" s="192"/>
      <c r="AR195" s="192"/>
      <c r="AS195" s="192"/>
      <c r="AT195" s="192"/>
      <c r="AU195" s="192"/>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2"/>
      <c r="AF196" s="192"/>
      <c r="AG196" s="192"/>
      <c r="AH196" s="192"/>
      <c r="AI196" s="192"/>
      <c r="AJ196" s="192"/>
      <c r="AK196" s="192"/>
      <c r="AL196" s="192"/>
      <c r="AM196" s="192"/>
      <c r="AN196" s="192"/>
      <c r="AO196" s="192"/>
      <c r="AP196" s="192"/>
      <c r="AQ196" s="192"/>
      <c r="AR196" s="192"/>
      <c r="AS196" s="192"/>
      <c r="AT196" s="192"/>
      <c r="AU196" s="192"/>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2"/>
      <c r="AF197" s="192"/>
      <c r="AG197" s="192"/>
      <c r="AH197" s="192"/>
      <c r="AI197" s="192"/>
      <c r="AJ197" s="192"/>
      <c r="AK197" s="192"/>
      <c r="AL197" s="192"/>
      <c r="AM197" s="192"/>
      <c r="AN197" s="192"/>
      <c r="AO197" s="192"/>
      <c r="AP197" s="192"/>
      <c r="AQ197" s="192"/>
      <c r="AR197" s="192"/>
      <c r="AS197" s="192"/>
      <c r="AT197" s="192"/>
      <c r="AU197" s="192"/>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2"/>
      <c r="AF198" s="192"/>
      <c r="AG198" s="192"/>
      <c r="AH198" s="192"/>
      <c r="AI198" s="192"/>
      <c r="AJ198" s="192"/>
      <c r="AK198" s="192"/>
      <c r="AL198" s="192"/>
      <c r="AM198" s="192"/>
      <c r="AN198" s="192"/>
      <c r="AO198" s="192"/>
      <c r="AP198" s="192"/>
      <c r="AQ198" s="192"/>
      <c r="AR198" s="192"/>
      <c r="AS198" s="192"/>
      <c r="AT198" s="192"/>
      <c r="AU198" s="192"/>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2"/>
      <c r="AF199" s="192"/>
      <c r="AG199" s="192"/>
      <c r="AH199" s="192"/>
      <c r="AI199" s="192"/>
      <c r="AJ199" s="192"/>
      <c r="AK199" s="192"/>
      <c r="AL199" s="192"/>
      <c r="AM199" s="192"/>
      <c r="AN199" s="192"/>
      <c r="AO199" s="192"/>
      <c r="AP199" s="192"/>
      <c r="AQ199" s="192"/>
      <c r="AR199" s="192"/>
      <c r="AS199" s="192"/>
      <c r="AT199" s="192"/>
      <c r="AU199" s="192"/>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2"/>
      <c r="AF200" s="192"/>
      <c r="AG200" s="192"/>
      <c r="AH200" s="192"/>
      <c r="AI200" s="192"/>
      <c r="AJ200" s="192"/>
      <c r="AK200" s="192"/>
      <c r="AL200" s="192"/>
      <c r="AM200" s="192"/>
      <c r="AN200" s="192"/>
      <c r="AO200" s="192"/>
      <c r="AP200" s="192"/>
      <c r="AQ200" s="192"/>
      <c r="AR200" s="192"/>
      <c r="AS200" s="192"/>
      <c r="AT200" s="192"/>
      <c r="AU200" s="192"/>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2"/>
      <c r="AF201" s="192"/>
      <c r="AG201" s="192"/>
      <c r="AH201" s="192"/>
      <c r="AI201" s="192"/>
      <c r="AJ201" s="192"/>
      <c r="AK201" s="192"/>
      <c r="AL201" s="192"/>
      <c r="AM201" s="192"/>
      <c r="AN201" s="192"/>
      <c r="AO201" s="192"/>
      <c r="AP201" s="192"/>
      <c r="AQ201" s="192"/>
      <c r="AR201" s="192"/>
      <c r="AS201" s="192"/>
      <c r="AT201" s="192"/>
      <c r="AU201" s="192"/>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2"/>
      <c r="AF202" s="192"/>
      <c r="AG202" s="192"/>
      <c r="AH202" s="192"/>
      <c r="AI202" s="192"/>
      <c r="AJ202" s="192"/>
      <c r="AK202" s="192"/>
      <c r="AL202" s="192"/>
      <c r="AM202" s="192"/>
      <c r="AN202" s="192"/>
      <c r="AO202" s="192"/>
      <c r="AP202" s="192"/>
      <c r="AQ202" s="192"/>
      <c r="AR202" s="192"/>
      <c r="AS202" s="192"/>
      <c r="AT202" s="192"/>
      <c r="AU202" s="192"/>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2"/>
      <c r="AF203" s="192"/>
      <c r="AG203" s="192"/>
      <c r="AH203" s="192"/>
      <c r="AI203" s="192"/>
      <c r="AJ203" s="192"/>
      <c r="AK203" s="192"/>
      <c r="AL203" s="192"/>
      <c r="AM203" s="192"/>
      <c r="AN203" s="192"/>
      <c r="AO203" s="192"/>
      <c r="AP203" s="192"/>
      <c r="AQ203" s="192"/>
      <c r="AR203" s="192"/>
      <c r="AS203" s="192"/>
      <c r="AT203" s="192"/>
      <c r="AU203" s="192"/>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2"/>
      <c r="AF204" s="192"/>
      <c r="AG204" s="192"/>
      <c r="AH204" s="192"/>
      <c r="AI204" s="192"/>
      <c r="AJ204" s="192"/>
      <c r="AK204" s="192"/>
      <c r="AL204" s="192"/>
      <c r="AM204" s="192"/>
      <c r="AN204" s="192"/>
      <c r="AO204" s="192"/>
      <c r="AP204" s="192"/>
      <c r="AQ204" s="192"/>
      <c r="AR204" s="192"/>
      <c r="AS204" s="192"/>
      <c r="AT204" s="192"/>
      <c r="AU204" s="192"/>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 ref="G27:I27"/>
    <mergeCell ref="G28:I28"/>
    <mergeCell ref="G29:I29"/>
    <mergeCell ref="G30:I30"/>
    <mergeCell ref="G11:I11"/>
    <mergeCell ref="G7:I7"/>
    <mergeCell ref="G8:I8"/>
    <mergeCell ref="G9:I9"/>
    <mergeCell ref="G10:I10"/>
    <mergeCell ref="G18:I18"/>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K25 L7:L36 K35:K36">
      <formula1>AND(K7&lt;&gt;"",OR(K7="n/a",AND(K7&gt;=0,K7&lt;=100)))</formula1>
    </dataValidation>
  </dataValidations>
  <printOptions horizontalCentered="1" verticalCentered="1"/>
  <pageMargins left="0.74803149606299213" right="0.74803149606299213" top="0.98425196850393704" bottom="0.98425196850393704" header="0.51181102362204722" footer="0.51181102362204722"/>
  <pageSetup paperSize="8" scale="56" fitToHeight="4" orientation="landscape" horizontalDpi="4294967292" r:id="rId1"/>
  <headerFooter alignWithMargins="0">
    <oddHeader>&amp;C&amp;"Arial,Bold"&amp;12Standard Control RFM Data Input&amp;R&amp;"Arial,Bold"&amp;12&amp;D  &amp;T</oddHeader>
    <oddFooter>&amp;R&amp;Z&amp;F&amp;A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F6" sqref="F6"/>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26"/>
      <c r="BK1" s="226"/>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31"/>
      <c r="BK3" s="231"/>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26"/>
      <c r="BK4" s="226"/>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26"/>
      <c r="BK5" s="226"/>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1">
        <v>2.47E-2</v>
      </c>
      <c r="G6" s="196">
        <f>Input!G177</f>
        <v>2.8899999999999999E-2</v>
      </c>
      <c r="H6" s="20"/>
      <c r="I6" s="20"/>
      <c r="J6" s="20"/>
      <c r="K6" s="20"/>
      <c r="L6" s="20"/>
      <c r="M6" s="20"/>
      <c r="N6" s="20"/>
      <c r="O6" s="20"/>
      <c r="P6" s="20"/>
      <c r="Q6" s="20"/>
      <c r="R6" s="41"/>
      <c r="S6" s="52"/>
      <c r="T6" s="41"/>
      <c r="U6" s="41"/>
      <c r="V6" s="41"/>
      <c r="W6" s="41"/>
      <c r="X6" s="41"/>
      <c r="Y6" s="41"/>
      <c r="Z6" s="41"/>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26"/>
      <c r="BK6" s="226"/>
    </row>
    <row r="7" spans="1:256">
      <c r="A7" s="9"/>
      <c r="B7" s="97" t="s">
        <v>86</v>
      </c>
      <c r="C7" s="9"/>
      <c r="D7" s="9"/>
      <c r="E7" s="9"/>
      <c r="F7" s="9"/>
      <c r="G7" s="196"/>
      <c r="H7" s="242">
        <f>vanilla1</f>
        <v>0.10586886461178313</v>
      </c>
      <c r="I7" s="96">
        <f>vanilla2</f>
        <v>8.7139836129535686E-2</v>
      </c>
      <c r="J7" s="96">
        <f>vanilla3</f>
        <v>9.6985953960202709E-2</v>
      </c>
      <c r="K7" s="96">
        <f>vanilla4</f>
        <v>0.10158794381584091</v>
      </c>
      <c r="L7" s="96">
        <f>vanilla5</f>
        <v>8.4464260632072019E-2</v>
      </c>
      <c r="M7" s="96">
        <f>vanilla6</f>
        <v>0</v>
      </c>
      <c r="N7" s="96">
        <f>vanilla7</f>
        <v>0</v>
      </c>
      <c r="O7" s="96">
        <f>vanilla8</f>
        <v>0</v>
      </c>
      <c r="P7" s="96">
        <f>vanilla9</f>
        <v>0</v>
      </c>
      <c r="Q7" s="96">
        <f>vanilla10</f>
        <v>0</v>
      </c>
      <c r="R7" s="96"/>
      <c r="S7" s="52"/>
      <c r="T7" s="142"/>
      <c r="U7" s="142"/>
      <c r="V7" s="142"/>
      <c r="W7" s="142"/>
      <c r="X7" s="142"/>
      <c r="Y7" s="142"/>
      <c r="Z7" s="14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26"/>
      <c r="BK7" s="226"/>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26"/>
      <c r="BK8" s="226"/>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26"/>
      <c r="BK9" s="226"/>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26"/>
      <c r="BK10" s="226"/>
    </row>
    <row r="11" spans="1:256">
      <c r="A11" s="9"/>
      <c r="B11" s="46" t="s">
        <v>82</v>
      </c>
      <c r="C11" s="9"/>
      <c r="D11" s="9"/>
      <c r="E11" s="9"/>
      <c r="F11" s="9"/>
      <c r="G11" s="197">
        <f>SUM(G12:G41)</f>
        <v>819.46485599999994</v>
      </c>
      <c r="H11" s="147"/>
      <c r="I11" s="147"/>
      <c r="J11" s="147"/>
      <c r="K11" s="147"/>
      <c r="L11" s="147"/>
      <c r="M11" s="141"/>
      <c r="N11" s="141"/>
      <c r="O11" s="141"/>
      <c r="P11" s="141"/>
      <c r="Q11" s="141"/>
      <c r="R11" s="142"/>
      <c r="S11" s="12"/>
      <c r="T11" s="142"/>
      <c r="U11" s="142"/>
      <c r="V11" s="142"/>
      <c r="W11" s="142"/>
      <c r="X11" s="142"/>
      <c r="Y11" s="142"/>
      <c r="Z11" s="14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26"/>
      <c r="BK11" s="226"/>
    </row>
    <row r="12" spans="1:256" ht="12.75" hidden="1" customHeight="1" outlineLevel="1">
      <c r="A12" s="9"/>
      <c r="B12" s="9"/>
      <c r="C12" s="132" t="str">
        <f>Asset1</f>
        <v>Overhead Sub-Transmission Lines</v>
      </c>
      <c r="D12" s="9"/>
      <c r="E12" s="9"/>
      <c r="F12" s="9"/>
      <c r="G12" s="198">
        <f>Input!M7</f>
        <v>62.312050999999997</v>
      </c>
      <c r="H12" s="147"/>
      <c r="I12" s="147"/>
      <c r="J12" s="147"/>
      <c r="K12" s="147"/>
      <c r="L12" s="147"/>
      <c r="M12" s="141"/>
      <c r="N12" s="141"/>
      <c r="O12" s="141"/>
      <c r="P12" s="141"/>
      <c r="Q12" s="141"/>
      <c r="R12" s="142"/>
      <c r="S12" s="52"/>
      <c r="T12" s="142"/>
      <c r="U12" s="142"/>
      <c r="V12" s="142"/>
      <c r="W12" s="142"/>
      <c r="X12" s="142"/>
      <c r="Y12" s="142"/>
      <c r="Z12" s="14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26"/>
      <c r="BK12" s="226"/>
    </row>
    <row r="13" spans="1:256" ht="12.75" hidden="1" customHeight="1" outlineLevel="1">
      <c r="A13" s="9"/>
      <c r="B13" s="46"/>
      <c r="C13" s="132" t="str">
        <f>Asset2</f>
        <v>Underground Sub-Transmission Cables</v>
      </c>
      <c r="D13" s="9"/>
      <c r="E13" s="9"/>
      <c r="F13" s="144"/>
      <c r="G13" s="198">
        <f>Input!M8</f>
        <v>15.132374</v>
      </c>
      <c r="H13" s="147"/>
      <c r="I13" s="147"/>
      <c r="J13" s="147"/>
      <c r="K13" s="147"/>
      <c r="L13" s="147"/>
      <c r="M13" s="141"/>
      <c r="N13" s="141"/>
      <c r="O13" s="141"/>
      <c r="P13" s="141"/>
      <c r="Q13" s="141"/>
      <c r="R13" s="142"/>
      <c r="S13" s="52"/>
      <c r="T13" s="142"/>
      <c r="U13" s="142"/>
      <c r="V13" s="142"/>
      <c r="W13" s="142"/>
      <c r="X13" s="142"/>
      <c r="Y13" s="142"/>
      <c r="Z13" s="14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26"/>
      <c r="BK13" s="226"/>
    </row>
    <row r="14" spans="1:256" ht="12.75" hidden="1" customHeight="1" outlineLevel="1">
      <c r="A14" s="9"/>
      <c r="B14" s="46"/>
      <c r="C14" s="132" t="str">
        <f>Asset3</f>
        <v>Overhead Distribution Lines</v>
      </c>
      <c r="D14" s="9"/>
      <c r="E14" s="9"/>
      <c r="F14" s="144"/>
      <c r="G14" s="198">
        <f>Input!M9</f>
        <v>136.92748700000001</v>
      </c>
      <c r="H14" s="147"/>
      <c r="I14" s="147"/>
      <c r="J14" s="147"/>
      <c r="K14" s="147"/>
      <c r="L14" s="147"/>
      <c r="M14" s="141"/>
      <c r="N14" s="141"/>
      <c r="O14" s="141"/>
      <c r="P14" s="141"/>
      <c r="Q14" s="141"/>
      <c r="R14" s="142"/>
      <c r="S14" s="12"/>
      <c r="T14" s="142"/>
      <c r="U14" s="142"/>
      <c r="V14" s="142"/>
      <c r="W14" s="142"/>
      <c r="X14" s="142"/>
      <c r="Y14" s="142"/>
      <c r="Z14" s="14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26"/>
      <c r="BK14" s="226"/>
    </row>
    <row r="15" spans="1:256" ht="12.75" hidden="1" customHeight="1" outlineLevel="1">
      <c r="A15" s="9"/>
      <c r="B15" s="46"/>
      <c r="C15" s="132" t="str">
        <f>Asset4</f>
        <v>Underground Distribution Cables</v>
      </c>
      <c r="D15" s="9"/>
      <c r="E15" s="9"/>
      <c r="F15" s="144"/>
      <c r="G15" s="198">
        <f>Input!M10</f>
        <v>102.627076</v>
      </c>
      <c r="H15" s="147"/>
      <c r="I15" s="147"/>
      <c r="J15" s="147"/>
      <c r="K15" s="147"/>
      <c r="L15" s="147"/>
      <c r="M15" s="141"/>
      <c r="N15" s="141"/>
      <c r="O15" s="141"/>
      <c r="P15" s="141"/>
      <c r="Q15" s="141"/>
      <c r="R15" s="142"/>
      <c r="S15" s="52"/>
      <c r="T15" s="142"/>
      <c r="U15" s="142"/>
      <c r="V15" s="142"/>
      <c r="W15" s="142"/>
      <c r="X15" s="142"/>
      <c r="Y15" s="142"/>
      <c r="Z15" s="14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26"/>
      <c r="BK15" s="226"/>
    </row>
    <row r="16" spans="1:256" ht="12.75" hidden="1" customHeight="1" outlineLevel="1">
      <c r="A16" s="9"/>
      <c r="B16" s="46"/>
      <c r="C16" s="132" t="str">
        <f>Asset5</f>
        <v xml:space="preserve">Distribution Equipment  </v>
      </c>
      <c r="D16" s="9"/>
      <c r="E16" s="9"/>
      <c r="F16" s="175"/>
      <c r="G16" s="198">
        <f>Input!M11</f>
        <v>17.737895000000002</v>
      </c>
      <c r="H16" s="147"/>
      <c r="I16" s="147"/>
      <c r="J16" s="147"/>
      <c r="K16" s="147"/>
      <c r="L16" s="147"/>
      <c r="M16" s="141"/>
      <c r="N16" s="141"/>
      <c r="O16" s="141"/>
      <c r="P16" s="141"/>
      <c r="Q16" s="141"/>
      <c r="R16" s="142"/>
      <c r="S16" s="52"/>
      <c r="T16" s="142"/>
      <c r="U16" s="142"/>
      <c r="V16" s="142"/>
      <c r="W16" s="142"/>
      <c r="X16" s="142"/>
      <c r="Y16" s="142"/>
      <c r="Z16" s="14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26"/>
      <c r="BK16" s="226"/>
    </row>
    <row r="17" spans="1:63" ht="12.75" hidden="1" customHeight="1" outlineLevel="1">
      <c r="A17" s="9"/>
      <c r="B17" s="46"/>
      <c r="C17" s="132" t="str">
        <f>Asset6</f>
        <v>Substation Bays</v>
      </c>
      <c r="D17" s="9"/>
      <c r="E17" s="9"/>
      <c r="F17" s="144"/>
      <c r="G17" s="198">
        <f>Input!M12</f>
        <v>99.001000000000005</v>
      </c>
      <c r="H17" s="147"/>
      <c r="I17" s="147"/>
      <c r="J17" s="147"/>
      <c r="K17" s="147"/>
      <c r="L17" s="147"/>
      <c r="M17" s="141"/>
      <c r="N17" s="141"/>
      <c r="O17" s="141"/>
      <c r="P17" s="141"/>
      <c r="Q17" s="141"/>
      <c r="R17" s="142"/>
      <c r="S17" s="12"/>
      <c r="T17" s="142"/>
      <c r="U17" s="142"/>
      <c r="V17" s="142"/>
      <c r="W17" s="142"/>
      <c r="X17" s="142"/>
      <c r="Y17" s="142"/>
      <c r="Z17" s="14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26"/>
      <c r="BK17" s="226"/>
    </row>
    <row r="18" spans="1:63" ht="12.75" hidden="1" customHeight="1" outlineLevel="1">
      <c r="A18" s="9"/>
      <c r="B18" s="46"/>
      <c r="C18" s="132" t="str">
        <f>Asset7</f>
        <v>Substation Establishment</v>
      </c>
      <c r="D18" s="9"/>
      <c r="E18" s="9"/>
      <c r="F18" s="144"/>
      <c r="G18" s="198">
        <f>Input!M13</f>
        <v>29.065453000000002</v>
      </c>
      <c r="H18" s="147"/>
      <c r="I18" s="147"/>
      <c r="J18" s="147"/>
      <c r="K18" s="147"/>
      <c r="L18" s="147"/>
      <c r="M18" s="141"/>
      <c r="N18" s="141"/>
      <c r="O18" s="141"/>
      <c r="P18" s="141"/>
      <c r="Q18" s="141"/>
      <c r="R18" s="142"/>
      <c r="S18" s="52"/>
      <c r="T18" s="142"/>
      <c r="U18" s="142"/>
      <c r="V18" s="142"/>
      <c r="W18" s="142"/>
      <c r="X18" s="142"/>
      <c r="Y18" s="142"/>
      <c r="Z18" s="14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26"/>
      <c r="BK18" s="226"/>
    </row>
    <row r="19" spans="1:63" ht="12.75" hidden="1" customHeight="1" outlineLevel="1">
      <c r="A19" s="9"/>
      <c r="B19" s="46"/>
      <c r="C19" s="132" t="str">
        <f>Asset8</f>
        <v>Distribution Substation Switchgear</v>
      </c>
      <c r="D19" s="9"/>
      <c r="E19" s="9"/>
      <c r="F19" s="144"/>
      <c r="G19" s="198">
        <f>Input!M14</f>
        <v>6.8010479999999998</v>
      </c>
      <c r="H19" s="147"/>
      <c r="I19" s="147"/>
      <c r="J19" s="147"/>
      <c r="K19" s="147"/>
      <c r="L19" s="147"/>
      <c r="M19" s="141"/>
      <c r="N19" s="141"/>
      <c r="O19" s="141"/>
      <c r="P19" s="141"/>
      <c r="Q19" s="141"/>
      <c r="R19" s="142"/>
      <c r="S19" s="52"/>
      <c r="T19" s="142"/>
      <c r="U19" s="142"/>
      <c r="V19" s="142"/>
      <c r="W19" s="142"/>
      <c r="X19" s="142"/>
      <c r="Y19" s="142"/>
      <c r="Z19" s="14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26"/>
      <c r="BK19" s="226"/>
    </row>
    <row r="20" spans="1:63" ht="12.75" hidden="1" customHeight="1" outlineLevel="1">
      <c r="A20" s="9"/>
      <c r="B20" s="46"/>
      <c r="C20" s="132" t="str">
        <f>Asset9</f>
        <v>Zone Transformers</v>
      </c>
      <c r="D20" s="9"/>
      <c r="E20" s="9"/>
      <c r="F20" s="144"/>
      <c r="G20" s="198">
        <f>Input!M15</f>
        <v>24.550484000000001</v>
      </c>
      <c r="H20" s="147"/>
      <c r="I20" s="147"/>
      <c r="J20" s="147"/>
      <c r="K20" s="147"/>
      <c r="L20" s="147"/>
      <c r="M20" s="141"/>
      <c r="N20" s="141"/>
      <c r="O20" s="141"/>
      <c r="P20" s="141"/>
      <c r="Q20" s="141"/>
      <c r="R20" s="142"/>
      <c r="S20" s="12"/>
      <c r="T20" s="142"/>
      <c r="U20" s="142"/>
      <c r="V20" s="142"/>
      <c r="W20" s="142"/>
      <c r="X20" s="142"/>
      <c r="Y20" s="142"/>
      <c r="Z20" s="14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26"/>
      <c r="BK20" s="226"/>
    </row>
    <row r="21" spans="1:63" ht="12.75" hidden="1" customHeight="1" outlineLevel="1">
      <c r="A21" s="9"/>
      <c r="B21" s="46"/>
      <c r="C21" s="132" t="str">
        <f>Asset10</f>
        <v>Distribution Transformers</v>
      </c>
      <c r="D21" s="9"/>
      <c r="E21" s="9"/>
      <c r="F21" s="144"/>
      <c r="G21" s="198">
        <f>Input!M16</f>
        <v>98.858818999999997</v>
      </c>
      <c r="H21" s="147"/>
      <c r="I21" s="147"/>
      <c r="J21" s="147"/>
      <c r="K21" s="147"/>
      <c r="L21" s="147"/>
      <c r="M21" s="141"/>
      <c r="N21" s="141"/>
      <c r="O21" s="141"/>
      <c r="P21" s="141"/>
      <c r="Q21" s="141"/>
      <c r="R21" s="142"/>
      <c r="S21" s="52"/>
      <c r="T21" s="142"/>
      <c r="U21" s="142"/>
      <c r="V21" s="142"/>
      <c r="W21" s="142"/>
      <c r="X21" s="142"/>
      <c r="Y21" s="142"/>
      <c r="Z21" s="14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26"/>
      <c r="BK21" s="226"/>
    </row>
    <row r="22" spans="1:63" ht="12.75" hidden="1" customHeight="1" outlineLevel="1">
      <c r="A22" s="9"/>
      <c r="B22" s="46"/>
      <c r="C22" s="132" t="str">
        <f>Asset11</f>
        <v>Low Voltage Services</v>
      </c>
      <c r="D22" s="9"/>
      <c r="E22" s="9"/>
      <c r="F22" s="144"/>
      <c r="G22" s="198">
        <f>Input!M17</f>
        <v>10.628287</v>
      </c>
      <c r="H22" s="147"/>
      <c r="I22" s="147"/>
      <c r="J22" s="147"/>
      <c r="K22" s="147"/>
      <c r="L22" s="147"/>
      <c r="M22" s="141"/>
      <c r="N22" s="141"/>
      <c r="O22" s="141"/>
      <c r="P22" s="141"/>
      <c r="Q22" s="141"/>
      <c r="R22" s="142"/>
      <c r="S22" s="52"/>
      <c r="T22" s="142"/>
      <c r="U22" s="142"/>
      <c r="V22" s="142"/>
      <c r="W22" s="142"/>
      <c r="X22" s="142"/>
      <c r="Y22" s="142"/>
      <c r="Z22" s="14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26"/>
      <c r="BK22" s="226"/>
    </row>
    <row r="23" spans="1:63" ht="12.75" hidden="1" customHeight="1" outlineLevel="1">
      <c r="A23" s="9"/>
      <c r="B23" s="46"/>
      <c r="C23" s="132" t="str">
        <f>Asset12</f>
        <v>Metering</v>
      </c>
      <c r="D23" s="9"/>
      <c r="E23" s="9"/>
      <c r="F23" s="144"/>
      <c r="G23" s="198">
        <f>Input!M18</f>
        <v>13.107884</v>
      </c>
      <c r="H23" s="147"/>
      <c r="I23" s="147"/>
      <c r="J23" s="147"/>
      <c r="K23" s="147"/>
      <c r="L23" s="147"/>
      <c r="M23" s="141"/>
      <c r="N23" s="141"/>
      <c r="O23" s="141"/>
      <c r="P23" s="141"/>
      <c r="Q23" s="141"/>
      <c r="R23" s="142"/>
      <c r="S23" s="12"/>
      <c r="T23" s="142"/>
      <c r="U23" s="142"/>
      <c r="V23" s="142"/>
      <c r="W23" s="142"/>
      <c r="X23" s="142"/>
      <c r="Y23" s="142"/>
      <c r="Z23" s="14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26"/>
      <c r="BK23" s="226"/>
    </row>
    <row r="24" spans="1:63" ht="12.75" hidden="1" customHeight="1" outlineLevel="1">
      <c r="A24" s="9"/>
      <c r="B24" s="46"/>
      <c r="C24" s="132" t="str">
        <f>Asset13</f>
        <v xml:space="preserve">Communications – Pilot Wires </v>
      </c>
      <c r="D24" s="9"/>
      <c r="E24" s="9"/>
      <c r="F24" s="144"/>
      <c r="G24" s="198">
        <f>Input!M19</f>
        <v>38.635668000000003</v>
      </c>
      <c r="H24" s="147"/>
      <c r="I24" s="147"/>
      <c r="J24" s="147"/>
      <c r="K24" s="147"/>
      <c r="L24" s="147"/>
      <c r="M24" s="141"/>
      <c r="N24" s="141"/>
      <c r="O24" s="141"/>
      <c r="P24" s="141"/>
      <c r="Q24" s="141"/>
      <c r="R24" s="142"/>
      <c r="S24" s="52"/>
      <c r="T24" s="142"/>
      <c r="U24" s="142"/>
      <c r="V24" s="142"/>
      <c r="W24" s="142"/>
      <c r="X24" s="142"/>
      <c r="Y24" s="142"/>
      <c r="Z24" s="14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26"/>
      <c r="BK24" s="226"/>
    </row>
    <row r="25" spans="1:63" ht="12.75" hidden="1" customHeight="1" outlineLevel="1">
      <c r="A25" s="9"/>
      <c r="B25" s="46"/>
      <c r="C25" s="132" t="str">
        <f>Asset14</f>
        <v>Generation Assets</v>
      </c>
      <c r="D25" s="9"/>
      <c r="E25" s="9"/>
      <c r="F25" s="144"/>
      <c r="G25" s="198">
        <f>Input!M20</f>
        <v>6.9191000000000003E-2</v>
      </c>
      <c r="H25" s="147"/>
      <c r="I25" s="147"/>
      <c r="J25" s="147"/>
      <c r="K25" s="147"/>
      <c r="L25" s="147"/>
      <c r="M25" s="141"/>
      <c r="N25" s="141"/>
      <c r="O25" s="141"/>
      <c r="P25" s="141"/>
      <c r="Q25" s="141"/>
      <c r="R25" s="142"/>
      <c r="S25" s="52"/>
      <c r="T25" s="142"/>
      <c r="U25" s="142"/>
      <c r="V25" s="142"/>
      <c r="W25" s="142"/>
      <c r="X25" s="142"/>
      <c r="Y25" s="142"/>
      <c r="Z25" s="14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26"/>
      <c r="BK25" s="226"/>
    </row>
    <row r="26" spans="1:63" ht="12.75" hidden="1" customHeight="1" outlineLevel="1">
      <c r="A26" s="9"/>
      <c r="B26" s="46"/>
      <c r="C26" s="132" t="str">
        <f>Asset15</f>
        <v>Street Lighting</v>
      </c>
      <c r="D26" s="9"/>
      <c r="E26" s="9"/>
      <c r="F26" s="144"/>
      <c r="G26" s="198">
        <f>Input!M21</f>
        <v>0</v>
      </c>
      <c r="H26" s="147"/>
      <c r="I26" s="147"/>
      <c r="J26" s="147"/>
      <c r="K26" s="147"/>
      <c r="L26" s="147"/>
      <c r="M26" s="141"/>
      <c r="N26" s="141"/>
      <c r="O26" s="141"/>
      <c r="P26" s="141"/>
      <c r="Q26" s="141"/>
      <c r="R26" s="142"/>
      <c r="S26" s="12"/>
      <c r="T26" s="142"/>
      <c r="U26" s="142"/>
      <c r="V26" s="142"/>
      <c r="W26" s="142"/>
      <c r="X26" s="142"/>
      <c r="Y26" s="142"/>
      <c r="Z26" s="14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26"/>
      <c r="BK26" s="226"/>
    </row>
    <row r="27" spans="1:63" ht="12.75" hidden="1" customHeight="1" outlineLevel="1">
      <c r="A27" s="9"/>
      <c r="B27" s="46"/>
      <c r="C27" s="132" t="str">
        <f>Asset16</f>
        <v>Other Equipment</v>
      </c>
      <c r="D27" s="9"/>
      <c r="E27" s="9"/>
      <c r="F27" s="144"/>
      <c r="G27" s="198">
        <f>Input!M22</f>
        <v>0.14513599999999999</v>
      </c>
      <c r="H27" s="147"/>
      <c r="I27" s="147"/>
      <c r="J27" s="147"/>
      <c r="K27" s="147"/>
      <c r="L27" s="147"/>
      <c r="M27" s="141"/>
      <c r="N27" s="141"/>
      <c r="O27" s="141"/>
      <c r="P27" s="141"/>
      <c r="Q27" s="141"/>
      <c r="R27" s="142"/>
      <c r="S27" s="52"/>
      <c r="T27" s="142"/>
      <c r="U27" s="142"/>
      <c r="V27" s="142"/>
      <c r="W27" s="142"/>
      <c r="X27" s="142"/>
      <c r="Y27" s="142"/>
      <c r="Z27" s="14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26"/>
      <c r="BK27" s="226"/>
    </row>
    <row r="28" spans="1:63" ht="12.75" hidden="1" customHeight="1" outlineLevel="1">
      <c r="A28" s="9"/>
      <c r="B28" s="46"/>
      <c r="C28" s="132" t="str">
        <f>Asset17</f>
        <v>Control Centre - SCADA</v>
      </c>
      <c r="D28" s="9"/>
      <c r="E28" s="9"/>
      <c r="F28" s="144"/>
      <c r="G28" s="198">
        <f>Input!M23</f>
        <v>10.50159</v>
      </c>
      <c r="H28" s="147"/>
      <c r="I28" s="147"/>
      <c r="J28" s="147"/>
      <c r="K28" s="147"/>
      <c r="L28" s="147"/>
      <c r="M28" s="141"/>
      <c r="N28" s="141"/>
      <c r="O28" s="141"/>
      <c r="P28" s="141"/>
      <c r="Q28" s="141"/>
      <c r="R28" s="142"/>
      <c r="S28" s="52"/>
      <c r="T28" s="142"/>
      <c r="U28" s="142"/>
      <c r="V28" s="142"/>
      <c r="W28" s="142"/>
      <c r="X28" s="142"/>
      <c r="Y28" s="142"/>
      <c r="Z28" s="14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26"/>
      <c r="BK28" s="226"/>
    </row>
    <row r="29" spans="1:63" ht="12.75" hidden="1" customHeight="1" outlineLevel="1">
      <c r="A29" s="9"/>
      <c r="B29" s="46"/>
      <c r="C29" s="132" t="str">
        <f>Asset18</f>
        <v>Land &amp; Easements (System)</v>
      </c>
      <c r="D29" s="9"/>
      <c r="E29" s="9"/>
      <c r="F29" s="144"/>
      <c r="G29" s="198">
        <f>Input!M24</f>
        <v>17.834067000000001</v>
      </c>
      <c r="H29" s="147"/>
      <c r="I29" s="147"/>
      <c r="J29" s="147"/>
      <c r="K29" s="147"/>
      <c r="L29" s="147"/>
      <c r="M29" s="141"/>
      <c r="N29" s="141"/>
      <c r="O29" s="141"/>
      <c r="P29" s="141"/>
      <c r="Q29" s="141"/>
      <c r="R29" s="142"/>
      <c r="S29" s="12"/>
      <c r="T29" s="142"/>
      <c r="U29" s="142"/>
      <c r="V29" s="142"/>
      <c r="W29" s="142"/>
      <c r="X29" s="142"/>
      <c r="Y29" s="142"/>
      <c r="Z29" s="14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26"/>
      <c r="BK29" s="226"/>
    </row>
    <row r="30" spans="1:63" ht="12.75" hidden="1" customHeight="1" outlineLevel="1">
      <c r="A30" s="9"/>
      <c r="B30" s="46"/>
      <c r="C30" s="132" t="str">
        <f>Asset19</f>
        <v>Metering Type 5-6</v>
      </c>
      <c r="D30" s="9"/>
      <c r="E30" s="9"/>
      <c r="F30" s="144"/>
      <c r="G30" s="198">
        <f>Input!M25</f>
        <v>0</v>
      </c>
      <c r="H30" s="147"/>
      <c r="I30" s="147"/>
      <c r="J30" s="147"/>
      <c r="K30" s="147"/>
      <c r="L30" s="147"/>
      <c r="M30" s="141"/>
      <c r="N30" s="141"/>
      <c r="O30" s="141"/>
      <c r="P30" s="141"/>
      <c r="Q30" s="141"/>
      <c r="R30" s="142"/>
      <c r="S30" s="52"/>
      <c r="T30" s="142"/>
      <c r="U30" s="142"/>
      <c r="V30" s="142"/>
      <c r="W30" s="142"/>
      <c r="X30" s="142"/>
      <c r="Y30" s="142"/>
      <c r="Z30" s="14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26"/>
      <c r="BK30" s="226"/>
    </row>
    <row r="31" spans="1:63" ht="12.75" hidden="1" customHeight="1" outlineLevel="1">
      <c r="A31" s="9"/>
      <c r="B31" s="46"/>
      <c r="C31" s="132" t="str">
        <f>Asset20</f>
        <v>Communications</v>
      </c>
      <c r="D31" s="9"/>
      <c r="E31" s="9"/>
      <c r="F31" s="144"/>
      <c r="G31" s="198">
        <f>Input!M26</f>
        <v>-4.1692E-2</v>
      </c>
      <c r="H31" s="147"/>
      <c r="I31" s="147"/>
      <c r="J31" s="147"/>
      <c r="K31" s="147"/>
      <c r="L31" s="147"/>
      <c r="M31" s="141"/>
      <c r="N31" s="141"/>
      <c r="O31" s="141"/>
      <c r="P31" s="141"/>
      <c r="Q31" s="141"/>
      <c r="R31" s="142"/>
      <c r="S31" s="52"/>
      <c r="T31" s="142"/>
      <c r="U31" s="142"/>
      <c r="V31" s="142"/>
      <c r="W31" s="142"/>
      <c r="X31" s="142"/>
      <c r="Y31" s="142"/>
      <c r="Z31" s="14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26"/>
      <c r="BK31" s="226"/>
    </row>
    <row r="32" spans="1:63" ht="12.75" hidden="1" customHeight="1" outlineLevel="1">
      <c r="A32" s="9"/>
      <c r="B32" s="46"/>
      <c r="C32" s="132" t="str">
        <f>Asset21</f>
        <v>IT Systems</v>
      </c>
      <c r="D32" s="9"/>
      <c r="E32" s="9"/>
      <c r="F32" s="144"/>
      <c r="G32" s="198">
        <f>Input!M27</f>
        <v>13.518427000000001</v>
      </c>
      <c r="H32" s="147"/>
      <c r="I32" s="147"/>
      <c r="J32" s="147"/>
      <c r="K32" s="147"/>
      <c r="L32" s="147"/>
      <c r="M32" s="141"/>
      <c r="N32" s="141"/>
      <c r="O32" s="141"/>
      <c r="P32" s="141"/>
      <c r="Q32" s="141"/>
      <c r="R32" s="142"/>
      <c r="S32" s="52"/>
      <c r="T32" s="142"/>
      <c r="U32" s="142"/>
      <c r="V32" s="142"/>
      <c r="W32" s="142"/>
      <c r="X32" s="142"/>
      <c r="Y32" s="142"/>
      <c r="Z32" s="14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26"/>
      <c r="BK32" s="226"/>
    </row>
    <row r="33" spans="1:63" ht="12.75" hidden="1" customHeight="1" outlineLevel="1">
      <c r="A33" s="9"/>
      <c r="B33" s="46"/>
      <c r="C33" s="132" t="str">
        <f>Asset22</f>
        <v>Office Equipment &amp; Furniture</v>
      </c>
      <c r="D33" s="9"/>
      <c r="E33" s="9"/>
      <c r="F33" s="144"/>
      <c r="G33" s="198">
        <f>Input!M28</f>
        <v>0.31394100000000003</v>
      </c>
      <c r="H33" s="147"/>
      <c r="I33" s="147"/>
      <c r="J33" s="147"/>
      <c r="K33" s="147"/>
      <c r="L33" s="147"/>
      <c r="M33" s="141"/>
      <c r="N33" s="141"/>
      <c r="O33" s="141"/>
      <c r="P33" s="141"/>
      <c r="Q33" s="141"/>
      <c r="R33" s="142"/>
      <c r="S33" s="52"/>
      <c r="T33" s="142"/>
      <c r="U33" s="142"/>
      <c r="V33" s="142"/>
      <c r="W33" s="142"/>
      <c r="X33" s="142"/>
      <c r="Y33" s="142"/>
      <c r="Z33" s="14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26"/>
      <c r="BK33" s="226"/>
    </row>
    <row r="34" spans="1:63" ht="12.75" hidden="1" customHeight="1" outlineLevel="1">
      <c r="A34" s="9"/>
      <c r="B34" s="46"/>
      <c r="C34" s="132" t="str">
        <f>Asset23</f>
        <v>Motor Vehicles</v>
      </c>
      <c r="D34" s="9"/>
      <c r="E34" s="9"/>
      <c r="F34" s="144"/>
      <c r="G34" s="198">
        <f>Input!M29</f>
        <v>25.332986999999999</v>
      </c>
      <c r="H34" s="147"/>
      <c r="I34" s="147"/>
      <c r="J34" s="147"/>
      <c r="K34" s="147"/>
      <c r="L34" s="147"/>
      <c r="M34" s="141"/>
      <c r="N34" s="141"/>
      <c r="O34" s="141"/>
      <c r="P34" s="141"/>
      <c r="Q34" s="141"/>
      <c r="R34" s="142"/>
      <c r="S34" s="52"/>
      <c r="T34" s="142"/>
      <c r="U34" s="142"/>
      <c r="V34" s="142"/>
      <c r="W34" s="142"/>
      <c r="X34" s="142"/>
      <c r="Y34" s="142"/>
      <c r="Z34" s="14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26"/>
      <c r="BK34" s="226"/>
    </row>
    <row r="35" spans="1:63" ht="12.75" hidden="1" customHeight="1" outlineLevel="1">
      <c r="A35" s="9"/>
      <c r="B35" s="46"/>
      <c r="C35" s="132" t="str">
        <f>Asset24</f>
        <v>Plant &amp; Equipment</v>
      </c>
      <c r="D35" s="9"/>
      <c r="E35" s="9"/>
      <c r="F35" s="144"/>
      <c r="G35" s="198">
        <f>Input!M30</f>
        <v>7.2461000000000002</v>
      </c>
      <c r="H35" s="147"/>
      <c r="I35" s="147"/>
      <c r="J35" s="147"/>
      <c r="K35" s="147"/>
      <c r="L35" s="147"/>
      <c r="M35" s="141"/>
      <c r="N35" s="141"/>
      <c r="O35" s="141"/>
      <c r="P35" s="141"/>
      <c r="Q35" s="141"/>
      <c r="R35" s="142"/>
      <c r="S35" s="52"/>
      <c r="T35" s="142"/>
      <c r="U35" s="142"/>
      <c r="V35" s="142"/>
      <c r="W35" s="142"/>
      <c r="X35" s="142"/>
      <c r="Y35" s="142"/>
      <c r="Z35" s="14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26"/>
      <c r="BK35" s="226"/>
    </row>
    <row r="36" spans="1:63" ht="12.75" hidden="1" customHeight="1" outlineLevel="1">
      <c r="A36" s="9"/>
      <c r="B36" s="46"/>
      <c r="C36" s="132" t="str">
        <f>Asset25</f>
        <v>Buildings</v>
      </c>
      <c r="D36" s="9"/>
      <c r="E36" s="9"/>
      <c r="F36" s="144"/>
      <c r="G36" s="198">
        <f>Input!M31</f>
        <v>87.450374999999994</v>
      </c>
      <c r="H36" s="147"/>
      <c r="I36" s="147"/>
      <c r="J36" s="147"/>
      <c r="K36" s="147"/>
      <c r="L36" s="147"/>
      <c r="M36" s="141"/>
      <c r="N36" s="141"/>
      <c r="O36" s="141"/>
      <c r="P36" s="141"/>
      <c r="Q36" s="141"/>
      <c r="R36" s="142"/>
      <c r="S36" s="52"/>
      <c r="T36" s="142"/>
      <c r="U36" s="142"/>
      <c r="V36" s="142"/>
      <c r="W36" s="142"/>
      <c r="X36" s="142"/>
      <c r="Y36" s="142"/>
      <c r="Z36" s="14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26"/>
      <c r="BK36" s="226"/>
    </row>
    <row r="37" spans="1:63" ht="12.75" hidden="1" customHeight="1" outlineLevel="1">
      <c r="A37" s="9"/>
      <c r="B37" s="46"/>
      <c r="C37" s="132" t="str">
        <f>Asset26</f>
        <v>Land &amp; Easements</v>
      </c>
      <c r="D37" s="9"/>
      <c r="E37" s="9"/>
      <c r="F37" s="144"/>
      <c r="G37" s="198">
        <f>Input!M32</f>
        <v>1.7092080000000001</v>
      </c>
      <c r="H37" s="147"/>
      <c r="I37" s="147"/>
      <c r="J37" s="147"/>
      <c r="K37" s="147"/>
      <c r="L37" s="147"/>
      <c r="M37" s="141"/>
      <c r="N37" s="141"/>
      <c r="O37" s="141"/>
      <c r="P37" s="141"/>
      <c r="Q37" s="141"/>
      <c r="R37" s="142"/>
      <c r="S37" s="52"/>
      <c r="T37" s="142"/>
      <c r="U37" s="142"/>
      <c r="V37" s="142"/>
      <c r="W37" s="142"/>
      <c r="X37" s="142"/>
      <c r="Y37" s="142"/>
      <c r="Z37" s="14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26"/>
      <c r="BK37" s="226"/>
    </row>
    <row r="38" spans="1:63" ht="12.75" hidden="1" customHeight="1" outlineLevel="1">
      <c r="A38" s="9"/>
      <c r="B38" s="46"/>
      <c r="C38" s="132" t="str">
        <f>Asset27</f>
        <v>Land Improvements</v>
      </c>
      <c r="D38" s="9"/>
      <c r="E38" s="9"/>
      <c r="F38" s="144"/>
      <c r="G38" s="198">
        <f>Input!M33</f>
        <v>0</v>
      </c>
      <c r="H38" s="147"/>
      <c r="I38" s="147"/>
      <c r="J38" s="147"/>
      <c r="K38" s="147"/>
      <c r="L38" s="147"/>
      <c r="M38" s="141"/>
      <c r="N38" s="141"/>
      <c r="O38" s="141"/>
      <c r="P38" s="141"/>
      <c r="Q38" s="141"/>
      <c r="R38" s="142"/>
      <c r="S38" s="52"/>
      <c r="T38" s="142"/>
      <c r="U38" s="142"/>
      <c r="V38" s="142"/>
      <c r="W38" s="142"/>
      <c r="X38" s="142"/>
      <c r="Y38" s="142"/>
      <c r="Z38" s="14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26"/>
      <c r="BK38" s="226"/>
    </row>
    <row r="39" spans="1:63" ht="12.75" hidden="1" customHeight="1" outlineLevel="1">
      <c r="A39" s="9"/>
      <c r="B39" s="46"/>
      <c r="C39" s="132" t="str">
        <f>Asset28</f>
        <v>Equity Raising Costs</v>
      </c>
      <c r="D39" s="9"/>
      <c r="E39" s="9"/>
      <c r="F39" s="144"/>
      <c r="G39" s="198">
        <f>Input!M34</f>
        <v>0</v>
      </c>
      <c r="H39" s="147"/>
      <c r="I39" s="147"/>
      <c r="J39" s="147"/>
      <c r="K39" s="147"/>
      <c r="L39" s="147"/>
      <c r="M39" s="141"/>
      <c r="N39" s="141"/>
      <c r="O39" s="141"/>
      <c r="P39" s="141"/>
      <c r="Q39" s="141"/>
      <c r="R39" s="142"/>
      <c r="S39" s="52"/>
      <c r="T39" s="142"/>
      <c r="U39" s="142"/>
      <c r="V39" s="142"/>
      <c r="W39" s="142"/>
      <c r="X39" s="142"/>
      <c r="Y39" s="142"/>
      <c r="Z39" s="14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26"/>
      <c r="BK39" s="226"/>
    </row>
    <row r="40" spans="1:63" ht="12.75" hidden="1" customHeight="1" outlineLevel="1">
      <c r="A40" s="9"/>
      <c r="B40" s="46"/>
      <c r="C40" s="132" t="str">
        <f>Asset29</f>
        <v>Not Used</v>
      </c>
      <c r="D40" s="9"/>
      <c r="E40" s="9"/>
      <c r="F40" s="144"/>
      <c r="G40" s="198">
        <f>Input!M35</f>
        <v>0</v>
      </c>
      <c r="H40" s="147"/>
      <c r="I40" s="147"/>
      <c r="J40" s="147"/>
      <c r="K40" s="147"/>
      <c r="L40" s="147"/>
      <c r="M40" s="141"/>
      <c r="N40" s="141"/>
      <c r="O40" s="141"/>
      <c r="P40" s="141"/>
      <c r="Q40" s="141"/>
      <c r="R40" s="142"/>
      <c r="S40" s="52"/>
      <c r="T40" s="142"/>
      <c r="U40" s="142"/>
      <c r="V40" s="142"/>
      <c r="W40" s="142"/>
      <c r="X40" s="142"/>
      <c r="Y40" s="142"/>
      <c r="Z40" s="14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26"/>
      <c r="BK40" s="226"/>
    </row>
    <row r="41" spans="1:63" ht="12.75" hidden="1" customHeight="1" outlineLevel="1">
      <c r="A41" s="9"/>
      <c r="B41" s="46"/>
      <c r="C41" s="132" t="str">
        <f>Asset30</f>
        <v>Not Used</v>
      </c>
      <c r="D41" s="9"/>
      <c r="E41" s="9"/>
      <c r="F41" s="144"/>
      <c r="G41" s="198">
        <f>Input!M36</f>
        <v>0</v>
      </c>
      <c r="H41" s="147"/>
      <c r="I41" s="147"/>
      <c r="J41" s="147"/>
      <c r="K41" s="147"/>
      <c r="L41" s="147"/>
      <c r="M41" s="141"/>
      <c r="N41" s="141"/>
      <c r="O41" s="141"/>
      <c r="P41" s="141"/>
      <c r="Q41" s="141"/>
      <c r="R41" s="142"/>
      <c r="S41" s="52"/>
      <c r="T41" s="142"/>
      <c r="U41" s="142"/>
      <c r="V41" s="142"/>
      <c r="W41" s="142"/>
      <c r="X41" s="142"/>
      <c r="Y41" s="142"/>
      <c r="Z41" s="14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26"/>
      <c r="BK41" s="226"/>
    </row>
    <row r="42" spans="1:63" collapsed="1">
      <c r="A42" s="9"/>
      <c r="B42" s="46"/>
      <c r="C42" s="132"/>
      <c r="D42" s="9"/>
      <c r="E42" s="9"/>
      <c r="F42" s="144"/>
      <c r="G42" s="198"/>
      <c r="H42" s="147"/>
      <c r="I42" s="147"/>
      <c r="J42" s="147"/>
      <c r="K42" s="147"/>
      <c r="L42" s="147"/>
      <c r="M42" s="141"/>
      <c r="N42" s="141"/>
      <c r="O42" s="141"/>
      <c r="P42" s="141"/>
      <c r="Q42" s="141"/>
      <c r="R42" s="142"/>
      <c r="S42" s="12"/>
      <c r="T42" s="142"/>
      <c r="U42" s="142"/>
      <c r="V42" s="142"/>
      <c r="W42" s="142"/>
      <c r="X42" s="142"/>
      <c r="Y42" s="142"/>
      <c r="Z42" s="14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26"/>
      <c r="BK42" s="226"/>
    </row>
    <row r="43" spans="1:63">
      <c r="A43" s="9"/>
      <c r="B43" s="46" t="s">
        <v>36</v>
      </c>
      <c r="C43" s="9"/>
      <c r="D43" s="9"/>
      <c r="E43" s="9"/>
      <c r="F43" s="9"/>
      <c r="G43" s="197">
        <f>SUM(G44:G73)</f>
        <v>689.52657968151709</v>
      </c>
      <c r="H43" s="143"/>
      <c r="I43" s="143"/>
      <c r="J43" s="143"/>
      <c r="K43" s="143"/>
      <c r="L43" s="143"/>
      <c r="M43" s="143"/>
      <c r="N43" s="141"/>
      <c r="O43" s="141"/>
      <c r="P43" s="141"/>
      <c r="Q43" s="141"/>
      <c r="R43" s="142"/>
      <c r="S43" s="142"/>
      <c r="T43" s="142"/>
      <c r="U43" s="142"/>
      <c r="V43" s="142"/>
      <c r="W43" s="142"/>
      <c r="X43" s="142"/>
      <c r="Y43" s="142"/>
      <c r="Z43" s="14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26"/>
      <c r="BK43" s="226"/>
    </row>
    <row r="44" spans="1:63" hidden="1" outlineLevel="1">
      <c r="A44" s="9"/>
      <c r="B44" s="9"/>
      <c r="C44" s="132" t="str">
        <f>Asset1</f>
        <v>Overhead Sub-Transmission Lines</v>
      </c>
      <c r="D44" s="9"/>
      <c r="E44" s="9"/>
      <c r="F44" s="9"/>
      <c r="G44" s="198">
        <f>Input!G143*(1+previous_vanilla)^0.5</f>
        <v>55.303759265398924</v>
      </c>
      <c r="H44" s="113"/>
      <c r="I44" s="113"/>
      <c r="J44" s="113"/>
      <c r="K44" s="113"/>
      <c r="L44" s="113"/>
      <c r="M44" s="113"/>
      <c r="N44" s="9"/>
      <c r="O44" s="9"/>
      <c r="P44" s="9"/>
      <c r="Q44" s="9"/>
      <c r="R44" s="9"/>
      <c r="S44" s="9"/>
      <c r="T44" s="9"/>
      <c r="U44" s="9"/>
      <c r="V44" s="9"/>
      <c r="W44" s="9"/>
      <c r="X44" s="9"/>
      <c r="Y44" s="9"/>
      <c r="Z44" s="9"/>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row>
    <row r="45" spans="1:63" hidden="1" outlineLevel="1">
      <c r="A45" s="9"/>
      <c r="B45" s="46"/>
      <c r="C45" s="132" t="str">
        <f>Asset2</f>
        <v>Underground Sub-Transmission Cables</v>
      </c>
      <c r="D45" s="9"/>
      <c r="E45" s="9"/>
      <c r="F45" s="144"/>
      <c r="G45" s="198">
        <f>Input!G144*(1+previous_vanilla)^0.5</f>
        <v>0.45108104770328789</v>
      </c>
      <c r="H45" s="113"/>
      <c r="I45" s="113"/>
      <c r="J45" s="113"/>
      <c r="K45" s="113"/>
      <c r="L45" s="113"/>
      <c r="M45" s="113"/>
      <c r="N45" s="29"/>
      <c r="O45" s="29"/>
      <c r="P45" s="29"/>
      <c r="Q45" s="29"/>
      <c r="R45" s="102"/>
      <c r="S45" s="102"/>
      <c r="T45" s="102"/>
      <c r="U45" s="102"/>
      <c r="V45" s="102"/>
      <c r="W45" s="102"/>
      <c r="X45" s="102"/>
      <c r="Y45" s="102"/>
      <c r="Z45" s="102"/>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26"/>
      <c r="BK45" s="226"/>
    </row>
    <row r="46" spans="1:63" hidden="1" outlineLevel="1">
      <c r="A46" s="9"/>
      <c r="B46" s="46"/>
      <c r="C46" s="132" t="str">
        <f>Asset3</f>
        <v>Overhead Distribution Lines</v>
      </c>
      <c r="D46" s="9"/>
      <c r="E46" s="9"/>
      <c r="F46" s="144"/>
      <c r="G46" s="198">
        <f>Input!G145*(1+previous_vanilla)^0.5</f>
        <v>84.886308683007229</v>
      </c>
      <c r="H46" s="113"/>
      <c r="I46" s="113"/>
      <c r="J46" s="113"/>
      <c r="K46" s="113"/>
      <c r="L46" s="113"/>
      <c r="M46" s="113"/>
      <c r="N46" s="29"/>
      <c r="O46" s="29"/>
      <c r="P46" s="29"/>
      <c r="Q46" s="29"/>
      <c r="R46" s="102"/>
      <c r="S46" s="102"/>
      <c r="T46" s="102"/>
      <c r="U46" s="102"/>
      <c r="V46" s="102"/>
      <c r="W46" s="102"/>
      <c r="X46" s="102"/>
      <c r="Y46" s="102"/>
      <c r="Z46" s="102"/>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26"/>
      <c r="BK46" s="226"/>
    </row>
    <row r="47" spans="1:63" hidden="1" outlineLevel="1">
      <c r="A47" s="9"/>
      <c r="B47" s="46"/>
      <c r="C47" s="132" t="str">
        <f>Asset4</f>
        <v>Underground Distribution Cables</v>
      </c>
      <c r="D47" s="9"/>
      <c r="E47" s="9"/>
      <c r="F47" s="144"/>
      <c r="G47" s="198">
        <f>Input!G146*(1+previous_vanilla)^0.5</f>
        <v>61.310179549988085</v>
      </c>
      <c r="H47" s="113"/>
      <c r="I47" s="113"/>
      <c r="J47" s="113"/>
      <c r="K47" s="113"/>
      <c r="L47" s="113"/>
      <c r="M47" s="113"/>
      <c r="N47" s="29"/>
      <c r="O47" s="29"/>
      <c r="P47" s="29"/>
      <c r="Q47" s="29"/>
      <c r="R47" s="102"/>
      <c r="S47" s="102"/>
      <c r="T47" s="102"/>
      <c r="U47" s="102"/>
      <c r="V47" s="102"/>
      <c r="W47" s="102"/>
      <c r="X47" s="102"/>
      <c r="Y47" s="102"/>
      <c r="Z47" s="102"/>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26"/>
      <c r="BK47" s="226"/>
    </row>
    <row r="48" spans="1:63" hidden="1" outlineLevel="1">
      <c r="A48" s="9"/>
      <c r="B48" s="46"/>
      <c r="C48" s="132" t="str">
        <f>Asset5</f>
        <v xml:space="preserve">Distribution Equipment  </v>
      </c>
      <c r="D48" s="9"/>
      <c r="E48" s="9"/>
      <c r="F48" s="144"/>
      <c r="G48" s="198">
        <f>Input!G147*(1+previous_vanilla)^0.5</f>
        <v>2.5990489113181394</v>
      </c>
      <c r="H48" s="113"/>
      <c r="I48" s="113"/>
      <c r="J48" s="113"/>
      <c r="K48" s="113"/>
      <c r="L48" s="113"/>
      <c r="M48" s="113"/>
      <c r="N48" s="29"/>
      <c r="O48" s="29"/>
      <c r="P48" s="29"/>
      <c r="Q48" s="29"/>
      <c r="R48" s="102"/>
      <c r="S48" s="102"/>
      <c r="T48" s="102"/>
      <c r="U48" s="102"/>
      <c r="V48" s="102"/>
      <c r="W48" s="102"/>
      <c r="X48" s="102"/>
      <c r="Y48" s="102"/>
      <c r="Z48" s="102"/>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26"/>
      <c r="BK48" s="226"/>
    </row>
    <row r="49" spans="1:63" hidden="1" outlineLevel="1">
      <c r="A49" s="9"/>
      <c r="B49" s="46"/>
      <c r="C49" s="132" t="str">
        <f>Asset6</f>
        <v>Substation Bays</v>
      </c>
      <c r="D49" s="9"/>
      <c r="E49" s="9"/>
      <c r="F49" s="144"/>
      <c r="G49" s="198">
        <f>Input!G148*(1+previous_vanilla)^0.5</f>
        <v>111.54545938373025</v>
      </c>
      <c r="H49" s="113"/>
      <c r="I49" s="113"/>
      <c r="J49" s="113"/>
      <c r="K49" s="113"/>
      <c r="L49" s="113"/>
      <c r="M49" s="113"/>
      <c r="N49" s="29"/>
      <c r="O49" s="29"/>
      <c r="P49" s="29"/>
      <c r="Q49" s="29"/>
      <c r="R49" s="102"/>
      <c r="S49" s="102"/>
      <c r="T49" s="102"/>
      <c r="U49" s="102"/>
      <c r="V49" s="102"/>
      <c r="W49" s="102"/>
      <c r="X49" s="102"/>
      <c r="Y49" s="102"/>
      <c r="Z49" s="102"/>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26"/>
      <c r="BK49" s="226"/>
    </row>
    <row r="50" spans="1:63" hidden="1" outlineLevel="1">
      <c r="A50" s="9"/>
      <c r="B50" s="46"/>
      <c r="C50" s="132" t="str">
        <f>Asset7</f>
        <v>Substation Establishment</v>
      </c>
      <c r="D50" s="9"/>
      <c r="E50" s="9"/>
      <c r="F50" s="144"/>
      <c r="G50" s="198">
        <f>Input!G149*(1+previous_vanilla)^0.5</f>
        <v>18.211334423752007</v>
      </c>
      <c r="H50" s="113"/>
      <c r="I50" s="113"/>
      <c r="J50" s="113"/>
      <c r="K50" s="113"/>
      <c r="L50" s="113"/>
      <c r="M50" s="113"/>
      <c r="N50" s="29"/>
      <c r="O50" s="29"/>
      <c r="P50" s="29"/>
      <c r="Q50" s="29"/>
      <c r="R50" s="102"/>
      <c r="S50" s="102"/>
      <c r="T50" s="102"/>
      <c r="U50" s="102"/>
      <c r="V50" s="102"/>
      <c r="W50" s="102"/>
      <c r="X50" s="102"/>
      <c r="Y50" s="102"/>
      <c r="Z50" s="102"/>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26"/>
      <c r="BK50" s="226"/>
    </row>
    <row r="51" spans="1:63" hidden="1" outlineLevel="1">
      <c r="A51" s="9"/>
      <c r="B51" s="46"/>
      <c r="C51" s="132" t="str">
        <f>Asset8</f>
        <v>Distribution Substation Switchgear</v>
      </c>
      <c r="D51" s="9"/>
      <c r="E51" s="9"/>
      <c r="F51" s="144"/>
      <c r="G51" s="198">
        <f>Input!G150*(1+previous_vanilla)^0.5</f>
        <v>23.542587134127935</v>
      </c>
      <c r="H51" s="113"/>
      <c r="I51" s="113"/>
      <c r="J51" s="113"/>
      <c r="K51" s="113"/>
      <c r="L51" s="113"/>
      <c r="M51" s="113"/>
      <c r="N51" s="29"/>
      <c r="O51" s="29"/>
      <c r="P51" s="29"/>
      <c r="Q51" s="29"/>
      <c r="R51" s="102"/>
      <c r="S51" s="102"/>
      <c r="T51" s="102"/>
      <c r="U51" s="102"/>
      <c r="V51" s="102"/>
      <c r="W51" s="102"/>
      <c r="X51" s="102"/>
      <c r="Y51" s="102"/>
      <c r="Z51" s="102"/>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26"/>
      <c r="BK51" s="226"/>
    </row>
    <row r="52" spans="1:63" hidden="1" outlineLevel="1">
      <c r="A52" s="9"/>
      <c r="B52" s="46"/>
      <c r="C52" s="132" t="str">
        <f>Asset9</f>
        <v>Zone Transformers</v>
      </c>
      <c r="D52" s="9"/>
      <c r="E52" s="9"/>
      <c r="F52" s="144"/>
      <c r="G52" s="198">
        <f>Input!G151*(1+previous_vanilla)^0.5</f>
        <v>44.481960358100864</v>
      </c>
      <c r="H52" s="113"/>
      <c r="I52" s="113"/>
      <c r="J52" s="113"/>
      <c r="K52" s="113"/>
      <c r="L52" s="113"/>
      <c r="M52" s="113"/>
      <c r="N52" s="29"/>
      <c r="O52" s="29"/>
      <c r="P52" s="29"/>
      <c r="Q52" s="29"/>
      <c r="R52" s="102"/>
      <c r="S52" s="102"/>
      <c r="T52" s="102"/>
      <c r="U52" s="102"/>
      <c r="V52" s="102"/>
      <c r="W52" s="102"/>
      <c r="X52" s="102"/>
      <c r="Y52" s="102"/>
      <c r="Z52" s="102"/>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26"/>
      <c r="BK52" s="226"/>
    </row>
    <row r="53" spans="1:63" hidden="1" outlineLevel="1">
      <c r="A53" s="9"/>
      <c r="B53" s="46"/>
      <c r="C53" s="132" t="str">
        <f>Asset10</f>
        <v>Distribution Transformers</v>
      </c>
      <c r="D53" s="9"/>
      <c r="E53" s="9"/>
      <c r="F53" s="144"/>
      <c r="G53" s="198">
        <f>Input!G152*(1+previous_vanilla)^0.5</f>
        <v>84.583792810281608</v>
      </c>
      <c r="H53" s="113"/>
      <c r="I53" s="113"/>
      <c r="J53" s="113"/>
      <c r="K53" s="113"/>
      <c r="L53" s="113"/>
      <c r="M53" s="113"/>
      <c r="N53" s="29"/>
      <c r="O53" s="29"/>
      <c r="P53" s="29"/>
      <c r="Q53" s="29"/>
      <c r="R53" s="102"/>
      <c r="S53" s="102"/>
      <c r="T53" s="102"/>
      <c r="U53" s="102"/>
      <c r="V53" s="102"/>
      <c r="W53" s="102"/>
      <c r="X53" s="102"/>
      <c r="Y53" s="102"/>
      <c r="Z53" s="102"/>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26"/>
      <c r="BK53" s="226"/>
    </row>
    <row r="54" spans="1:63" hidden="1" outlineLevel="1">
      <c r="A54" s="9"/>
      <c r="B54" s="46"/>
      <c r="C54" s="132" t="str">
        <f>Asset11</f>
        <v>Low Voltage Services</v>
      </c>
      <c r="D54" s="9"/>
      <c r="E54" s="9"/>
      <c r="F54" s="144"/>
      <c r="G54" s="198">
        <f>Input!G153*(1+previous_vanilla)^0.5</f>
        <v>13.922230920590289</v>
      </c>
      <c r="H54" s="113"/>
      <c r="I54" s="113"/>
      <c r="J54" s="113"/>
      <c r="K54" s="113"/>
      <c r="L54" s="113"/>
      <c r="M54" s="113"/>
      <c r="N54" s="29"/>
      <c r="O54" s="29"/>
      <c r="P54" s="29"/>
      <c r="Q54" s="29"/>
      <c r="R54" s="102"/>
      <c r="S54" s="102"/>
      <c r="T54" s="102"/>
      <c r="U54" s="102"/>
      <c r="V54" s="102"/>
      <c r="W54" s="102"/>
      <c r="X54" s="102"/>
      <c r="Y54" s="102"/>
      <c r="Z54" s="102"/>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26"/>
      <c r="BK54" s="226"/>
    </row>
    <row r="55" spans="1:63" hidden="1" outlineLevel="1">
      <c r="A55" s="9"/>
      <c r="B55" s="46"/>
      <c r="C55" s="132" t="str">
        <f>Asset12</f>
        <v>Metering</v>
      </c>
      <c r="D55" s="9"/>
      <c r="E55" s="9"/>
      <c r="F55" s="144"/>
      <c r="G55" s="198">
        <f>Input!G154*(1+previous_vanilla)^0.5</f>
        <v>36.983797169279946</v>
      </c>
      <c r="H55" s="113"/>
      <c r="I55" s="113"/>
      <c r="J55" s="113"/>
      <c r="K55" s="113"/>
      <c r="L55" s="113"/>
      <c r="M55" s="113"/>
      <c r="N55" s="29"/>
      <c r="O55" s="29"/>
      <c r="P55" s="29"/>
      <c r="Q55" s="29"/>
      <c r="R55" s="102"/>
      <c r="S55" s="102"/>
      <c r="T55" s="102"/>
      <c r="U55" s="102"/>
      <c r="V55" s="102"/>
      <c r="W55" s="102"/>
      <c r="X55" s="102"/>
      <c r="Y55" s="102"/>
      <c r="Z55" s="102"/>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26"/>
      <c r="BK55" s="226"/>
    </row>
    <row r="56" spans="1:63" hidden="1" outlineLevel="1">
      <c r="A56" s="9"/>
      <c r="B56" s="46"/>
      <c r="C56" s="132" t="str">
        <f>Asset13</f>
        <v xml:space="preserve">Communications – Pilot Wires </v>
      </c>
      <c r="D56" s="9"/>
      <c r="E56" s="9"/>
      <c r="F56" s="144"/>
      <c r="G56" s="198">
        <f>Input!G155*(1+previous_vanilla)^0.5</f>
        <v>8.6252675324704438</v>
      </c>
      <c r="H56" s="113"/>
      <c r="I56" s="113"/>
      <c r="J56" s="113"/>
      <c r="K56" s="113"/>
      <c r="L56" s="113"/>
      <c r="M56" s="113"/>
      <c r="N56" s="29"/>
      <c r="O56" s="29"/>
      <c r="P56" s="29"/>
      <c r="Q56" s="29"/>
      <c r="R56" s="102"/>
      <c r="S56" s="102"/>
      <c r="T56" s="102"/>
      <c r="U56" s="102"/>
      <c r="V56" s="102"/>
      <c r="W56" s="102"/>
      <c r="X56" s="102"/>
      <c r="Y56" s="102"/>
      <c r="Z56" s="102"/>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26"/>
      <c r="BK56" s="226"/>
    </row>
    <row r="57" spans="1:63" hidden="1" outlineLevel="1">
      <c r="A57" s="9"/>
      <c r="B57" s="46"/>
      <c r="C57" s="132" t="str">
        <f>Asset14</f>
        <v>Generation Assets</v>
      </c>
      <c r="D57" s="9"/>
      <c r="E57" s="9"/>
      <c r="F57" s="144"/>
      <c r="G57" s="198">
        <f>Input!G156*(1+previous_vanilla)^0.5</f>
        <v>0</v>
      </c>
      <c r="H57" s="113"/>
      <c r="I57" s="113"/>
      <c r="J57" s="113"/>
      <c r="K57" s="113"/>
      <c r="L57" s="113"/>
      <c r="M57" s="113"/>
      <c r="N57" s="29"/>
      <c r="O57" s="29"/>
      <c r="P57" s="29"/>
      <c r="Q57" s="29"/>
      <c r="R57" s="102"/>
      <c r="S57" s="102"/>
      <c r="T57" s="102"/>
      <c r="U57" s="102"/>
      <c r="V57" s="102"/>
      <c r="W57" s="102"/>
      <c r="X57" s="102"/>
      <c r="Y57" s="102"/>
      <c r="Z57" s="102"/>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26"/>
      <c r="BK57" s="226"/>
    </row>
    <row r="58" spans="1:63" hidden="1" outlineLevel="1">
      <c r="A58" s="9"/>
      <c r="B58" s="46"/>
      <c r="C58" s="132" t="str">
        <f>Asset15</f>
        <v>Street Lighting</v>
      </c>
      <c r="D58" s="9"/>
      <c r="E58" s="9"/>
      <c r="F58" s="144"/>
      <c r="G58" s="198">
        <f>Input!G157*(1+previous_vanilla)^0.5</f>
        <v>0</v>
      </c>
      <c r="H58" s="113"/>
      <c r="I58" s="113"/>
      <c r="J58" s="113"/>
      <c r="K58" s="113"/>
      <c r="L58" s="113"/>
      <c r="M58" s="113"/>
      <c r="N58" s="29"/>
      <c r="O58" s="29"/>
      <c r="P58" s="29"/>
      <c r="Q58" s="29"/>
      <c r="R58" s="102"/>
      <c r="S58" s="102"/>
      <c r="T58" s="102"/>
      <c r="U58" s="102"/>
      <c r="V58" s="102"/>
      <c r="W58" s="102"/>
      <c r="X58" s="102"/>
      <c r="Y58" s="102"/>
      <c r="Z58" s="102"/>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26"/>
      <c r="BK58" s="226"/>
    </row>
    <row r="59" spans="1:63" hidden="1" outlineLevel="1">
      <c r="A59" s="9"/>
      <c r="B59" s="46"/>
      <c r="C59" s="132" t="str">
        <f>Asset16</f>
        <v>Other Equipment</v>
      </c>
      <c r="D59" s="9"/>
      <c r="E59" s="9"/>
      <c r="F59" s="144"/>
      <c r="G59" s="198">
        <f>Input!G158*(1+previous_vanilla)^0.5</f>
        <v>3.9121804890531147</v>
      </c>
      <c r="H59" s="113"/>
      <c r="I59" s="113"/>
      <c r="J59" s="113"/>
      <c r="K59" s="113"/>
      <c r="L59" s="113"/>
      <c r="M59" s="113"/>
      <c r="N59" s="29"/>
      <c r="O59" s="29"/>
      <c r="P59" s="29"/>
      <c r="Q59" s="29"/>
      <c r="R59" s="102"/>
      <c r="S59" s="102"/>
      <c r="T59" s="102"/>
      <c r="U59" s="102"/>
      <c r="V59" s="102"/>
      <c r="W59" s="102"/>
      <c r="X59" s="102"/>
      <c r="Y59" s="102"/>
      <c r="Z59" s="102"/>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26"/>
      <c r="BK59" s="226"/>
    </row>
    <row r="60" spans="1:63" hidden="1" outlineLevel="1">
      <c r="A60" s="9"/>
      <c r="B60" s="46"/>
      <c r="C60" s="132" t="str">
        <f>Asset17</f>
        <v>Control Centre - SCADA</v>
      </c>
      <c r="D60" s="9"/>
      <c r="E60" s="9"/>
      <c r="F60" s="144"/>
      <c r="G60" s="198">
        <f>Input!G159*(1+previous_vanilla)^0.5</f>
        <v>13.131144841461555</v>
      </c>
      <c r="H60" s="113"/>
      <c r="I60" s="113"/>
      <c r="J60" s="113"/>
      <c r="K60" s="113"/>
      <c r="L60" s="113"/>
      <c r="M60" s="113"/>
      <c r="N60" s="29"/>
      <c r="O60" s="29"/>
      <c r="P60" s="29"/>
      <c r="Q60" s="29"/>
      <c r="R60" s="102"/>
      <c r="S60" s="102"/>
      <c r="T60" s="102"/>
      <c r="U60" s="102"/>
      <c r="V60" s="102"/>
      <c r="W60" s="102"/>
      <c r="X60" s="102"/>
      <c r="Y60" s="102"/>
      <c r="Z60" s="102"/>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26"/>
      <c r="BK60" s="226"/>
    </row>
    <row r="61" spans="1:63" hidden="1" outlineLevel="1">
      <c r="A61" s="9"/>
      <c r="B61" s="46"/>
      <c r="C61" s="132" t="str">
        <f>Asset18</f>
        <v>Land &amp; Easements (System)</v>
      </c>
      <c r="D61" s="9"/>
      <c r="E61" s="9"/>
      <c r="F61" s="144"/>
      <c r="G61" s="198">
        <f>Input!G160*(1+previous_vanilla)^0.5</f>
        <v>3.2479277966766418</v>
      </c>
      <c r="H61" s="113"/>
      <c r="I61" s="113"/>
      <c r="J61" s="113"/>
      <c r="K61" s="113"/>
      <c r="L61" s="113"/>
      <c r="M61" s="113"/>
      <c r="N61" s="29"/>
      <c r="O61" s="29"/>
      <c r="P61" s="29"/>
      <c r="Q61" s="29"/>
      <c r="R61" s="102"/>
      <c r="S61" s="102"/>
      <c r="T61" s="102"/>
      <c r="U61" s="102"/>
      <c r="V61" s="102"/>
      <c r="W61" s="102"/>
      <c r="X61" s="102"/>
      <c r="Y61" s="102"/>
      <c r="Z61" s="102"/>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26"/>
      <c r="BK61" s="226"/>
    </row>
    <row r="62" spans="1:63" hidden="1" outlineLevel="1">
      <c r="A62" s="9"/>
      <c r="B62" s="46"/>
      <c r="C62" s="132" t="str">
        <f>Asset19</f>
        <v>Metering Type 5-6</v>
      </c>
      <c r="D62" s="9"/>
      <c r="E62" s="9"/>
      <c r="F62" s="144"/>
      <c r="G62" s="198">
        <f>Input!G161*(1+previous_vanilla)^0.5</f>
        <v>0</v>
      </c>
      <c r="H62" s="113"/>
      <c r="I62" s="113"/>
      <c r="J62" s="113"/>
      <c r="K62" s="113"/>
      <c r="L62" s="113"/>
      <c r="M62" s="113"/>
      <c r="N62" s="29"/>
      <c r="O62" s="29"/>
      <c r="P62" s="29"/>
      <c r="Q62" s="29"/>
      <c r="R62" s="102"/>
      <c r="S62" s="102"/>
      <c r="T62" s="102"/>
      <c r="U62" s="102"/>
      <c r="V62" s="102"/>
      <c r="W62" s="102"/>
      <c r="X62" s="102"/>
      <c r="Y62" s="102"/>
      <c r="Z62" s="102"/>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26"/>
      <c r="BK62" s="226"/>
    </row>
    <row r="63" spans="1:63" hidden="1" outlineLevel="1">
      <c r="A63" s="9"/>
      <c r="B63" s="46"/>
      <c r="C63" s="132" t="str">
        <f>Asset20</f>
        <v>Communications</v>
      </c>
      <c r="D63" s="9"/>
      <c r="E63" s="9"/>
      <c r="F63" s="144"/>
      <c r="G63" s="198">
        <f>Input!G162*(1+previous_vanilla)^0.5</f>
        <v>0.44626148948965411</v>
      </c>
      <c r="H63" s="113"/>
      <c r="I63" s="113"/>
      <c r="J63" s="113"/>
      <c r="K63" s="113"/>
      <c r="L63" s="113"/>
      <c r="M63" s="113"/>
      <c r="N63" s="29"/>
      <c r="O63" s="29"/>
      <c r="P63" s="29"/>
      <c r="Q63" s="29"/>
      <c r="R63" s="102"/>
      <c r="S63" s="102"/>
      <c r="T63" s="102"/>
      <c r="U63" s="102"/>
      <c r="V63" s="102"/>
      <c r="W63" s="102"/>
      <c r="X63" s="102"/>
      <c r="Y63" s="102"/>
      <c r="Z63" s="102"/>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26"/>
      <c r="BK63" s="226"/>
    </row>
    <row r="64" spans="1:63" hidden="1" outlineLevel="1">
      <c r="A64" s="9"/>
      <c r="B64" s="46"/>
      <c r="C64" s="132" t="str">
        <f>Asset21</f>
        <v>IT Systems</v>
      </c>
      <c r="D64" s="9"/>
      <c r="E64" s="9"/>
      <c r="F64" s="144"/>
      <c r="G64" s="198">
        <f>Input!G163*(1+previous_vanilla)^0.5</f>
        <v>51.48368195132548</v>
      </c>
      <c r="H64" s="113"/>
      <c r="I64" s="113"/>
      <c r="J64" s="113"/>
      <c r="K64" s="113"/>
      <c r="L64" s="113"/>
      <c r="M64" s="113"/>
      <c r="N64" s="29"/>
      <c r="O64" s="29"/>
      <c r="P64" s="29"/>
      <c r="Q64" s="29"/>
      <c r="R64" s="102"/>
      <c r="S64" s="102"/>
      <c r="T64" s="102"/>
      <c r="U64" s="102"/>
      <c r="V64" s="102"/>
      <c r="W64" s="102"/>
      <c r="X64" s="102"/>
      <c r="Y64" s="102"/>
      <c r="Z64" s="102"/>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26"/>
      <c r="BK64" s="226"/>
    </row>
    <row r="65" spans="1:63" hidden="1" outlineLevel="1">
      <c r="A65" s="9"/>
      <c r="B65" s="46"/>
      <c r="C65" s="132" t="str">
        <f>Asset22</f>
        <v>Office Equipment &amp; Furniture</v>
      </c>
      <c r="D65" s="9"/>
      <c r="E65" s="9"/>
      <c r="F65" s="144"/>
      <c r="G65" s="198">
        <f>Input!G164*(1+previous_vanilla)^0.5</f>
        <v>1.6002392478065881</v>
      </c>
      <c r="H65" s="113"/>
      <c r="I65" s="113"/>
      <c r="J65" s="113"/>
      <c r="K65" s="113"/>
      <c r="L65" s="113"/>
      <c r="M65" s="113"/>
      <c r="N65" s="29"/>
      <c r="O65" s="29"/>
      <c r="P65" s="29"/>
      <c r="Q65" s="29"/>
      <c r="R65" s="102"/>
      <c r="S65" s="102"/>
      <c r="T65" s="102"/>
      <c r="U65" s="102"/>
      <c r="V65" s="102"/>
      <c r="W65" s="102"/>
      <c r="X65" s="102"/>
      <c r="Y65" s="102"/>
      <c r="Z65" s="102"/>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26"/>
      <c r="BK65" s="226"/>
    </row>
    <row r="66" spans="1:63" hidden="1" outlineLevel="1">
      <c r="A66" s="9"/>
      <c r="B66" s="46"/>
      <c r="C66" s="132" t="str">
        <f>Asset23</f>
        <v>Motor Vehicles</v>
      </c>
      <c r="D66" s="9"/>
      <c r="E66" s="9"/>
      <c r="F66" s="144"/>
      <c r="G66" s="198">
        <f>Input!G165*(1+previous_vanilla)^0.5</f>
        <v>15.672982344832819</v>
      </c>
      <c r="H66" s="113"/>
      <c r="I66" s="113"/>
      <c r="J66" s="113"/>
      <c r="K66" s="113"/>
      <c r="L66" s="113"/>
      <c r="M66" s="113"/>
      <c r="N66" s="29"/>
      <c r="O66" s="29"/>
      <c r="P66" s="29"/>
      <c r="Q66" s="29"/>
      <c r="R66" s="102"/>
      <c r="S66" s="102"/>
      <c r="T66" s="102"/>
      <c r="U66" s="102"/>
      <c r="V66" s="102"/>
      <c r="W66" s="102"/>
      <c r="X66" s="102"/>
      <c r="Y66" s="102"/>
      <c r="Z66" s="102"/>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26"/>
      <c r="BK66" s="226"/>
    </row>
    <row r="67" spans="1:63" hidden="1" outlineLevel="1">
      <c r="A67" s="9"/>
      <c r="B67" s="46"/>
      <c r="C67" s="132" t="str">
        <f>Asset24</f>
        <v>Plant &amp; Equipment</v>
      </c>
      <c r="D67" s="9"/>
      <c r="E67" s="9"/>
      <c r="F67" s="144"/>
      <c r="G67" s="198">
        <f>Input!G166*(1+previous_vanilla)^0.5</f>
        <v>15.000611240058856</v>
      </c>
      <c r="H67" s="113"/>
      <c r="I67" s="113"/>
      <c r="J67" s="113"/>
      <c r="K67" s="113"/>
      <c r="L67" s="113"/>
      <c r="M67" s="113"/>
      <c r="N67" s="29"/>
      <c r="O67" s="29"/>
      <c r="P67" s="29"/>
      <c r="Q67" s="29"/>
      <c r="R67" s="102"/>
      <c r="S67" s="102"/>
      <c r="T67" s="102"/>
      <c r="U67" s="102"/>
      <c r="V67" s="102"/>
      <c r="W67" s="102"/>
      <c r="X67" s="102"/>
      <c r="Y67" s="102"/>
      <c r="Z67" s="102"/>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26"/>
      <c r="BK67" s="226"/>
    </row>
    <row r="68" spans="1:63" hidden="1" outlineLevel="1">
      <c r="A68" s="9"/>
      <c r="B68" s="46"/>
      <c r="C68" s="132" t="str">
        <f>Asset25</f>
        <v>Buildings</v>
      </c>
      <c r="D68" s="9"/>
      <c r="E68" s="9"/>
      <c r="F68" s="144"/>
      <c r="G68" s="198">
        <f>Input!G167*(1+previous_vanilla)^0.5</f>
        <v>32.014977529611677</v>
      </c>
      <c r="H68" s="113"/>
      <c r="I68" s="113"/>
      <c r="J68" s="113"/>
      <c r="K68" s="113"/>
      <c r="L68" s="113"/>
      <c r="M68" s="113"/>
      <c r="N68" s="29"/>
      <c r="O68" s="29"/>
      <c r="P68" s="29"/>
      <c r="Q68" s="29"/>
      <c r="R68" s="102"/>
      <c r="S68" s="102"/>
      <c r="T68" s="102"/>
      <c r="U68" s="102"/>
      <c r="V68" s="102"/>
      <c r="W68" s="102"/>
      <c r="X68" s="102"/>
      <c r="Y68" s="102"/>
      <c r="Z68" s="102"/>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26"/>
      <c r="BK68" s="226"/>
    </row>
    <row r="69" spans="1:63" hidden="1" outlineLevel="1">
      <c r="A69" s="9"/>
      <c r="B69" s="46"/>
      <c r="C69" s="132" t="str">
        <f>Asset26</f>
        <v>Land &amp; Easements</v>
      </c>
      <c r="D69" s="9"/>
      <c r="E69" s="9"/>
      <c r="F69" s="144"/>
      <c r="G69" s="198">
        <f>Input!G168*(1+previous_vanilla)^0.5</f>
        <v>0.97506729401579773</v>
      </c>
      <c r="H69" s="113"/>
      <c r="I69" s="113"/>
      <c r="J69" s="113"/>
      <c r="K69" s="113"/>
      <c r="L69" s="113"/>
      <c r="M69" s="113"/>
      <c r="N69" s="29"/>
      <c r="O69" s="29"/>
      <c r="P69" s="29"/>
      <c r="Q69" s="29"/>
      <c r="R69" s="102"/>
      <c r="S69" s="102"/>
      <c r="T69" s="102"/>
      <c r="U69" s="102"/>
      <c r="V69" s="102"/>
      <c r="W69" s="102"/>
      <c r="X69" s="102"/>
      <c r="Y69" s="102"/>
      <c r="Z69" s="102"/>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26"/>
      <c r="BK69" s="226"/>
    </row>
    <row r="70" spans="1:63" hidden="1" outlineLevel="1">
      <c r="A70" s="9"/>
      <c r="B70" s="46"/>
      <c r="C70" s="132" t="str">
        <f>Asset27</f>
        <v>Land Improvements</v>
      </c>
      <c r="D70" s="9"/>
      <c r="E70" s="9"/>
      <c r="F70" s="144"/>
      <c r="G70" s="198">
        <f>Input!G169*(1+previous_vanilla)^0.5</f>
        <v>5.5946982674358816</v>
      </c>
      <c r="H70" s="113"/>
      <c r="I70" s="113"/>
      <c r="J70" s="113"/>
      <c r="K70" s="113"/>
      <c r="L70" s="113"/>
      <c r="M70" s="113"/>
      <c r="N70" s="29"/>
      <c r="O70" s="29"/>
      <c r="P70" s="29"/>
      <c r="Q70" s="29"/>
      <c r="R70" s="102"/>
      <c r="S70" s="102"/>
      <c r="T70" s="102"/>
      <c r="U70" s="102"/>
      <c r="V70" s="102"/>
      <c r="W70" s="102"/>
      <c r="X70" s="102"/>
      <c r="Y70" s="102"/>
      <c r="Z70" s="102"/>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26"/>
      <c r="BK70" s="226"/>
    </row>
    <row r="71" spans="1:63" hidden="1" outlineLevel="1">
      <c r="A71" s="9"/>
      <c r="B71" s="46"/>
      <c r="C71" s="132" t="str">
        <f>Asset28</f>
        <v>Equity Raising Costs</v>
      </c>
      <c r="D71" s="9"/>
      <c r="E71" s="9"/>
      <c r="F71" s="144"/>
      <c r="G71" s="198">
        <f>Input!G170*(1+previous_vanilla)^0.5</f>
        <v>0</v>
      </c>
      <c r="H71" s="113"/>
      <c r="I71" s="113"/>
      <c r="J71" s="113"/>
      <c r="K71" s="113"/>
      <c r="L71" s="113"/>
      <c r="M71" s="113"/>
      <c r="N71" s="29"/>
      <c r="O71" s="29"/>
      <c r="P71" s="29"/>
      <c r="Q71" s="29"/>
      <c r="R71" s="102"/>
      <c r="S71" s="102"/>
      <c r="T71" s="102"/>
      <c r="U71" s="102"/>
      <c r="V71" s="102"/>
      <c r="W71" s="102"/>
      <c r="X71" s="102"/>
      <c r="Y71" s="102"/>
      <c r="Z71" s="102"/>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26"/>
      <c r="BK71" s="226"/>
    </row>
    <row r="72" spans="1:63" hidden="1" outlineLevel="1">
      <c r="A72" s="9"/>
      <c r="B72" s="46"/>
      <c r="C72" s="132" t="str">
        <f>Asset29</f>
        <v>Not Used</v>
      </c>
      <c r="D72" s="9"/>
      <c r="E72" s="9"/>
      <c r="F72" s="144"/>
      <c r="G72" s="198">
        <f>Input!G171*(1+previous_vanilla)^0.5</f>
        <v>0</v>
      </c>
      <c r="H72" s="113"/>
      <c r="I72" s="113"/>
      <c r="J72" s="113"/>
      <c r="K72" s="113"/>
      <c r="L72" s="113"/>
      <c r="M72" s="113"/>
      <c r="N72" s="29"/>
      <c r="O72" s="29"/>
      <c r="P72" s="29"/>
      <c r="Q72" s="29"/>
      <c r="R72" s="102"/>
      <c r="S72" s="102"/>
      <c r="T72" s="102"/>
      <c r="U72" s="102"/>
      <c r="V72" s="102"/>
      <c r="W72" s="102"/>
      <c r="X72" s="102"/>
      <c r="Y72" s="102"/>
      <c r="Z72" s="102"/>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26"/>
      <c r="BK72" s="226"/>
    </row>
    <row r="73" spans="1:63" hidden="1" outlineLevel="1">
      <c r="A73" s="9"/>
      <c r="B73" s="46"/>
      <c r="C73" s="132" t="str">
        <f>Asset30</f>
        <v>Not Used</v>
      </c>
      <c r="D73" s="9"/>
      <c r="E73" s="9"/>
      <c r="F73" s="144"/>
      <c r="G73" s="198">
        <f>Input!G172*(1+previous_vanilla)^0.5</f>
        <v>0</v>
      </c>
      <c r="H73" s="113"/>
      <c r="I73" s="113"/>
      <c r="J73" s="113"/>
      <c r="K73" s="113"/>
      <c r="L73" s="113"/>
      <c r="M73" s="113"/>
      <c r="N73" s="29"/>
      <c r="O73" s="29"/>
      <c r="P73" s="29"/>
      <c r="Q73" s="29"/>
      <c r="R73" s="102"/>
      <c r="S73" s="102"/>
      <c r="T73" s="102"/>
      <c r="U73" s="102"/>
      <c r="V73" s="102"/>
      <c r="W73" s="102"/>
      <c r="X73" s="102"/>
      <c r="Y73" s="102"/>
      <c r="Z73" s="102"/>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26"/>
      <c r="BK73" s="226"/>
    </row>
    <row r="74" spans="1:63" collapsed="1">
      <c r="A74" s="9"/>
      <c r="B74" s="46"/>
      <c r="C74" s="116"/>
      <c r="D74" s="9"/>
      <c r="E74" s="9"/>
      <c r="F74" s="144"/>
      <c r="G74" s="199"/>
      <c r="H74" s="37"/>
      <c r="I74" s="37"/>
      <c r="J74" s="37"/>
      <c r="K74" s="37"/>
      <c r="L74" s="37"/>
      <c r="M74" s="37"/>
      <c r="N74" s="29"/>
      <c r="O74" s="29"/>
      <c r="P74" s="29"/>
      <c r="Q74" s="29"/>
      <c r="R74" s="102"/>
      <c r="S74" s="102"/>
      <c r="T74" s="102"/>
      <c r="U74" s="102"/>
      <c r="V74" s="102"/>
      <c r="W74" s="102"/>
      <c r="X74" s="102"/>
      <c r="Y74" s="102"/>
      <c r="Z74" s="102"/>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26"/>
      <c r="BK74" s="226"/>
    </row>
    <row r="75" spans="1:63">
      <c r="A75" s="9"/>
      <c r="B75" s="46" t="s">
        <v>43</v>
      </c>
      <c r="C75" s="9"/>
      <c r="D75" s="9"/>
      <c r="E75" s="9"/>
      <c r="F75" s="144"/>
      <c r="G75" s="199">
        <f>SUM(G76:G105)</f>
        <v>-132.75294405554428</v>
      </c>
      <c r="H75" s="37"/>
      <c r="I75" s="37"/>
      <c r="J75" s="37"/>
      <c r="K75" s="37"/>
      <c r="L75" s="37"/>
      <c r="M75" s="112"/>
      <c r="N75" s="29"/>
      <c r="O75" s="29"/>
      <c r="P75" s="29"/>
      <c r="Q75" s="29"/>
      <c r="R75" s="102"/>
      <c r="S75" s="102"/>
      <c r="T75" s="102"/>
      <c r="U75" s="102"/>
      <c r="V75" s="102"/>
      <c r="W75" s="102"/>
      <c r="X75" s="102"/>
      <c r="Y75" s="102"/>
      <c r="Z75" s="102"/>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26"/>
      <c r="BK75" s="226"/>
    </row>
    <row r="76" spans="1:63" outlineLevel="1">
      <c r="A76" s="9"/>
      <c r="B76" s="46"/>
      <c r="C76" s="132" t="str">
        <f>Asset1</f>
        <v>Overhead Sub-Transmission Lines</v>
      </c>
      <c r="D76" s="9"/>
      <c r="E76" s="9"/>
      <c r="F76" s="144"/>
      <c r="G76" s="198">
        <f t="shared" ref="G76:G95" si="0">G44*(1+$F$6)/(1+$G$6)-G12</f>
        <v>-7.2340433031837108</v>
      </c>
      <c r="H76" s="119"/>
      <c r="I76" s="119"/>
      <c r="J76" s="119"/>
      <c r="K76" s="119"/>
      <c r="L76" s="119"/>
      <c r="M76" s="154"/>
      <c r="N76" s="155"/>
      <c r="O76" s="155"/>
      <c r="P76" s="155"/>
      <c r="Q76" s="155"/>
      <c r="R76" s="102"/>
      <c r="S76" s="102"/>
      <c r="T76" s="102"/>
      <c r="U76" s="102"/>
      <c r="V76" s="102"/>
      <c r="W76" s="102"/>
      <c r="X76" s="102"/>
      <c r="Y76" s="102"/>
      <c r="Z76" s="102"/>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26"/>
      <c r="BK76" s="226"/>
    </row>
    <row r="77" spans="1:63" outlineLevel="1">
      <c r="A77" s="9"/>
      <c r="B77" s="46"/>
      <c r="C77" s="132" t="str">
        <f>Asset2</f>
        <v>Underground Sub-Transmission Cables</v>
      </c>
      <c r="D77" s="9"/>
      <c r="E77" s="9"/>
      <c r="F77" s="144"/>
      <c r="G77" s="198">
        <f t="shared" si="0"/>
        <v>-14.68313427837345</v>
      </c>
      <c r="H77" s="119"/>
      <c r="I77" s="119"/>
      <c r="J77" s="119"/>
      <c r="K77" s="119"/>
      <c r="L77" s="119"/>
      <c r="M77" s="154"/>
      <c r="N77" s="155"/>
      <c r="O77" s="155"/>
      <c r="P77" s="155"/>
      <c r="Q77" s="155"/>
      <c r="R77" s="102"/>
      <c r="S77" s="102"/>
      <c r="T77" s="102"/>
      <c r="U77" s="102"/>
      <c r="V77" s="102"/>
      <c r="W77" s="102"/>
      <c r="X77" s="102"/>
      <c r="Y77" s="102"/>
      <c r="Z77" s="102"/>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26"/>
      <c r="BK77" s="226"/>
    </row>
    <row r="78" spans="1:63" outlineLevel="1">
      <c r="A78" s="9"/>
      <c r="B78" s="46"/>
      <c r="C78" s="132" t="str">
        <f>Asset3</f>
        <v>Overhead Distribution Lines</v>
      </c>
      <c r="D78" s="9"/>
      <c r="E78" s="9"/>
      <c r="F78" s="144"/>
      <c r="G78" s="198">
        <f t="shared" si="0"/>
        <v>-52.387686720597245</v>
      </c>
      <c r="H78" s="119"/>
      <c r="I78" s="119"/>
      <c r="J78" s="119"/>
      <c r="K78" s="119"/>
      <c r="L78" s="119"/>
      <c r="M78" s="154"/>
      <c r="N78" s="155"/>
      <c r="O78" s="155"/>
      <c r="P78" s="155"/>
      <c r="Q78" s="155"/>
      <c r="R78" s="102"/>
      <c r="S78" s="102"/>
      <c r="T78" s="102"/>
      <c r="U78" s="102"/>
      <c r="V78" s="102"/>
      <c r="W78" s="102"/>
      <c r="X78" s="102"/>
      <c r="Y78" s="102"/>
      <c r="Z78" s="102"/>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26"/>
      <c r="BK78" s="226"/>
    </row>
    <row r="79" spans="1:63" outlineLevel="1">
      <c r="A79" s="9"/>
      <c r="B79" s="46"/>
      <c r="C79" s="132" t="str">
        <f>Asset4</f>
        <v>Underground Distribution Cables</v>
      </c>
      <c r="D79" s="9"/>
      <c r="E79" s="9"/>
      <c r="F79" s="144"/>
      <c r="G79" s="198">
        <f t="shared" si="0"/>
        <v>-41.567166402495097</v>
      </c>
      <c r="H79" s="119"/>
      <c r="I79" s="119"/>
      <c r="J79" s="119"/>
      <c r="K79" s="119"/>
      <c r="L79" s="119"/>
      <c r="M79" s="154"/>
      <c r="N79" s="155"/>
      <c r="O79" s="155"/>
      <c r="P79" s="155"/>
      <c r="Q79" s="155"/>
      <c r="R79" s="102"/>
      <c r="S79" s="102"/>
      <c r="T79" s="102"/>
      <c r="U79" s="102"/>
      <c r="V79" s="102"/>
      <c r="W79" s="102"/>
      <c r="X79" s="102"/>
      <c r="Y79" s="102"/>
      <c r="Z79" s="102"/>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26"/>
      <c r="BK79" s="226"/>
    </row>
    <row r="80" spans="1:63" outlineLevel="1">
      <c r="A80" s="9"/>
      <c r="B80" s="46"/>
      <c r="C80" s="132" t="str">
        <f>Asset5</f>
        <v xml:space="preserve">Distribution Equipment  </v>
      </c>
      <c r="D80" s="9"/>
      <c r="E80" s="9"/>
      <c r="F80" s="144"/>
      <c r="G80" s="198">
        <f t="shared" si="0"/>
        <v>-15.149455482624457</v>
      </c>
      <c r="H80" s="119"/>
      <c r="I80" s="119"/>
      <c r="J80" s="119"/>
      <c r="K80" s="119"/>
      <c r="L80" s="119"/>
      <c r="M80" s="154"/>
      <c r="N80" s="155"/>
      <c r="O80" s="155"/>
      <c r="P80" s="155"/>
      <c r="Q80" s="155"/>
      <c r="R80" s="102"/>
      <c r="S80" s="102"/>
      <c r="T80" s="102"/>
      <c r="U80" s="102"/>
      <c r="V80" s="102"/>
      <c r="W80" s="102"/>
      <c r="X80" s="102"/>
      <c r="Y80" s="102"/>
      <c r="Z80" s="102"/>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26"/>
      <c r="BK80" s="226"/>
    </row>
    <row r="81" spans="1:63" outlineLevel="1">
      <c r="A81" s="9"/>
      <c r="B81" s="46"/>
      <c r="C81" s="132" t="str">
        <f>Asset6</f>
        <v>Substation Bays</v>
      </c>
      <c r="D81" s="9"/>
      <c r="E81" s="9"/>
      <c r="F81" s="144"/>
      <c r="G81" s="198">
        <f t="shared" si="0"/>
        <v>12.089127544473115</v>
      </c>
      <c r="H81" s="119"/>
      <c r="I81" s="119"/>
      <c r="J81" s="119"/>
      <c r="K81" s="119"/>
      <c r="L81" s="119"/>
      <c r="M81" s="154"/>
      <c r="N81" s="155"/>
      <c r="O81" s="155"/>
      <c r="P81" s="155"/>
      <c r="Q81" s="155"/>
      <c r="R81" s="102"/>
      <c r="S81" s="102"/>
      <c r="T81" s="102"/>
      <c r="U81" s="102"/>
      <c r="V81" s="102"/>
      <c r="W81" s="102"/>
      <c r="X81" s="102"/>
      <c r="Y81" s="102"/>
      <c r="Z81" s="102"/>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26"/>
      <c r="BK81" s="226"/>
    </row>
    <row r="82" spans="1:63" outlineLevel="1">
      <c r="A82" s="9"/>
      <c r="B82" s="46"/>
      <c r="C82" s="132" t="str">
        <f>Asset7</f>
        <v>Substation Establishment</v>
      </c>
      <c r="D82" s="9"/>
      <c r="E82" s="9"/>
      <c r="F82" s="144"/>
      <c r="G82" s="198">
        <f t="shared" si="0"/>
        <v>-10.928457777900011</v>
      </c>
      <c r="H82" s="119"/>
      <c r="I82" s="119"/>
      <c r="J82" s="119"/>
      <c r="K82" s="119"/>
      <c r="L82" s="119"/>
      <c r="M82" s="154"/>
      <c r="N82" s="155"/>
      <c r="O82" s="155"/>
      <c r="P82" s="155"/>
      <c r="Q82" s="155"/>
      <c r="R82" s="102"/>
      <c r="S82" s="102"/>
      <c r="T82" s="102"/>
      <c r="U82" s="102"/>
      <c r="V82" s="102"/>
      <c r="W82" s="102"/>
      <c r="X82" s="102"/>
      <c r="Y82" s="102"/>
      <c r="Z82" s="102"/>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26"/>
      <c r="BK82" s="226"/>
    </row>
    <row r="83" spans="1:63" outlineLevel="1">
      <c r="A83" s="9"/>
      <c r="B83" s="46"/>
      <c r="C83" s="132" t="str">
        <f>Asset8</f>
        <v>Distribution Substation Switchgear</v>
      </c>
      <c r="D83" s="9"/>
      <c r="E83" s="9"/>
      <c r="F83" s="144"/>
      <c r="G83" s="198">
        <f t="shared" si="0"/>
        <v>16.645437602430654</v>
      </c>
      <c r="H83" s="119"/>
      <c r="I83" s="119"/>
      <c r="J83" s="119"/>
      <c r="K83" s="119"/>
      <c r="L83" s="119"/>
      <c r="M83" s="154"/>
      <c r="N83" s="155"/>
      <c r="O83" s="155"/>
      <c r="P83" s="155"/>
      <c r="Q83" s="155"/>
      <c r="R83" s="102"/>
      <c r="S83" s="102"/>
      <c r="T83" s="102"/>
      <c r="U83" s="102"/>
      <c r="V83" s="102"/>
      <c r="W83" s="102"/>
      <c r="X83" s="102"/>
      <c r="Y83" s="102"/>
      <c r="Z83" s="102"/>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26"/>
      <c r="BK83" s="226"/>
    </row>
    <row r="84" spans="1:63" outlineLevel="1">
      <c r="A84" s="9"/>
      <c r="B84" s="46"/>
      <c r="C84" s="132" t="str">
        <f>Asset9</f>
        <v>Zone Transformers</v>
      </c>
      <c r="D84" s="9"/>
      <c r="E84" s="9"/>
      <c r="F84" s="144"/>
      <c r="G84" s="198">
        <f t="shared" si="0"/>
        <v>19.749899690296392</v>
      </c>
      <c r="H84" s="119"/>
      <c r="I84" s="119"/>
      <c r="J84" s="119"/>
      <c r="K84" s="119"/>
      <c r="L84" s="119"/>
      <c r="M84" s="154"/>
      <c r="N84" s="155"/>
      <c r="O84" s="155"/>
      <c r="P84" s="155"/>
      <c r="Q84" s="155"/>
      <c r="R84" s="102"/>
      <c r="S84" s="102"/>
      <c r="T84" s="102"/>
      <c r="U84" s="102"/>
      <c r="V84" s="102"/>
      <c r="W84" s="102"/>
      <c r="X84" s="102"/>
      <c r="Y84" s="102"/>
      <c r="Z84" s="102"/>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26"/>
      <c r="BK84" s="226"/>
    </row>
    <row r="85" spans="1:63" outlineLevel="1">
      <c r="A85" s="9"/>
      <c r="B85" s="46"/>
      <c r="C85" s="132" t="str">
        <f>Asset10</f>
        <v>Distribution Transformers</v>
      </c>
      <c r="D85" s="9"/>
      <c r="E85" s="9"/>
      <c r="F85" s="144"/>
      <c r="G85" s="198">
        <f t="shared" si="0"/>
        <v>-14.620299714651011</v>
      </c>
      <c r="H85" s="119"/>
      <c r="I85" s="119"/>
      <c r="J85" s="119"/>
      <c r="K85" s="119"/>
      <c r="L85" s="119"/>
      <c r="M85" s="154"/>
      <c r="N85" s="155"/>
      <c r="O85" s="155"/>
      <c r="P85" s="155"/>
      <c r="Q85" s="155"/>
      <c r="R85" s="102"/>
      <c r="S85" s="102"/>
      <c r="T85" s="102"/>
      <c r="U85" s="102"/>
      <c r="V85" s="102"/>
      <c r="W85" s="102"/>
      <c r="X85" s="102"/>
      <c r="Y85" s="102"/>
      <c r="Z85" s="102"/>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26"/>
      <c r="BK85" s="226"/>
    </row>
    <row r="86" spans="1:63" outlineLevel="1">
      <c r="A86" s="9"/>
      <c r="B86" s="46"/>
      <c r="C86" s="132" t="str">
        <f>Asset11</f>
        <v>Low Voltage Services</v>
      </c>
      <c r="D86" s="9"/>
      <c r="E86" s="9"/>
      <c r="F86" s="144"/>
      <c r="G86" s="198">
        <f t="shared" si="0"/>
        <v>3.2371129653308088</v>
      </c>
      <c r="H86" s="119"/>
      <c r="I86" s="119"/>
      <c r="J86" s="119"/>
      <c r="K86" s="119"/>
      <c r="L86" s="119"/>
      <c r="M86" s="154"/>
      <c r="N86" s="155"/>
      <c r="O86" s="155"/>
      <c r="P86" s="155"/>
      <c r="Q86" s="155"/>
      <c r="R86" s="102"/>
      <c r="S86" s="102"/>
      <c r="T86" s="102"/>
      <c r="U86" s="102"/>
      <c r="V86" s="102"/>
      <c r="W86" s="102"/>
      <c r="X86" s="102"/>
      <c r="Y86" s="102"/>
      <c r="Z86" s="102"/>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26"/>
      <c r="BK86" s="226"/>
    </row>
    <row r="87" spans="1:63" outlineLevel="1">
      <c r="A87" s="9"/>
      <c r="B87" s="46"/>
      <c r="C87" s="132" t="str">
        <f>Asset12</f>
        <v>Metering</v>
      </c>
      <c r="D87" s="9"/>
      <c r="E87" s="9"/>
      <c r="F87" s="144"/>
      <c r="G87" s="198">
        <f t="shared" si="0"/>
        <v>23.724944223696333</v>
      </c>
      <c r="H87" s="119"/>
      <c r="I87" s="119"/>
      <c r="J87" s="119"/>
      <c r="K87" s="119"/>
      <c r="L87" s="119"/>
      <c r="M87" s="154"/>
      <c r="N87" s="155"/>
      <c r="O87" s="155"/>
      <c r="P87" s="155"/>
      <c r="Q87" s="155"/>
      <c r="R87" s="102"/>
      <c r="S87" s="102"/>
      <c r="T87" s="102"/>
      <c r="U87" s="102"/>
      <c r="V87" s="102"/>
      <c r="W87" s="102"/>
      <c r="X87" s="102"/>
      <c r="Y87" s="102"/>
      <c r="Z87" s="102"/>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26"/>
      <c r="BK87" s="226"/>
    </row>
    <row r="88" spans="1:63" outlineLevel="1">
      <c r="A88" s="9"/>
      <c r="B88" s="46"/>
      <c r="C88" s="132" t="str">
        <f>Asset13</f>
        <v xml:space="preserve">Communications – Pilot Wires </v>
      </c>
      <c r="D88" s="9"/>
      <c r="E88" s="9"/>
      <c r="F88" s="144"/>
      <c r="G88" s="198">
        <f t="shared" si="0"/>
        <v>-30.045609062763667</v>
      </c>
      <c r="H88" s="119"/>
      <c r="I88" s="119"/>
      <c r="J88" s="119"/>
      <c r="K88" s="119"/>
      <c r="L88" s="119"/>
      <c r="M88" s="154"/>
      <c r="N88" s="155"/>
      <c r="O88" s="155"/>
      <c r="P88" s="155"/>
      <c r="Q88" s="155"/>
      <c r="R88" s="102"/>
      <c r="S88" s="102"/>
      <c r="T88" s="102"/>
      <c r="U88" s="102"/>
      <c r="V88" s="102"/>
      <c r="W88" s="102"/>
      <c r="X88" s="102"/>
      <c r="Y88" s="102"/>
      <c r="Z88" s="102"/>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26"/>
      <c r="BK88" s="226"/>
    </row>
    <row r="89" spans="1:63" outlineLevel="1">
      <c r="A89" s="9"/>
      <c r="B89" s="46"/>
      <c r="C89" s="132" t="str">
        <f>Asset14</f>
        <v>Generation Assets</v>
      </c>
      <c r="D89" s="9"/>
      <c r="E89" s="9"/>
      <c r="F89" s="144"/>
      <c r="G89" s="198">
        <f t="shared" si="0"/>
        <v>-6.9191000000000003E-2</v>
      </c>
      <c r="H89" s="119"/>
      <c r="I89" s="119"/>
      <c r="J89" s="119"/>
      <c r="K89" s="119"/>
      <c r="L89" s="119"/>
      <c r="M89" s="154"/>
      <c r="N89" s="155"/>
      <c r="O89" s="155"/>
      <c r="P89" s="155"/>
      <c r="Q89" s="155"/>
      <c r="R89" s="102"/>
      <c r="S89" s="102"/>
      <c r="T89" s="102"/>
      <c r="U89" s="102"/>
      <c r="V89" s="102"/>
      <c r="W89" s="102"/>
      <c r="X89" s="102"/>
      <c r="Y89" s="102"/>
      <c r="Z89" s="102"/>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26"/>
      <c r="BK89" s="226"/>
    </row>
    <row r="90" spans="1:63" outlineLevel="1">
      <c r="A90" s="9"/>
      <c r="B90" s="46"/>
      <c r="C90" s="132" t="str">
        <f>Asset15</f>
        <v>Street Lighting</v>
      </c>
      <c r="D90" s="9"/>
      <c r="E90" s="9"/>
      <c r="F90" s="144"/>
      <c r="G90" s="198">
        <f t="shared" si="0"/>
        <v>0</v>
      </c>
      <c r="H90" s="119"/>
      <c r="I90" s="119"/>
      <c r="J90" s="119"/>
      <c r="K90" s="119"/>
      <c r="L90" s="119"/>
      <c r="M90" s="154"/>
      <c r="N90" s="155"/>
      <c r="O90" s="155"/>
      <c r="P90" s="155"/>
      <c r="Q90" s="155"/>
      <c r="R90" s="102"/>
      <c r="S90" s="102"/>
      <c r="T90" s="102"/>
      <c r="U90" s="102"/>
      <c r="V90" s="102"/>
      <c r="W90" s="102"/>
      <c r="X90" s="102"/>
      <c r="Y90" s="102"/>
      <c r="Z90" s="102"/>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26"/>
      <c r="BK90" s="226"/>
    </row>
    <row r="91" spans="1:63" outlineLevel="1">
      <c r="A91" s="9"/>
      <c r="B91" s="46"/>
      <c r="C91" s="132" t="str">
        <f>Asset16</f>
        <v>Other Equipment</v>
      </c>
      <c r="D91" s="9"/>
      <c r="E91" s="9"/>
      <c r="F91" s="144"/>
      <c r="G91" s="198">
        <f t="shared" si="0"/>
        <v>3.7510748534675158</v>
      </c>
      <c r="H91" s="119"/>
      <c r="I91" s="119"/>
      <c r="J91" s="119"/>
      <c r="K91" s="119"/>
      <c r="L91" s="119"/>
      <c r="M91" s="154"/>
      <c r="N91" s="155"/>
      <c r="O91" s="155"/>
      <c r="P91" s="155"/>
      <c r="Q91" s="155"/>
      <c r="R91" s="102"/>
      <c r="S91" s="102"/>
      <c r="T91" s="102"/>
      <c r="U91" s="102"/>
      <c r="V91" s="102"/>
      <c r="W91" s="102"/>
      <c r="X91" s="102"/>
      <c r="Y91" s="102"/>
      <c r="Z91" s="102"/>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26"/>
      <c r="BK91" s="226"/>
    </row>
    <row r="92" spans="1:63" outlineLevel="1">
      <c r="A92" s="9"/>
      <c r="B92" s="46"/>
      <c r="C92" s="132" t="str">
        <f>Asset17</f>
        <v>Control Centre - SCADA</v>
      </c>
      <c r="D92" s="9"/>
      <c r="E92" s="9"/>
      <c r="F92" s="144"/>
      <c r="G92" s="198">
        <f t="shared" si="0"/>
        <v>2.5759531227968271</v>
      </c>
      <c r="H92" s="119"/>
      <c r="I92" s="119"/>
      <c r="J92" s="119"/>
      <c r="K92" s="119"/>
      <c r="L92" s="119"/>
      <c r="M92" s="154"/>
      <c r="N92" s="155"/>
      <c r="O92" s="155"/>
      <c r="P92" s="155"/>
      <c r="Q92" s="155"/>
      <c r="R92" s="102"/>
      <c r="S92" s="102"/>
      <c r="T92" s="102"/>
      <c r="U92" s="102"/>
      <c r="V92" s="102"/>
      <c r="W92" s="102"/>
      <c r="X92" s="102"/>
      <c r="Y92" s="102"/>
      <c r="Z92" s="102"/>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26"/>
      <c r="BK92" s="226"/>
    </row>
    <row r="93" spans="1:63" outlineLevel="1">
      <c r="A93" s="9"/>
      <c r="B93" s="46"/>
      <c r="C93" s="132" t="str">
        <f>Asset18</f>
        <v>Land &amp; Easements (System)</v>
      </c>
      <c r="D93" s="9"/>
      <c r="E93" s="9"/>
      <c r="F93" s="144"/>
      <c r="G93" s="198">
        <f t="shared" si="0"/>
        <v>-14.599397339921708</v>
      </c>
      <c r="H93" s="119"/>
      <c r="I93" s="119"/>
      <c r="J93" s="119"/>
      <c r="K93" s="119"/>
      <c r="L93" s="119"/>
      <c r="M93" s="154"/>
      <c r="N93" s="155"/>
      <c r="O93" s="155"/>
      <c r="P93" s="155"/>
      <c r="Q93" s="155"/>
      <c r="R93" s="102"/>
      <c r="S93" s="102"/>
      <c r="T93" s="102"/>
      <c r="U93" s="102"/>
      <c r="V93" s="102"/>
      <c r="W93" s="102"/>
      <c r="X93" s="102"/>
      <c r="Y93" s="102"/>
      <c r="Z93" s="102"/>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26"/>
      <c r="BK93" s="226"/>
    </row>
    <row r="94" spans="1:63" outlineLevel="1">
      <c r="A94" s="9"/>
      <c r="B94" s="46"/>
      <c r="C94" s="132" t="str">
        <f>Asset19</f>
        <v>Metering Type 5-6</v>
      </c>
      <c r="D94" s="9"/>
      <c r="E94" s="9"/>
      <c r="F94" s="144"/>
      <c r="G94" s="198">
        <f t="shared" si="0"/>
        <v>0</v>
      </c>
      <c r="H94" s="119"/>
      <c r="I94" s="119"/>
      <c r="J94" s="119"/>
      <c r="K94" s="119"/>
      <c r="L94" s="119"/>
      <c r="M94" s="154"/>
      <c r="N94" s="155"/>
      <c r="O94" s="155"/>
      <c r="P94" s="155"/>
      <c r="Q94" s="155"/>
      <c r="R94" s="102"/>
      <c r="S94" s="102"/>
      <c r="T94" s="102"/>
      <c r="U94" s="102"/>
      <c r="V94" s="102"/>
      <c r="W94" s="102"/>
      <c r="X94" s="102"/>
      <c r="Y94" s="102"/>
      <c r="Z94" s="102"/>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26"/>
      <c r="BK94" s="226"/>
    </row>
    <row r="95" spans="1:63" outlineLevel="1">
      <c r="A95" s="9"/>
      <c r="B95" s="46"/>
      <c r="C95" s="132" t="str">
        <f>Asset20</f>
        <v>Communications</v>
      </c>
      <c r="D95" s="9"/>
      <c r="E95" s="9"/>
      <c r="F95" s="144"/>
      <c r="G95" s="198">
        <f t="shared" si="0"/>
        <v>0.48613183699100843</v>
      </c>
      <c r="H95" s="119"/>
      <c r="I95" s="119"/>
      <c r="J95" s="119"/>
      <c r="K95" s="119"/>
      <c r="L95" s="119"/>
      <c r="M95" s="154"/>
      <c r="N95" s="155"/>
      <c r="O95" s="155"/>
      <c r="P95" s="155"/>
      <c r="Q95" s="155"/>
      <c r="R95" s="102"/>
      <c r="S95" s="102"/>
      <c r="T95" s="102"/>
      <c r="U95" s="102"/>
      <c r="V95" s="102"/>
      <c r="W95" s="102"/>
      <c r="X95" s="102"/>
      <c r="Y95" s="102"/>
      <c r="Z95" s="102"/>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26"/>
      <c r="BK95" s="226"/>
    </row>
    <row r="96" spans="1:63" outlineLevel="1">
      <c r="A96" s="9"/>
      <c r="B96" s="46"/>
      <c r="C96" s="132" t="str">
        <f>Asset21</f>
        <v>IT Systems</v>
      </c>
      <c r="D96" s="9"/>
      <c r="E96" s="9"/>
      <c r="F96" s="144"/>
      <c r="G96" s="198">
        <f t="shared" ref="G96:G105" si="1">G64*(1+$F$6)/(1+$G$6)-G32</f>
        <v>37.755097050464784</v>
      </c>
      <c r="H96" s="119"/>
      <c r="I96" s="119"/>
      <c r="J96" s="119"/>
      <c r="K96" s="119"/>
      <c r="L96" s="119"/>
      <c r="M96" s="154"/>
      <c r="N96" s="155"/>
      <c r="O96" s="155"/>
      <c r="P96" s="155"/>
      <c r="Q96" s="155"/>
      <c r="R96" s="102"/>
      <c r="S96" s="102"/>
      <c r="T96" s="102"/>
      <c r="U96" s="102"/>
      <c r="V96" s="102"/>
      <c r="W96" s="102"/>
      <c r="X96" s="102"/>
      <c r="Y96" s="102"/>
      <c r="Z96" s="102"/>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26"/>
      <c r="BK96" s="226"/>
    </row>
    <row r="97" spans="1:63" outlineLevel="1">
      <c r="A97" s="9"/>
      <c r="B97" s="46"/>
      <c r="C97" s="132" t="str">
        <f>Asset22</f>
        <v>Office Equipment &amp; Furniture</v>
      </c>
      <c r="D97" s="9"/>
      <c r="E97" s="9"/>
      <c r="F97" s="144"/>
      <c r="G97" s="198">
        <f t="shared" si="1"/>
        <v>1.2797660242272435</v>
      </c>
      <c r="H97" s="119"/>
      <c r="I97" s="119"/>
      <c r="J97" s="119"/>
      <c r="K97" s="119"/>
      <c r="L97" s="119"/>
      <c r="M97" s="154"/>
      <c r="N97" s="155"/>
      <c r="O97" s="155"/>
      <c r="P97" s="155"/>
      <c r="Q97" s="155"/>
      <c r="R97" s="102"/>
      <c r="S97" s="102"/>
      <c r="T97" s="102"/>
      <c r="U97" s="102"/>
      <c r="V97" s="102"/>
      <c r="W97" s="102"/>
      <c r="X97" s="102"/>
      <c r="Y97" s="102"/>
      <c r="Z97" s="102"/>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26"/>
      <c r="BK97" s="226"/>
    </row>
    <row r="98" spans="1:63" outlineLevel="1">
      <c r="A98" s="9"/>
      <c r="B98" s="46"/>
      <c r="C98" s="132" t="str">
        <f>Asset23</f>
        <v>Motor Vehicles</v>
      </c>
      <c r="D98" s="9"/>
      <c r="E98" s="9"/>
      <c r="F98" s="144"/>
      <c r="G98" s="198">
        <f t="shared" si="1"/>
        <v>-9.7239822291280102</v>
      </c>
      <c r="H98" s="119"/>
      <c r="I98" s="119"/>
      <c r="J98" s="119"/>
      <c r="K98" s="119"/>
      <c r="L98" s="119"/>
      <c r="M98" s="154"/>
      <c r="N98" s="155"/>
      <c r="O98" s="155"/>
      <c r="P98" s="155"/>
      <c r="Q98" s="155"/>
      <c r="R98" s="102"/>
      <c r="S98" s="102"/>
      <c r="T98" s="102"/>
      <c r="U98" s="102"/>
      <c r="V98" s="102"/>
      <c r="W98" s="102"/>
      <c r="X98" s="102"/>
      <c r="Y98" s="102"/>
      <c r="Z98" s="102"/>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26"/>
      <c r="BK98" s="226"/>
    </row>
    <row r="99" spans="1:63" outlineLevel="1">
      <c r="A99" s="9"/>
      <c r="B99" s="46"/>
      <c r="C99" s="132" t="str">
        <f>Asset24</f>
        <v>Plant &amp; Equipment</v>
      </c>
      <c r="D99" s="9"/>
      <c r="E99" s="9"/>
      <c r="F99" s="144"/>
      <c r="G99" s="198">
        <f t="shared" si="1"/>
        <v>7.6932783046829716</v>
      </c>
      <c r="H99" s="119"/>
      <c r="I99" s="119"/>
      <c r="J99" s="119"/>
      <c r="K99" s="119"/>
      <c r="L99" s="119"/>
      <c r="M99" s="154"/>
      <c r="N99" s="155"/>
      <c r="O99" s="155"/>
      <c r="P99" s="155"/>
      <c r="Q99" s="155"/>
      <c r="R99" s="102"/>
      <c r="S99" s="102"/>
      <c r="T99" s="102"/>
      <c r="U99" s="102"/>
      <c r="V99" s="102"/>
      <c r="W99" s="102"/>
      <c r="X99" s="102"/>
      <c r="Y99" s="102"/>
      <c r="Z99" s="102"/>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26"/>
      <c r="BK99" s="226"/>
    </row>
    <row r="100" spans="1:63" outlineLevel="1">
      <c r="A100" s="9"/>
      <c r="B100" s="46"/>
      <c r="C100" s="132" t="str">
        <f>Asset25</f>
        <v>Buildings</v>
      </c>
      <c r="D100" s="9"/>
      <c r="E100" s="9"/>
      <c r="F100" s="144"/>
      <c r="G100" s="198">
        <f t="shared" si="1"/>
        <v>-55.566083548359323</v>
      </c>
      <c r="H100" s="119"/>
      <c r="I100" s="119"/>
      <c r="J100" s="119"/>
      <c r="K100" s="119"/>
      <c r="L100" s="119"/>
      <c r="M100" s="154"/>
      <c r="N100" s="155"/>
      <c r="O100" s="155"/>
      <c r="P100" s="155"/>
      <c r="Q100" s="155"/>
      <c r="R100" s="102"/>
      <c r="S100" s="102"/>
      <c r="T100" s="102"/>
      <c r="U100" s="102"/>
      <c r="V100" s="102"/>
      <c r="W100" s="102"/>
      <c r="X100" s="102"/>
      <c r="Y100" s="102"/>
      <c r="Z100" s="102"/>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26"/>
      <c r="BK100" s="226"/>
    </row>
    <row r="101" spans="1:63" outlineLevel="1">
      <c r="A101" s="9"/>
      <c r="B101" s="46"/>
      <c r="C101" s="132" t="str">
        <f>Asset26</f>
        <v>Land &amp; Easements</v>
      </c>
      <c r="D101" s="9"/>
      <c r="E101" s="9"/>
      <c r="F101" s="144"/>
      <c r="G101" s="198">
        <f t="shared" si="1"/>
        <v>-0.73812095929829158</v>
      </c>
      <c r="H101" s="119"/>
      <c r="I101" s="119"/>
      <c r="J101" s="119"/>
      <c r="K101" s="119"/>
      <c r="L101" s="119"/>
      <c r="M101" s="154"/>
      <c r="N101" s="155"/>
      <c r="O101" s="155"/>
      <c r="P101" s="155"/>
      <c r="Q101" s="155"/>
      <c r="R101" s="102"/>
      <c r="S101" s="102"/>
      <c r="T101" s="102"/>
      <c r="U101" s="102"/>
      <c r="V101" s="102"/>
      <c r="W101" s="102"/>
      <c r="X101" s="102"/>
      <c r="Y101" s="102"/>
      <c r="Z101" s="102"/>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26"/>
      <c r="BK101" s="226"/>
    </row>
    <row r="102" spans="1:63" outlineLevel="1">
      <c r="A102" s="9"/>
      <c r="B102" s="46"/>
      <c r="C102" s="132" t="str">
        <f>Asset27</f>
        <v>Land Improvements</v>
      </c>
      <c r="D102" s="9"/>
      <c r="E102" s="9"/>
      <c r="F102" s="144"/>
      <c r="G102" s="198">
        <f t="shared" si="1"/>
        <v>5.5718605448941076</v>
      </c>
      <c r="H102" s="119"/>
      <c r="I102" s="119"/>
      <c r="J102" s="119"/>
      <c r="K102" s="119"/>
      <c r="L102" s="119"/>
      <c r="M102" s="154"/>
      <c r="N102" s="155"/>
      <c r="O102" s="155"/>
      <c r="P102" s="155"/>
      <c r="Q102" s="155"/>
      <c r="R102" s="102"/>
      <c r="S102" s="102"/>
      <c r="T102" s="102"/>
      <c r="U102" s="102"/>
      <c r="V102" s="102"/>
      <c r="W102" s="102"/>
      <c r="X102" s="102"/>
      <c r="Y102" s="102"/>
      <c r="Z102" s="102"/>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26"/>
      <c r="BK102" s="226"/>
    </row>
    <row r="103" spans="1:63" outlineLevel="1">
      <c r="A103" s="9"/>
      <c r="B103" s="46"/>
      <c r="C103" s="132" t="str">
        <f>Asset28</f>
        <v>Equity Raising Costs</v>
      </c>
      <c r="D103" s="9"/>
      <c r="E103" s="9"/>
      <c r="F103" s="144"/>
      <c r="G103" s="198">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26"/>
      <c r="BK103" s="226"/>
    </row>
    <row r="104" spans="1:63" outlineLevel="1">
      <c r="A104" s="9"/>
      <c r="B104" s="46"/>
      <c r="C104" s="132" t="str">
        <f>Asset29</f>
        <v>Not Used</v>
      </c>
      <c r="D104" s="9"/>
      <c r="E104" s="9"/>
      <c r="F104" s="144"/>
      <c r="G104" s="198">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26"/>
      <c r="BK104" s="226"/>
    </row>
    <row r="105" spans="1:63" outlineLevel="1">
      <c r="A105" s="9"/>
      <c r="B105" s="46"/>
      <c r="C105" s="132" t="str">
        <f>Asset30</f>
        <v>Not Used</v>
      </c>
      <c r="D105" s="9"/>
      <c r="E105" s="9"/>
      <c r="F105" s="144"/>
      <c r="G105" s="198">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26"/>
      <c r="BK105" s="226"/>
    </row>
    <row r="106" spans="1:63">
      <c r="A106" s="9"/>
      <c r="B106" s="46"/>
      <c r="C106" s="132"/>
      <c r="D106" s="9"/>
      <c r="E106" s="9"/>
      <c r="F106" s="144"/>
      <c r="G106" s="198"/>
      <c r="H106" s="119"/>
      <c r="I106" s="119"/>
      <c r="J106" s="119"/>
      <c r="K106" s="119"/>
      <c r="L106" s="119"/>
      <c r="M106" s="154"/>
      <c r="N106" s="155"/>
      <c r="O106" s="155"/>
      <c r="P106" s="155"/>
      <c r="Q106" s="155"/>
      <c r="R106" s="102"/>
      <c r="S106" s="102"/>
      <c r="T106" s="102"/>
      <c r="U106" s="102"/>
      <c r="V106" s="102"/>
      <c r="W106" s="102"/>
      <c r="X106" s="102"/>
      <c r="Y106" s="102"/>
      <c r="Z106" s="102"/>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26"/>
      <c r="BK106" s="226"/>
    </row>
    <row r="107" spans="1:63">
      <c r="A107" s="9"/>
      <c r="B107" s="46" t="s">
        <v>61</v>
      </c>
      <c r="C107" s="9"/>
      <c r="D107" s="9"/>
      <c r="E107" s="9"/>
      <c r="F107" s="144"/>
      <c r="G107" s="199"/>
      <c r="H107" s="37">
        <f>SUM(H108,H110,H112,H114,H116,H118,H120,H122,H124,H126,H128,H130,H132,H134,H136,H138,H140,H142,H144,H146,H148,H150,H152,H154,H156,H158,H160,H162,H164,H166)</f>
        <v>-14.054403461032033</v>
      </c>
      <c r="I107" s="37">
        <f t="shared" ref="I107:Q107" si="2">SUM(I108,I110,I112,I114,I116,I118,I120,I122,I124,I126,I128,I130,I132,I134,I136,I138,I140,I142,I144,I146,I148,I150,I152,I154,I156,I158,I160,I162,I164,I166)</f>
        <v>-12.792768205206253</v>
      </c>
      <c r="J107" s="37">
        <f t="shared" si="2"/>
        <v>-15.478969475435825</v>
      </c>
      <c r="K107" s="37">
        <f t="shared" si="2"/>
        <v>-17.785924270343841</v>
      </c>
      <c r="L107" s="37">
        <f t="shared" si="2"/>
        <v>-16.290200426475209</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26"/>
      <c r="BK107" s="226"/>
    </row>
    <row r="108" spans="1:63" hidden="1" outlineLevel="1">
      <c r="A108" s="9"/>
      <c r="B108" s="46"/>
      <c r="C108" s="132" t="str">
        <f>Asset1</f>
        <v>Overhead Sub-Transmission Lines</v>
      </c>
      <c r="D108" s="9"/>
      <c r="E108" s="9"/>
      <c r="F108" s="144"/>
      <c r="G108" s="198"/>
      <c r="H108" s="113">
        <f>($G76+(SUM($G108:G108)))*H$7</f>
        <v>-0.76585995106053273</v>
      </c>
      <c r="I108" s="113">
        <f>($G76+(SUM($G108:H108)))*I$7</f>
        <v>-0.69711025862698262</v>
      </c>
      <c r="J108" s="113">
        <f>($G76+(SUM($G108:I108)))*J$7</f>
        <v>-0.84348815215058959</v>
      </c>
      <c r="K108" s="113">
        <f>($G76+(SUM($G108:J108)))*K$7</f>
        <v>-0.96919994712117286</v>
      </c>
      <c r="L108" s="113">
        <f>($G76+(SUM($G108:K108)))*L$7</f>
        <v>-0.88769417613335289</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26"/>
      <c r="BK108" s="226"/>
    </row>
    <row r="109" spans="1:63" hidden="1" outlineLevel="1">
      <c r="A109" s="9"/>
      <c r="B109" s="46"/>
      <c r="C109" s="157" t="s">
        <v>29</v>
      </c>
      <c r="D109" s="9"/>
      <c r="E109" s="9"/>
      <c r="F109" s="144"/>
      <c r="G109" s="198"/>
      <c r="H109" s="113"/>
      <c r="I109" s="113"/>
      <c r="J109" s="113"/>
      <c r="K109" s="113"/>
      <c r="L109" s="113">
        <f>IF(M108=0, SUM($G108:L108), 0)</f>
        <v>-4.1633524850926307</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26"/>
      <c r="BK109" s="226"/>
    </row>
    <row r="110" spans="1:63" hidden="1" outlineLevel="1">
      <c r="A110" s="9"/>
      <c r="B110" s="46"/>
      <c r="C110" s="132" t="str">
        <f>Asset2</f>
        <v>Underground Sub-Transmission Cables</v>
      </c>
      <c r="D110" s="9"/>
      <c r="E110" s="9"/>
      <c r="F110" s="144"/>
      <c r="G110" s="198"/>
      <c r="H110" s="113">
        <f>($G77+(SUM($G110:G110)))*H$7</f>
        <v>-1.5544867549937507</v>
      </c>
      <c r="I110" s="113">
        <f>($G77+(SUM($G110:H110)))*I$7</f>
        <v>-1.4149436359811198</v>
      </c>
      <c r="J110" s="113">
        <f>($G77+(SUM($G110:I110)))*J$7</f>
        <v>-1.7120508243009169</v>
      </c>
      <c r="K110" s="113">
        <f>($G77+(SUM($G110:J110)))*K$7</f>
        <v>-1.967211470784201</v>
      </c>
      <c r="L110" s="113">
        <f>($G77+(SUM($G110:K110)))*L$7</f>
        <v>-1.8017769924821676</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26"/>
      <c r="BK110" s="226"/>
    </row>
    <row r="111" spans="1:63" hidden="1" outlineLevel="1">
      <c r="A111" s="9"/>
      <c r="B111" s="46"/>
      <c r="C111" s="157" t="s">
        <v>29</v>
      </c>
      <c r="D111" s="9"/>
      <c r="E111" s="9"/>
      <c r="F111" s="144"/>
      <c r="G111" s="198"/>
      <c r="H111" s="113"/>
      <c r="I111" s="113"/>
      <c r="J111" s="113"/>
      <c r="K111" s="113"/>
      <c r="L111" s="113">
        <f>IF(M110=0, SUM($G110:L110), 0)</f>
        <v>-8.4504696785421558</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26"/>
      <c r="BK111" s="226"/>
    </row>
    <row r="112" spans="1:63" hidden="1" outlineLevel="1">
      <c r="A112" s="9"/>
      <c r="B112" s="46"/>
      <c r="C112" s="132" t="str">
        <f>Asset3</f>
        <v>Overhead Distribution Lines</v>
      </c>
      <c r="D112" s="9"/>
      <c r="E112" s="9"/>
      <c r="F112" s="144"/>
      <c r="G112" s="198"/>
      <c r="H112" s="113">
        <f>($G78+(SUM($G112:G112)))*H$7</f>
        <v>-5.5462249127474186</v>
      </c>
      <c r="I112" s="113">
        <f>($G78+(SUM($G112:H112)))*I$7</f>
        <v>-5.0483515660726548</v>
      </c>
      <c r="J112" s="113">
        <f>($G78+(SUM($G112:I112)))*J$7</f>
        <v>-6.1083948789680571</v>
      </c>
      <c r="K112" s="113">
        <f>($G78+(SUM($G112:J112)))*K$7</f>
        <v>-7.0187778910664882</v>
      </c>
      <c r="L112" s="113">
        <f>($G78+(SUM($G112:K112)))*L$7</f>
        <v>-6.4285272362837791</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26"/>
      <c r="BK112" s="226"/>
    </row>
    <row r="113" spans="1:63" hidden="1" outlineLevel="1">
      <c r="A113" s="9"/>
      <c r="B113" s="46"/>
      <c r="C113" s="157" t="s">
        <v>29</v>
      </c>
      <c r="D113" s="9"/>
      <c r="E113" s="9"/>
      <c r="F113" s="144"/>
      <c r="G113" s="198"/>
      <c r="H113" s="113"/>
      <c r="I113" s="113"/>
      <c r="J113" s="113"/>
      <c r="K113" s="113"/>
      <c r="L113" s="113">
        <f>IF(M112=0, SUM($G112:L112), 0)</f>
        <v>-30.150276485138399</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26"/>
      <c r="BK113" s="226"/>
    </row>
    <row r="114" spans="1:63" hidden="1" outlineLevel="1">
      <c r="A114" s="9"/>
      <c r="B114" s="46"/>
      <c r="C114" s="132" t="str">
        <f>Asset4</f>
        <v>Underground Distribution Cables</v>
      </c>
      <c r="D114" s="9"/>
      <c r="E114" s="9"/>
      <c r="F114" s="144"/>
      <c r="G114" s="198"/>
      <c r="H114" s="113">
        <f>($G79+(SUM($G114:G114)))*H$7</f>
        <v>-4.400668712161214</v>
      </c>
      <c r="I114" s="113">
        <f>($G79+(SUM($G114:H114)))*I$7</f>
        <v>-4.0056296191206675</v>
      </c>
      <c r="J114" s="113">
        <f>($G79+(SUM($G114:I114)))*J$7</f>
        <v>-4.8467241499019078</v>
      </c>
      <c r="K114" s="113">
        <f>($G79+(SUM($G114:J114)))*K$7</f>
        <v>-5.5690702682889572</v>
      </c>
      <c r="L114" s="113">
        <f>($G79+(SUM($G114:K114)))*L$7</f>
        <v>-5.1007341243895521</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26"/>
      <c r="BK114" s="226"/>
    </row>
    <row r="115" spans="1:63" hidden="1" outlineLevel="1">
      <c r="A115" s="9"/>
      <c r="B115" s="46"/>
      <c r="C115" s="157" t="s">
        <v>29</v>
      </c>
      <c r="D115" s="9"/>
      <c r="E115" s="9"/>
      <c r="F115" s="144"/>
      <c r="G115" s="198"/>
      <c r="H115" s="113"/>
      <c r="I115" s="113"/>
      <c r="J115" s="113"/>
      <c r="K115" s="113"/>
      <c r="L115" s="113">
        <f>IF(M114=0, SUM($G114:L114), 0)</f>
        <v>-23.922826873862299</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26"/>
      <c r="BK115" s="226"/>
    </row>
    <row r="116" spans="1:63" hidden="1" outlineLevel="1">
      <c r="A116" s="9"/>
      <c r="B116" s="46"/>
      <c r="C116" s="132" t="str">
        <f>Asset5</f>
        <v xml:space="preserve">Distribution Equipment  </v>
      </c>
      <c r="D116" s="9"/>
      <c r="E116" s="9"/>
      <c r="F116" s="144"/>
      <c r="G116" s="198"/>
      <c r="H116" s="113">
        <f>($G80+(SUM($G116:G116)))*H$7</f>
        <v>-1.6038556514322044</v>
      </c>
      <c r="I116" s="113">
        <f>($G80+(SUM($G116:H116)))*I$7</f>
        <v>-1.4598807868488233</v>
      </c>
      <c r="J116" s="113">
        <f>($G80+(SUM($G116:I116)))*J$7</f>
        <v>-1.7664237931092754</v>
      </c>
      <c r="K116" s="113">
        <f>($G80+(SUM($G116:J116)))*K$7</f>
        <v>-2.0296880786174238</v>
      </c>
      <c r="L116" s="113">
        <f>($G80+(SUM($G116:K116)))*L$7</f>
        <v>-1.8589995718713361</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26"/>
      <c r="BK116" s="226"/>
    </row>
    <row r="117" spans="1:63" hidden="1" outlineLevel="1">
      <c r="A117" s="9"/>
      <c r="B117" s="46"/>
      <c r="C117" s="157" t="s">
        <v>29</v>
      </c>
      <c r="D117" s="9"/>
      <c r="E117" s="9"/>
      <c r="F117" s="144"/>
      <c r="G117" s="198"/>
      <c r="H117" s="113"/>
      <c r="I117" s="113"/>
      <c r="J117" s="113"/>
      <c r="K117" s="113"/>
      <c r="L117" s="113">
        <f>IF(M116=0, SUM($G116:L116), 0)</f>
        <v>-8.7188478818790642</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26"/>
      <c r="BK117" s="226"/>
    </row>
    <row r="118" spans="1:63" hidden="1" outlineLevel="1">
      <c r="A118" s="9"/>
      <c r="B118" s="46"/>
      <c r="C118" s="132" t="str">
        <f>Asset6</f>
        <v>Substation Bays</v>
      </c>
      <c r="D118" s="9"/>
      <c r="E118" s="9"/>
      <c r="F118" s="144"/>
      <c r="G118" s="198"/>
      <c r="H118" s="113">
        <f>($G81+(SUM($G118:G118)))*H$7</f>
        <v>1.2798622072804025</v>
      </c>
      <c r="I118" s="113">
        <f>($G81+(SUM($G118:H118)))*I$7</f>
        <v>1.1649715761852435</v>
      </c>
      <c r="J118" s="113">
        <f>($G81+(SUM($G118:I118)))*J$7</f>
        <v>1.4095901042108354</v>
      </c>
      <c r="K118" s="113">
        <f>($G81+(SUM($G118:J118)))*K$7</f>
        <v>1.6196726071141831</v>
      </c>
      <c r="L118" s="113">
        <f>($G81+(SUM($G118:K118)))*L$7</f>
        <v>1.4834647327918487</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26"/>
      <c r="BK118" s="226"/>
    </row>
    <row r="119" spans="1:63" hidden="1" outlineLevel="1">
      <c r="A119" s="9"/>
      <c r="B119" s="46"/>
      <c r="C119" s="157" t="s">
        <v>29</v>
      </c>
      <c r="D119" s="9"/>
      <c r="E119" s="9"/>
      <c r="F119" s="144"/>
      <c r="G119" s="198"/>
      <c r="H119" s="113"/>
      <c r="I119" s="113"/>
      <c r="J119" s="113"/>
      <c r="K119" s="113"/>
      <c r="L119" s="113">
        <f>IF(M118=0, SUM($G118:L118), 0)</f>
        <v>6.9575612275825129</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26"/>
      <c r="BK119" s="226"/>
    </row>
    <row r="120" spans="1:63" hidden="1" outlineLevel="1">
      <c r="A120" s="9"/>
      <c r="B120" s="46"/>
      <c r="C120" s="132" t="str">
        <f>Asset7</f>
        <v>Substation Establishment</v>
      </c>
      <c r="D120" s="9"/>
      <c r="E120" s="9"/>
      <c r="F120" s="144"/>
      <c r="G120" s="198"/>
      <c r="H120" s="113">
        <f>($G82+(SUM($G120:G120)))*H$7</f>
        <v>-1.1569834169040847</v>
      </c>
      <c r="I120" s="113">
        <f>($G82+(SUM($G120:H120)))*I$7</f>
        <v>-1.0531233652683689</v>
      </c>
      <c r="J120" s="113">
        <f>($G82+(SUM($G120:I120)))*J$7</f>
        <v>-1.274256217526339</v>
      </c>
      <c r="K120" s="113">
        <f>($G82+(SUM($G120:J120)))*K$7</f>
        <v>-1.4641688273824918</v>
      </c>
      <c r="L120" s="113">
        <f>($G82+(SUM($G120:K120)))*L$7</f>
        <v>-1.3410381880478384</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26"/>
      <c r="BK120" s="226"/>
    </row>
    <row r="121" spans="1:63" hidden="1" outlineLevel="1">
      <c r="A121" s="9"/>
      <c r="B121" s="46"/>
      <c r="C121" s="157" t="s">
        <v>29</v>
      </c>
      <c r="D121" s="9"/>
      <c r="E121" s="9"/>
      <c r="F121" s="144"/>
      <c r="G121" s="198"/>
      <c r="H121" s="113"/>
      <c r="I121" s="113"/>
      <c r="J121" s="113"/>
      <c r="K121" s="113"/>
      <c r="L121" s="113">
        <f>IF(M120=0, SUM($G120:L120), 0)</f>
        <v>-6.2895700151291223</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26"/>
      <c r="BK121" s="226"/>
    </row>
    <row r="122" spans="1:63" hidden="1" outlineLevel="1">
      <c r="A122" s="9"/>
      <c r="B122" s="46"/>
      <c r="C122" s="132" t="str">
        <f>Asset8</f>
        <v>Distribution Substation Switchgear</v>
      </c>
      <c r="D122" s="9"/>
      <c r="E122" s="9"/>
      <c r="F122" s="144"/>
      <c r="G122" s="198"/>
      <c r="H122" s="113">
        <f>($G83+(SUM($G122:G122)))*H$7</f>
        <v>1.762233579935615</v>
      </c>
      <c r="I122" s="113">
        <f>($G83+(SUM($G122:H122)))*I$7</f>
        <v>1.6040414503577731</v>
      </c>
      <c r="J122" s="113">
        <f>($G83+(SUM($G122:I122)))*J$7</f>
        <v>1.9408550400621809</v>
      </c>
      <c r="K122" s="113">
        <f>($G83+(SUM($G122:J122)))*K$7</f>
        <v>2.2301162113564521</v>
      </c>
      <c r="L122" s="113">
        <f>($G83+(SUM($G122:K122)))*L$7</f>
        <v>2.0425725143732345</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26"/>
      <c r="BK122" s="226"/>
    </row>
    <row r="123" spans="1:63" hidden="1" outlineLevel="1">
      <c r="A123" s="9"/>
      <c r="B123" s="46"/>
      <c r="C123" s="157" t="s">
        <v>29</v>
      </c>
      <c r="D123" s="9"/>
      <c r="E123" s="9"/>
      <c r="F123" s="144"/>
      <c r="G123" s="198"/>
      <c r="H123" s="113"/>
      <c r="I123" s="113"/>
      <c r="J123" s="113"/>
      <c r="K123" s="113"/>
      <c r="L123" s="113">
        <f>IF(M122=0, SUM($G122:L122), 0)</f>
        <v>9.5798187960852559</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26"/>
      <c r="BK123" s="226"/>
    </row>
    <row r="124" spans="1:63" hidden="1" outlineLevel="1">
      <c r="A124" s="9"/>
      <c r="B124" s="46"/>
      <c r="C124" s="132" t="str">
        <f>Asset9</f>
        <v>Zone Transformers</v>
      </c>
      <c r="D124" s="9"/>
      <c r="E124" s="9"/>
      <c r="F124" s="144"/>
      <c r="G124" s="198"/>
      <c r="H124" s="113">
        <f>($G84+(SUM($G124:G124)))*H$7</f>
        <v>2.0908994564082861</v>
      </c>
      <c r="I124" s="113">
        <f>($G84+(SUM($G124:H124)))*I$7</f>
        <v>1.9032036585819485</v>
      </c>
      <c r="J124" s="113">
        <f>($G84+(SUM($G124:I124)))*J$7</f>
        <v>2.3028347629044528</v>
      </c>
      <c r="K124" s="113">
        <f>($G84+(SUM($G124:J124)))*K$7</f>
        <v>2.6460446714577297</v>
      </c>
      <c r="L124" s="113">
        <f>($G84+(SUM($G124:K124)))*L$7</f>
        <v>2.4235230837750472</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26"/>
      <c r="BK124" s="226"/>
    </row>
    <row r="125" spans="1:63" hidden="1" outlineLevel="1">
      <c r="A125" s="9"/>
      <c r="B125" s="46"/>
      <c r="C125" s="157" t="s">
        <v>29</v>
      </c>
      <c r="D125" s="9"/>
      <c r="E125" s="9"/>
      <c r="F125" s="144"/>
      <c r="G125" s="198"/>
      <c r="H125" s="113"/>
      <c r="I125" s="113"/>
      <c r="J125" s="113"/>
      <c r="K125" s="113"/>
      <c r="L125" s="113">
        <f>IF(M124=0, SUM($G124:L124), 0)</f>
        <v>11.366505633127463</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26"/>
      <c r="BK125" s="226"/>
    </row>
    <row r="126" spans="1:63" hidden="1" outlineLevel="1">
      <c r="A126" s="9"/>
      <c r="B126" s="46"/>
      <c r="C126" s="132" t="str">
        <f>Asset10</f>
        <v>Distribution Transformers</v>
      </c>
      <c r="D126" s="9"/>
      <c r="E126" s="9"/>
      <c r="F126" s="144"/>
      <c r="G126" s="198"/>
      <c r="H126" s="113">
        <f>($G85+(SUM($G126:G126)))*H$7</f>
        <v>-1.5478345310740795</v>
      </c>
      <c r="I126" s="113">
        <f>($G85+(SUM($G126:H126)))*I$7</f>
        <v>-1.4088885686928185</v>
      </c>
      <c r="J126" s="113">
        <f>($G85+(SUM($G126:I126)))*J$7</f>
        <v>-1.7047243254365678</v>
      </c>
      <c r="K126" s="113">
        <f>($G85+(SUM($G126:J126)))*K$7</f>
        <v>-1.9587930451147877</v>
      </c>
      <c r="L126" s="113">
        <f>($G85+(SUM($G126:K126)))*L$7</f>
        <v>-1.7940665221492433</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26"/>
      <c r="BK126" s="226"/>
    </row>
    <row r="127" spans="1:63" hidden="1" outlineLevel="1">
      <c r="A127" s="9"/>
      <c r="B127" s="46"/>
      <c r="C127" s="157" t="s">
        <v>29</v>
      </c>
      <c r="D127" s="9"/>
      <c r="E127" s="9"/>
      <c r="F127" s="144"/>
      <c r="G127" s="198"/>
      <c r="H127" s="113"/>
      <c r="I127" s="113"/>
      <c r="J127" s="113"/>
      <c r="K127" s="113"/>
      <c r="L127" s="113">
        <f>IF(M126=0, SUM($G126:L126), 0)</f>
        <v>-8.4143069924674965</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26"/>
      <c r="BK127" s="226"/>
    </row>
    <row r="128" spans="1:63" hidden="1" outlineLevel="1">
      <c r="A128" s="9"/>
      <c r="B128" s="46"/>
      <c r="C128" s="132" t="str">
        <f>Asset11</f>
        <v>Low Voltage Services</v>
      </c>
      <c r="D128" s="9"/>
      <c r="E128" s="9"/>
      <c r="F128" s="144"/>
      <c r="G128" s="198"/>
      <c r="H128" s="113">
        <f>($G86+(SUM($G128:G128)))*H$7</f>
        <v>0.3427094742596552</v>
      </c>
      <c r="I128" s="113">
        <f>($G86+(SUM($G128:H128)))*I$7</f>
        <v>0.31194514075874769</v>
      </c>
      <c r="J128" s="113">
        <f>($G86+(SUM($G128:I128)))*J$7</f>
        <v>0.37744679137155818</v>
      </c>
      <c r="K128" s="113">
        <f>($G86+(SUM($G128:J128)))*K$7</f>
        <v>0.43370070973215008</v>
      </c>
      <c r="L128" s="113">
        <f>($G86+(SUM($G128:K128)))*L$7</f>
        <v>0.39722824517034161</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26"/>
      <c r="BK128" s="226"/>
    </row>
    <row r="129" spans="1:63" hidden="1" outlineLevel="1">
      <c r="A129" s="9"/>
      <c r="B129" s="46"/>
      <c r="C129" s="157" t="s">
        <v>29</v>
      </c>
      <c r="D129" s="9"/>
      <c r="E129" s="9"/>
      <c r="F129" s="144"/>
      <c r="G129" s="198"/>
      <c r="H129" s="113"/>
      <c r="I129" s="113"/>
      <c r="J129" s="113"/>
      <c r="K129" s="113"/>
      <c r="L129" s="113">
        <f>IF(M128=0, SUM($G128:L128), 0)</f>
        <v>1.863030361292453</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26"/>
      <c r="BK129" s="226"/>
    </row>
    <row r="130" spans="1:63" hidden="1" outlineLevel="1">
      <c r="A130" s="9"/>
      <c r="B130" s="46"/>
      <c r="C130" s="132" t="str">
        <f>Asset12</f>
        <v>Metering</v>
      </c>
      <c r="D130" s="9"/>
      <c r="E130" s="9"/>
      <c r="F130" s="144"/>
      <c r="G130" s="198"/>
      <c r="H130" s="113">
        <f>($G87+(SUM($G130:G130)))*H$7</f>
        <v>2.5117329079406132</v>
      </c>
      <c r="I130" s="113">
        <f>($G87+(SUM($G130:H130)))*I$7</f>
        <v>2.2862597458343799</v>
      </c>
      <c r="J130" s="113">
        <f>($G87+(SUM($G130:I130)))*J$7</f>
        <v>2.766324242808202</v>
      </c>
      <c r="K130" s="113">
        <f>($G87+(SUM($G130:J130)))*K$7</f>
        <v>3.1786117007261319</v>
      </c>
      <c r="L130" s="113">
        <f>($G87+(SUM($G130:K130)))*L$7</f>
        <v>2.9113033933865333</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26"/>
      <c r="BK130" s="226"/>
    </row>
    <row r="131" spans="1:63" hidden="1" outlineLevel="1">
      <c r="A131" s="9"/>
      <c r="B131" s="46"/>
      <c r="C131" s="157" t="s">
        <v>29</v>
      </c>
      <c r="D131" s="9"/>
      <c r="E131" s="9"/>
      <c r="F131" s="144"/>
      <c r="G131" s="198"/>
      <c r="H131" s="113"/>
      <c r="I131" s="113"/>
      <c r="J131" s="113"/>
      <c r="K131" s="113"/>
      <c r="L131" s="113">
        <f>IF(M130=0, SUM($G130:L130), 0)</f>
        <v>13.654231990695859</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26"/>
      <c r="BK131" s="226"/>
    </row>
    <row r="132" spans="1:63" hidden="1" outlineLevel="1">
      <c r="A132" s="9"/>
      <c r="B132" s="46"/>
      <c r="C132" s="132" t="str">
        <f>Asset13</f>
        <v xml:space="preserve">Communications – Pilot Wires </v>
      </c>
      <c r="D132" s="9"/>
      <c r="E132" s="9"/>
      <c r="F132" s="144"/>
      <c r="G132" s="198"/>
      <c r="H132" s="113">
        <f>($G88+(SUM($G132:G132)))*H$7</f>
        <v>-3.1808945180442909</v>
      </c>
      <c r="I132" s="113">
        <f>($G88+(SUM($G132:H132)))*I$7</f>
        <v>-2.895352077189036</v>
      </c>
      <c r="J132" s="113">
        <f>($G88+(SUM($G132:I132)))*J$7</f>
        <v>-3.5033126298035842</v>
      </c>
      <c r="K132" s="113">
        <f>($G88+(SUM($G132:J132)))*K$7</f>
        <v>-4.0254393697143263</v>
      </c>
      <c r="L132" s="113">
        <f>($G88+(SUM($G132:K132)))*L$7</f>
        <v>-3.6869163019326576</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26"/>
      <c r="BK132" s="226"/>
    </row>
    <row r="133" spans="1:63" hidden="1" outlineLevel="1">
      <c r="A133" s="9"/>
      <c r="B133" s="46"/>
      <c r="C133" s="157" t="s">
        <v>29</v>
      </c>
      <c r="D133" s="9"/>
      <c r="E133" s="9"/>
      <c r="F133" s="144"/>
      <c r="G133" s="198"/>
      <c r="H133" s="113"/>
      <c r="I133" s="113"/>
      <c r="J133" s="113"/>
      <c r="K133" s="113"/>
      <c r="L133" s="113">
        <f>IF(M132=0, SUM($G132:L132), 0)</f>
        <v>-17.291914896683895</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26"/>
      <c r="BK133" s="226"/>
    </row>
    <row r="134" spans="1:63" hidden="1" outlineLevel="1">
      <c r="A134" s="9"/>
      <c r="B134" s="46"/>
      <c r="C134" s="132" t="str">
        <f>Asset14</f>
        <v>Generation Assets</v>
      </c>
      <c r="D134" s="9"/>
      <c r="E134" s="9"/>
      <c r="F134" s="144"/>
      <c r="G134" s="198"/>
      <c r="H134" s="113">
        <f>($G89+(SUM($G134:G134)))*H$7</f>
        <v>-7.3251726113538872E-3</v>
      </c>
      <c r="I134" s="113">
        <f>($G89+(SUM($G134:H134)))*I$7</f>
        <v>-6.6676067426126445E-3</v>
      </c>
      <c r="J134" s="113">
        <f>($G89+(SUM($G134:I134)))*J$7</f>
        <v>-8.0676581946594588E-3</v>
      </c>
      <c r="K134" s="113">
        <f>($G89+(SUM($G134:J134)))*K$7</f>
        <v>-9.2700459108045336E-3</v>
      </c>
      <c r="L134" s="113">
        <f>($G89+(SUM($G134:K134)))*L$7</f>
        <v>-8.4904727780398571E-3</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26"/>
      <c r="BK134" s="226"/>
    </row>
    <row r="135" spans="1:63" hidden="1" outlineLevel="1">
      <c r="A135" s="9"/>
      <c r="B135" s="46"/>
      <c r="C135" s="157" t="s">
        <v>29</v>
      </c>
      <c r="D135" s="9"/>
      <c r="E135" s="9"/>
      <c r="F135" s="144"/>
      <c r="G135" s="198"/>
      <c r="H135" s="113"/>
      <c r="I135" s="113"/>
      <c r="J135" s="113"/>
      <c r="K135" s="113"/>
      <c r="L135" s="113">
        <f>IF(M134=0, SUM($G134:L134), 0)</f>
        <v>-3.9820956237470381E-2</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26"/>
      <c r="BK135" s="226"/>
    </row>
    <row r="136" spans="1:63" hidden="1" outlineLevel="1">
      <c r="A136" s="9"/>
      <c r="B136" s="46"/>
      <c r="C136" s="132" t="str">
        <f>Asset15</f>
        <v>Street Lighting</v>
      </c>
      <c r="D136" s="9"/>
      <c r="E136" s="9"/>
      <c r="F136" s="144"/>
      <c r="G136" s="198"/>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26"/>
      <c r="BK136" s="226"/>
    </row>
    <row r="137" spans="1:63" hidden="1" outlineLevel="1">
      <c r="A137" s="9"/>
      <c r="B137" s="46"/>
      <c r="C137" s="157" t="s">
        <v>29</v>
      </c>
      <c r="D137" s="9"/>
      <c r="E137" s="9"/>
      <c r="F137" s="144"/>
      <c r="G137" s="198"/>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26"/>
      <c r="BK137" s="226"/>
    </row>
    <row r="138" spans="1:63" hidden="1" outlineLevel="1">
      <c r="A138" s="9"/>
      <c r="B138" s="46"/>
      <c r="C138" s="132" t="str">
        <f>Asset16</f>
        <v>Other Equipment</v>
      </c>
      <c r="D138" s="9"/>
      <c r="E138" s="9"/>
      <c r="F138" s="144"/>
      <c r="G138" s="198"/>
      <c r="H138" s="113">
        <f>($G91+(SUM($G138:G138)))*H$7</f>
        <v>0.39712203581041666</v>
      </c>
      <c r="I138" s="113">
        <f>($G91+(SUM($G138:H138)))*I$7</f>
        <v>0.36147319716472875</v>
      </c>
      <c r="J138" s="113">
        <f>($G91+(SUM($G138:I138)))*J$7</f>
        <v>0.43737465537943127</v>
      </c>
      <c r="K138" s="113">
        <f>($G91+(SUM($G138:J138)))*K$7</f>
        <v>0.50256010328667389</v>
      </c>
      <c r="L138" s="113">
        <f>($G91+(SUM($G138:K138)))*L$7</f>
        <v>0.46029684397906928</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26"/>
      <c r="BK138" s="226"/>
    </row>
    <row r="139" spans="1:63" hidden="1" outlineLevel="1">
      <c r="A139" s="9"/>
      <c r="B139" s="46"/>
      <c r="C139" s="157" t="s">
        <v>29</v>
      </c>
      <c r="D139" s="9"/>
      <c r="E139" s="9"/>
      <c r="F139" s="144"/>
      <c r="G139" s="198"/>
      <c r="H139" s="113"/>
      <c r="I139" s="113"/>
      <c r="J139" s="113"/>
      <c r="K139" s="113"/>
      <c r="L139" s="113">
        <f>IF(M138=0, SUM($G138:L138), 0)</f>
        <v>2.15882683562032</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26"/>
      <c r="BK139" s="226"/>
    </row>
    <row r="140" spans="1:63" hidden="1" outlineLevel="1">
      <c r="A140" s="9"/>
      <c r="B140" s="46"/>
      <c r="C140" s="132" t="str">
        <f>Asset17</f>
        <v>Control Centre - SCADA</v>
      </c>
      <c r="D140" s="9"/>
      <c r="E140" s="9"/>
      <c r="F140" s="144"/>
      <c r="G140" s="198"/>
      <c r="H140" s="113">
        <f>($G92+(SUM($G140:G140)))*H$7</f>
        <v>0.27271323240367723</v>
      </c>
      <c r="I140" s="113">
        <f>($G92+(SUM($G140:H140)))*I$7</f>
        <v>0.24823231937989365</v>
      </c>
      <c r="J140" s="113">
        <f>($G92+(SUM($G140:I140)))*J$7</f>
        <v>0.30035567227226728</v>
      </c>
      <c r="K140" s="113">
        <f>($G92+(SUM($G140:J140)))*K$7</f>
        <v>0.34512008371618985</v>
      </c>
      <c r="L140" s="113">
        <f>($G92+(SUM($G140:K140)))*L$7</f>
        <v>0.31609688928636986</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26"/>
      <c r="BK140" s="226"/>
    </row>
    <row r="141" spans="1:63" hidden="1" outlineLevel="1">
      <c r="A141" s="9"/>
      <c r="B141" s="46"/>
      <c r="C141" s="157" t="s">
        <v>29</v>
      </c>
      <c r="D141" s="9"/>
      <c r="E141" s="9"/>
      <c r="F141" s="144"/>
      <c r="G141" s="198"/>
      <c r="H141" s="113"/>
      <c r="I141" s="113"/>
      <c r="J141" s="113"/>
      <c r="K141" s="113"/>
      <c r="L141" s="113">
        <f>IF(M140=0, SUM($G140:L140), 0)</f>
        <v>1.4825181970583978</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26"/>
      <c r="BK141" s="226"/>
    </row>
    <row r="142" spans="1:63" hidden="1" outlineLevel="1">
      <c r="A142" s="9"/>
      <c r="B142" s="46"/>
      <c r="C142" s="132" t="str">
        <f>Asset18</f>
        <v>Land &amp; Easements (System)</v>
      </c>
      <c r="D142" s="9"/>
      <c r="E142" s="9"/>
      <c r="F142" s="144"/>
      <c r="G142" s="198"/>
      <c r="H142" s="113">
        <f>($G93+(SUM($G142:G142)))*H$7</f>
        <v>-1.545621620393798</v>
      </c>
      <c r="I142" s="113">
        <f>($G93+(SUM($G142:H142)))*I$7</f>
        <v>-1.4068743065101399</v>
      </c>
      <c r="J142" s="113">
        <f>($G93+(SUM($G142:I142)))*J$7</f>
        <v>-1.7022871122907441</v>
      </c>
      <c r="K142" s="113">
        <f>($G93+(SUM($G142:J142)))*K$7</f>
        <v>-1.9559925945737424</v>
      </c>
      <c r="L142" s="113">
        <f>($G93+(SUM($G142:K142)))*L$7</f>
        <v>-1.7915015781010935</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26"/>
      <c r="BK142" s="226"/>
    </row>
    <row r="143" spans="1:63" hidden="1" outlineLevel="1">
      <c r="A143" s="9"/>
      <c r="B143" s="46"/>
      <c r="C143" s="157" t="s">
        <v>29</v>
      </c>
      <c r="D143" s="9"/>
      <c r="E143" s="9"/>
      <c r="F143" s="144"/>
      <c r="G143" s="198"/>
      <c r="H143" s="113"/>
      <c r="I143" s="113"/>
      <c r="J143" s="113"/>
      <c r="K143" s="113"/>
      <c r="L143" s="113">
        <f>IF(M142=0, SUM($G142:L142), 0)</f>
        <v>-8.4022772118695173</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26"/>
      <c r="BK143" s="226"/>
    </row>
    <row r="144" spans="1:63" hidden="1" outlineLevel="1">
      <c r="A144" s="9"/>
      <c r="B144" s="46"/>
      <c r="C144" s="132" t="str">
        <f>Asset19</f>
        <v>Metering Type 5-6</v>
      </c>
      <c r="D144" s="9"/>
      <c r="E144" s="9"/>
      <c r="F144" s="144"/>
      <c r="G144" s="198"/>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26"/>
      <c r="BK144" s="226"/>
    </row>
    <row r="145" spans="1:63" hidden="1" outlineLevel="1">
      <c r="A145" s="9"/>
      <c r="B145" s="46"/>
      <c r="C145" s="157" t="s">
        <v>29</v>
      </c>
      <c r="D145" s="9"/>
      <c r="E145" s="9"/>
      <c r="F145" s="144"/>
      <c r="G145" s="198"/>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26"/>
      <c r="BK145" s="226"/>
    </row>
    <row r="146" spans="1:63" hidden="1" outlineLevel="1">
      <c r="A146" s="9"/>
      <c r="B146" s="46"/>
      <c r="C146" s="132" t="str">
        <f>Asset20</f>
        <v>Communications</v>
      </c>
      <c r="D146" s="9"/>
      <c r="E146" s="9"/>
      <c r="F146" s="144"/>
      <c r="G146" s="198"/>
      <c r="H146" s="113">
        <f>($G95+(SUM($G146:G146)))*H$7</f>
        <v>5.1466225633878496E-2</v>
      </c>
      <c r="I146" s="113">
        <f>($G95+(SUM($G146:H146)))*I$7</f>
        <v>4.6846207080688512E-2</v>
      </c>
      <c r="J146" s="113">
        <f>($G95+(SUM($G146:I146)))*J$7</f>
        <v>5.6682885033969233E-2</v>
      </c>
      <c r="K146" s="113">
        <f>($G95+(SUM($G146:J146)))*K$7</f>
        <v>6.5130789374490808E-2</v>
      </c>
      <c r="L146" s="113">
        <f>($G95+(SUM($G146:K146)))*L$7</f>
        <v>5.9653555065119254E-2</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26"/>
      <c r="BK146" s="226"/>
    </row>
    <row r="147" spans="1:63" hidden="1" outlineLevel="1">
      <c r="A147" s="9"/>
      <c r="B147" s="46"/>
      <c r="C147" s="157" t="s">
        <v>29</v>
      </c>
      <c r="D147" s="9"/>
      <c r="E147" s="9"/>
      <c r="F147" s="144"/>
      <c r="G147" s="198"/>
      <c r="H147" s="113"/>
      <c r="I147" s="113"/>
      <c r="J147" s="113"/>
      <c r="K147" s="113"/>
      <c r="L147" s="113">
        <f>IF(M146=0, SUM($G146:L146), 0)</f>
        <v>0.27977966218814632</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26"/>
      <c r="BK147" s="226"/>
    </row>
    <row r="148" spans="1:63" hidden="1" outlineLevel="1">
      <c r="A148" s="9"/>
      <c r="B148" s="46"/>
      <c r="C148" s="132" t="str">
        <f>Asset21</f>
        <v>IT Systems</v>
      </c>
      <c r="D148" s="9"/>
      <c r="E148" s="9"/>
      <c r="F148" s="144"/>
      <c r="G148" s="198"/>
      <c r="H148" s="113">
        <f>($G96+(SUM($G148:G148)))*H$7</f>
        <v>3.9970892580403889</v>
      </c>
      <c r="I148" s="113">
        <f>($G96+(SUM($G148:H148)))*I$7</f>
        <v>3.6382786729729841</v>
      </c>
      <c r="J148" s="113">
        <f>($G96+(SUM($G148:I148)))*J$7</f>
        <v>4.4022375469258339</v>
      </c>
      <c r="K148" s="113">
        <f>($G96+(SUM($G148:J148)))*K$7</f>
        <v>5.0583382668943848</v>
      </c>
      <c r="L148" s="113">
        <f>($G96+(SUM($G148:K148)))*L$7</f>
        <v>4.6329526056744967</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26"/>
      <c r="BK148" s="226"/>
    </row>
    <row r="149" spans="1:63" hidden="1" outlineLevel="1">
      <c r="A149" s="9"/>
      <c r="B149" s="46"/>
      <c r="C149" s="157" t="s">
        <v>29</v>
      </c>
      <c r="D149" s="9"/>
      <c r="E149" s="9"/>
      <c r="F149" s="144"/>
      <c r="G149" s="198"/>
      <c r="H149" s="113"/>
      <c r="I149" s="113"/>
      <c r="J149" s="113"/>
      <c r="K149" s="113"/>
      <c r="L149" s="113">
        <f>IF(M148=0, SUM($G148:L148), 0)</f>
        <v>21.728896350508087</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26"/>
      <c r="BK149" s="226"/>
    </row>
    <row r="150" spans="1:63" hidden="1" outlineLevel="1">
      <c r="A150" s="9"/>
      <c r="B150" s="46"/>
      <c r="C150" s="132" t="str">
        <f>Asset22</f>
        <v>Office Equipment &amp; Furniture</v>
      </c>
      <c r="D150" s="9"/>
      <c r="E150" s="9"/>
      <c r="F150" s="144"/>
      <c r="G150" s="198"/>
      <c r="H150" s="113">
        <f>($G97+(SUM($G150:G150)))*H$7</f>
        <v>0.13548737595367402</v>
      </c>
      <c r="I150" s="113">
        <f>($G97+(SUM($G150:H150)))*I$7</f>
        <v>0.12332494937353335</v>
      </c>
      <c r="J150" s="113">
        <f>($G97+(SUM($G150:I150)))*J$7</f>
        <v>0.14922048897405266</v>
      </c>
      <c r="K150" s="113">
        <f>($G97+(SUM($G150:J150)))*K$7</f>
        <v>0.17146001358087515</v>
      </c>
      <c r="L150" s="113">
        <f>($G97+(SUM($G150:K150)))*L$7</f>
        <v>0.1570409242670536</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26"/>
      <c r="BK150" s="226"/>
    </row>
    <row r="151" spans="1:63" hidden="1" outlineLevel="1">
      <c r="A151" s="9"/>
      <c r="B151" s="46"/>
      <c r="C151" s="157" t="s">
        <v>29</v>
      </c>
      <c r="D151" s="9"/>
      <c r="E151" s="9"/>
      <c r="F151" s="144"/>
      <c r="G151" s="198"/>
      <c r="H151" s="113"/>
      <c r="I151" s="113"/>
      <c r="J151" s="113"/>
      <c r="K151" s="113"/>
      <c r="L151" s="113">
        <f>IF(M150=0, SUM($G150:L150), 0)</f>
        <v>0.73653375214918881</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26"/>
      <c r="BK151" s="226"/>
    </row>
    <row r="152" spans="1:63" hidden="1" outlineLevel="1">
      <c r="A152" s="9"/>
      <c r="B152" s="46"/>
      <c r="C152" s="132" t="str">
        <f>Asset23</f>
        <v>Motor Vehicles</v>
      </c>
      <c r="D152" s="9"/>
      <c r="E152" s="9"/>
      <c r="F152" s="144"/>
      <c r="G152" s="198"/>
      <c r="H152" s="113">
        <f>($G98+(SUM($G152:G152)))*H$7</f>
        <v>-1.0294669581029385</v>
      </c>
      <c r="I152" s="113">
        <f>($G98+(SUM($G152:H152)))*I$7</f>
        <v>-0.93705380000259364</v>
      </c>
      <c r="J152" s="113">
        <f>($G98+(SUM($G152:I152)))*J$7</f>
        <v>-1.1338145844914447</v>
      </c>
      <c r="K152" s="113">
        <f>($G98+(SUM($G152:J152)))*K$7</f>
        <v>-1.3027960529528992</v>
      </c>
      <c r="L152" s="113">
        <f>($G98+(SUM($G152:K152)))*L$7</f>
        <v>-1.1932362071736886</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26"/>
      <c r="BK152" s="226"/>
    </row>
    <row r="153" spans="1:63" hidden="1" outlineLevel="1">
      <c r="A153" s="9"/>
      <c r="B153" s="46"/>
      <c r="C153" s="157" t="s">
        <v>29</v>
      </c>
      <c r="D153" s="9"/>
      <c r="E153" s="9"/>
      <c r="F153" s="144"/>
      <c r="G153" s="198"/>
      <c r="H153" s="113"/>
      <c r="I153" s="113"/>
      <c r="J153" s="113"/>
      <c r="K153" s="113"/>
      <c r="L153" s="113">
        <f>IF(M152=0, SUM($G152:L152), 0)</f>
        <v>-5.5963676027235643</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26"/>
      <c r="BK153" s="226"/>
    </row>
    <row r="154" spans="1:63" hidden="1" outlineLevel="1">
      <c r="A154" s="9"/>
      <c r="B154" s="46"/>
      <c r="C154" s="132" t="str">
        <f>Asset24</f>
        <v>Plant &amp; Equipment</v>
      </c>
      <c r="D154" s="9"/>
      <c r="E154" s="9"/>
      <c r="F154" s="144"/>
      <c r="G154" s="198"/>
      <c r="H154" s="113">
        <f>($G99+(SUM($G154:G154)))*H$7</f>
        <v>0.81447863925925001</v>
      </c>
      <c r="I154" s="113">
        <f>($G99+(SUM($G154:H154)))*I$7</f>
        <v>0.74136454592504442</v>
      </c>
      <c r="J154" s="113">
        <f>($G99+(SUM($G154:I154)))*J$7</f>
        <v>0.89703487098858814</v>
      </c>
      <c r="K154" s="113">
        <f>($G99+(SUM($G154:J154)))*K$7</f>
        <v>1.0307271623333614</v>
      </c>
      <c r="L154" s="113">
        <f>($G99+(SUM($G154:K154)))*L$7</f>
        <v>0.9440472029569652</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26"/>
      <c r="BK154" s="226"/>
    </row>
    <row r="155" spans="1:63" hidden="1" outlineLevel="1">
      <c r="A155" s="9"/>
      <c r="B155" s="46"/>
      <c r="C155" s="157" t="s">
        <v>29</v>
      </c>
      <c r="D155" s="9"/>
      <c r="E155" s="9"/>
      <c r="F155" s="144"/>
      <c r="G155" s="198"/>
      <c r="H155" s="113"/>
      <c r="I155" s="113"/>
      <c r="J155" s="113"/>
      <c r="K155" s="113"/>
      <c r="L155" s="113">
        <f>IF(M154=0, SUM($G154:L154), 0)</f>
        <v>4.4276524214632094</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26"/>
      <c r="BK155" s="226"/>
    </row>
    <row r="156" spans="1:63" hidden="1" outlineLevel="1">
      <c r="A156" s="9"/>
      <c r="B156" s="46"/>
      <c r="C156" s="132" t="str">
        <f>Asset25</f>
        <v>Buildings</v>
      </c>
      <c r="D156" s="9"/>
      <c r="E156" s="9"/>
      <c r="F156" s="144"/>
      <c r="G156" s="198"/>
      <c r="H156" s="113">
        <f>($G100+(SUM($G156:G156)))*H$7</f>
        <v>-5.8827181761882832</v>
      </c>
      <c r="I156" s="113">
        <f>($G100+(SUM($G156:H156)))*I$7</f>
        <v>-5.3546385126334082</v>
      </c>
      <c r="J156" s="113">
        <f>($G100+(SUM($G156:I156)))*J$7</f>
        <v>-6.4789953792263901</v>
      </c>
      <c r="K156" s="113">
        <f>($G100+(SUM($G156:J156)))*K$7</f>
        <v>-7.4446119520875751</v>
      </c>
      <c r="L156" s="113">
        <f>($G100+(SUM($G156:K156)))*L$7</f>
        <v>-6.8185503858830359</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26"/>
      <c r="BK156" s="226"/>
    </row>
    <row r="157" spans="1:63" hidden="1" outlineLevel="1">
      <c r="A157" s="9"/>
      <c r="B157" s="46"/>
      <c r="C157" s="157" t="s">
        <v>29</v>
      </c>
      <c r="D157" s="9"/>
      <c r="E157" s="9"/>
      <c r="F157" s="144"/>
      <c r="G157" s="198"/>
      <c r="H157" s="113"/>
      <c r="I157" s="113"/>
      <c r="J157" s="113"/>
      <c r="K157" s="113"/>
      <c r="L157" s="113">
        <f>IF(M156=0, SUM($G156:L156), 0)</f>
        <v>-31.979514406018694</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26"/>
      <c r="BK157" s="226"/>
    </row>
    <row r="158" spans="1:63" hidden="1" outlineLevel="1">
      <c r="A158" s="9"/>
      <c r="B158" s="46"/>
      <c r="C158" s="132" t="str">
        <f>Asset26</f>
        <v>Land &amp; Easements</v>
      </c>
      <c r="D158" s="9"/>
      <c r="E158" s="9"/>
      <c r="F158" s="144"/>
      <c r="G158" s="198"/>
      <c r="H158" s="113">
        <f>($G101+(SUM($G158:G158)))*H$7</f>
        <v>-7.8144027907070313E-2</v>
      </c>
      <c r="I158" s="113">
        <f>($G101+(SUM($G158:H158)))*I$7</f>
        <v>-7.1129197223352772E-2</v>
      </c>
      <c r="J158" s="113">
        <f>($G101+(SUM($G158:I158)))*J$7</f>
        <v>-8.6064771515554944E-2</v>
      </c>
      <c r="K158" s="113">
        <f>($G101+(SUM($G158:J158)))*K$7</f>
        <v>-9.8891693723493601E-2</v>
      </c>
      <c r="L158" s="113">
        <f>($G101+(SUM($G158:K158)))*L$7</f>
        <v>-9.0575304762509717E-2</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26"/>
      <c r="BK158" s="226"/>
    </row>
    <row r="159" spans="1:63" hidden="1" outlineLevel="1">
      <c r="A159" s="9"/>
      <c r="B159" s="46"/>
      <c r="C159" s="157" t="s">
        <v>29</v>
      </c>
      <c r="D159" s="9"/>
      <c r="E159" s="9"/>
      <c r="F159" s="144"/>
      <c r="G159" s="198"/>
      <c r="H159" s="113"/>
      <c r="I159" s="113"/>
      <c r="J159" s="113"/>
      <c r="K159" s="113"/>
      <c r="L159" s="113">
        <f>IF(M158=0, SUM($G158:L158), 0)</f>
        <v>-0.42480499513198133</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26"/>
      <c r="BK159" s="226"/>
    </row>
    <row r="160" spans="1:63" hidden="1" outlineLevel="1">
      <c r="A160" s="9"/>
      <c r="B160" s="46"/>
      <c r="C160" s="132" t="str">
        <f>Asset27</f>
        <v>Land Improvements</v>
      </c>
      <c r="D160" s="9"/>
      <c r="E160" s="9"/>
      <c r="F160" s="144"/>
      <c r="G160" s="198"/>
      <c r="H160" s="113">
        <f>($G102+(SUM($G160:G160)))*H$7</f>
        <v>0.58988654966313048</v>
      </c>
      <c r="I160" s="113">
        <f>($G102+(SUM($G160:H160)))*I$7</f>
        <v>0.53693363209136036</v>
      </c>
      <c r="J160" s="113">
        <f>($G102+(SUM($G160:I160)))*J$7</f>
        <v>0.64967794054883821</v>
      </c>
      <c r="K160" s="113">
        <f>($G102+(SUM($G160:J160)))*K$7</f>
        <v>0.74650464742190081</v>
      </c>
      <c r="L160" s="113">
        <f>($G102+(SUM($G160:K160)))*L$7</f>
        <v>0.68372664478700618</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26"/>
      <c r="BK160" s="226"/>
    </row>
    <row r="161" spans="1:63" hidden="1" outlineLevel="1">
      <c r="A161" s="9"/>
      <c r="B161" s="46"/>
      <c r="C161" s="157" t="s">
        <v>29</v>
      </c>
      <c r="D161" s="9"/>
      <c r="E161" s="9"/>
      <c r="F161" s="144"/>
      <c r="G161" s="198"/>
      <c r="H161" s="113"/>
      <c r="I161" s="113"/>
      <c r="J161" s="113"/>
      <c r="K161" s="113"/>
      <c r="L161" s="113">
        <f>IF(M160=0, SUM($G160:L160), 0)</f>
        <v>3.2067294145122363</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26"/>
      <c r="BK161" s="226"/>
    </row>
    <row r="162" spans="1:63" hidden="1" outlineLevel="1">
      <c r="A162" s="9"/>
      <c r="B162" s="46"/>
      <c r="C162" s="132" t="str">
        <f>Asset28</f>
        <v>Equity Raising Costs</v>
      </c>
      <c r="D162" s="9"/>
      <c r="E162" s="9"/>
      <c r="F162" s="144"/>
      <c r="G162" s="198"/>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26"/>
      <c r="BK162" s="226"/>
    </row>
    <row r="163" spans="1:63" hidden="1" outlineLevel="1">
      <c r="A163" s="9"/>
      <c r="B163" s="46"/>
      <c r="C163" s="157" t="s">
        <v>29</v>
      </c>
      <c r="D163" s="9"/>
      <c r="E163" s="9"/>
      <c r="F163" s="144"/>
      <c r="G163" s="198"/>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26"/>
      <c r="BK163" s="226"/>
    </row>
    <row r="164" spans="1:63" hidden="1" outlineLevel="1">
      <c r="A164" s="9"/>
      <c r="B164" s="46"/>
      <c r="C164" s="132" t="str">
        <f>Asset29</f>
        <v>Not Used</v>
      </c>
      <c r="D164" s="9"/>
      <c r="E164" s="9"/>
      <c r="F164" s="144"/>
      <c r="G164" s="198"/>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26"/>
      <c r="BK164" s="226"/>
    </row>
    <row r="165" spans="1:63" hidden="1" outlineLevel="1">
      <c r="A165" s="9"/>
      <c r="B165" s="46"/>
      <c r="C165" s="157" t="s">
        <v>29</v>
      </c>
      <c r="D165" s="9"/>
      <c r="E165" s="9"/>
      <c r="F165" s="144"/>
      <c r="G165" s="198"/>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26"/>
      <c r="BK165" s="226"/>
    </row>
    <row r="166" spans="1:63" hidden="1" outlineLevel="1">
      <c r="A166" s="9"/>
      <c r="B166" s="46"/>
      <c r="C166" s="132" t="str">
        <f>Asset30</f>
        <v>Not Used</v>
      </c>
      <c r="D166" s="9"/>
      <c r="E166" s="9"/>
      <c r="F166" s="144"/>
      <c r="G166" s="198"/>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26"/>
      <c r="BK166" s="226"/>
    </row>
    <row r="167" spans="1:63" hidden="1" outlineLevel="1">
      <c r="A167" s="9"/>
      <c r="B167" s="46"/>
      <c r="C167" s="157" t="s">
        <v>29</v>
      </c>
      <c r="D167" s="9"/>
      <c r="E167" s="9"/>
      <c r="F167" s="144"/>
      <c r="G167" s="198"/>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26"/>
      <c r="BK167" s="226"/>
    </row>
    <row r="168" spans="1:63" collapsed="1">
      <c r="A168" s="9"/>
      <c r="B168" s="189" t="s">
        <v>44</v>
      </c>
      <c r="D168" s="9"/>
      <c r="E168" s="9"/>
      <c r="F168" s="144"/>
      <c r="G168" s="200"/>
      <c r="H168" s="119"/>
      <c r="I168" s="119"/>
      <c r="J168" s="119"/>
      <c r="K168" s="119"/>
      <c r="L168" s="119">
        <f>IF(M107=0, SUM($G107:L107), 0)</f>
        <v>-76.402265838493165</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26"/>
      <c r="BK168" s="226"/>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26"/>
      <c r="BK169" s="226"/>
    </row>
    <row r="170" spans="1:63">
      <c r="A170" s="75"/>
      <c r="B170" s="183" t="s">
        <v>54</v>
      </c>
      <c r="C170" s="184"/>
      <c r="D170" s="75"/>
      <c r="E170" s="75"/>
      <c r="F170" s="185"/>
      <c r="G170" s="186"/>
      <c r="H170" s="186"/>
      <c r="I170" s="186"/>
      <c r="J170" s="186"/>
      <c r="K170" s="186"/>
      <c r="L170" s="186"/>
      <c r="M170" s="75"/>
      <c r="N170" s="187"/>
      <c r="O170" s="188"/>
      <c r="P170" s="188"/>
      <c r="Q170" s="188"/>
      <c r="R170" s="188"/>
      <c r="S170" s="102"/>
      <c r="T170" s="102"/>
      <c r="U170" s="102"/>
      <c r="V170" s="102"/>
      <c r="W170" s="102"/>
      <c r="X170" s="102"/>
      <c r="Y170" s="102"/>
      <c r="Z170" s="102"/>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26"/>
      <c r="BK170" s="226"/>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26"/>
      <c r="BK171" s="226"/>
    </row>
    <row r="172" spans="1:63">
      <c r="A172" s="9"/>
      <c r="B172" s="46" t="s">
        <v>55</v>
      </c>
      <c r="C172" s="9"/>
      <c r="D172" s="9"/>
      <c r="E172" s="9"/>
      <c r="F172" s="144"/>
      <c r="G172" s="200">
        <f>SUM(G173:G202)</f>
        <v>0</v>
      </c>
      <c r="H172" s="119"/>
      <c r="I172" s="119"/>
      <c r="J172" s="119"/>
      <c r="K172" s="119"/>
      <c r="L172" s="119"/>
      <c r="M172" s="9"/>
      <c r="N172" s="113"/>
      <c r="O172" s="155"/>
      <c r="P172" s="155"/>
      <c r="Q172" s="155"/>
      <c r="R172" s="102"/>
      <c r="S172" s="102"/>
      <c r="T172" s="102"/>
      <c r="U172" s="102"/>
      <c r="V172" s="102"/>
      <c r="W172" s="102"/>
      <c r="X172" s="102"/>
      <c r="Y172" s="102"/>
      <c r="Z172" s="102"/>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26"/>
      <c r="BK172" s="226"/>
    </row>
    <row r="173" spans="1:63" hidden="1" outlineLevel="1">
      <c r="A173" s="9"/>
      <c r="B173" s="9"/>
      <c r="C173" s="132" t="str">
        <f>Asset1</f>
        <v>Overhead Sub-Transmission Lines</v>
      </c>
      <c r="D173" s="9"/>
      <c r="E173" s="9"/>
      <c r="F173" s="144"/>
      <c r="G173" s="198">
        <f>Input!Q7</f>
        <v>0</v>
      </c>
      <c r="H173" s="119"/>
      <c r="I173" s="119"/>
      <c r="J173" s="119"/>
      <c r="K173" s="119"/>
      <c r="L173" s="119"/>
      <c r="M173" s="9"/>
      <c r="N173" s="113"/>
      <c r="O173" s="155"/>
      <c r="P173" s="155"/>
      <c r="Q173" s="155"/>
      <c r="R173" s="102"/>
      <c r="S173" s="102"/>
      <c r="T173" s="102"/>
      <c r="U173" s="102"/>
      <c r="V173" s="102"/>
      <c r="W173" s="102"/>
      <c r="X173" s="102"/>
      <c r="Y173" s="102"/>
      <c r="Z173" s="102"/>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26"/>
      <c r="BK173" s="226"/>
    </row>
    <row r="174" spans="1:63" hidden="1" outlineLevel="1">
      <c r="A174" s="9"/>
      <c r="B174" s="46"/>
      <c r="C174" s="132" t="str">
        <f>Asset2</f>
        <v>Underground Sub-Transmission Cables</v>
      </c>
      <c r="D174" s="9"/>
      <c r="E174" s="9"/>
      <c r="F174" s="144"/>
      <c r="G174" s="198">
        <f>Input!Q8</f>
        <v>0</v>
      </c>
      <c r="H174" s="119"/>
      <c r="I174" s="119"/>
      <c r="J174" s="119"/>
      <c r="K174" s="119"/>
      <c r="L174" s="119"/>
      <c r="M174" s="9"/>
      <c r="N174" s="113"/>
      <c r="O174" s="155"/>
      <c r="P174" s="155"/>
      <c r="Q174" s="155"/>
      <c r="R174" s="102"/>
      <c r="S174" s="102"/>
      <c r="T174" s="102"/>
      <c r="U174" s="102"/>
      <c r="V174" s="102"/>
      <c r="W174" s="102"/>
      <c r="X174" s="102"/>
      <c r="Y174" s="102"/>
      <c r="Z174" s="102"/>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26"/>
      <c r="BK174" s="226"/>
    </row>
    <row r="175" spans="1:63" hidden="1" outlineLevel="1">
      <c r="A175" s="9"/>
      <c r="B175" s="46"/>
      <c r="C175" s="132" t="str">
        <f>Asset3</f>
        <v>Overhead Distribution Lines</v>
      </c>
      <c r="D175" s="9"/>
      <c r="E175" s="9"/>
      <c r="F175" s="144"/>
      <c r="G175" s="198">
        <f>Input!Q9</f>
        <v>0</v>
      </c>
      <c r="H175" s="119"/>
      <c r="I175" s="119"/>
      <c r="J175" s="119"/>
      <c r="K175" s="119"/>
      <c r="L175" s="119"/>
      <c r="M175" s="9"/>
      <c r="N175" s="113"/>
      <c r="O175" s="155"/>
      <c r="P175" s="155"/>
      <c r="Q175" s="155"/>
      <c r="R175" s="102"/>
      <c r="S175" s="102"/>
      <c r="T175" s="102"/>
      <c r="U175" s="102"/>
      <c r="V175" s="102"/>
      <c r="W175" s="102"/>
      <c r="X175" s="102"/>
      <c r="Y175" s="102"/>
      <c r="Z175" s="102"/>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26"/>
      <c r="BK175" s="226"/>
    </row>
    <row r="176" spans="1:63" hidden="1" outlineLevel="1">
      <c r="A176" s="9"/>
      <c r="B176" s="46"/>
      <c r="C176" s="132" t="str">
        <f>Asset4</f>
        <v>Underground Distribution Cables</v>
      </c>
      <c r="D176" s="9"/>
      <c r="E176" s="9"/>
      <c r="F176" s="144"/>
      <c r="G176" s="198">
        <f>Input!Q10</f>
        <v>0</v>
      </c>
      <c r="H176" s="119"/>
      <c r="I176" s="119"/>
      <c r="J176" s="119"/>
      <c r="K176" s="119"/>
      <c r="L176" s="119"/>
      <c r="M176" s="9"/>
      <c r="N176" s="113"/>
      <c r="O176" s="155"/>
      <c r="P176" s="155"/>
      <c r="Q176" s="155"/>
      <c r="R176" s="102"/>
      <c r="S176" s="102"/>
      <c r="T176" s="102"/>
      <c r="U176" s="102"/>
      <c r="V176" s="102"/>
      <c r="W176" s="102"/>
      <c r="X176" s="102"/>
      <c r="Y176" s="102"/>
      <c r="Z176" s="102"/>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26"/>
      <c r="BK176" s="226"/>
    </row>
    <row r="177" spans="1:63" hidden="1" outlineLevel="1">
      <c r="A177" s="9"/>
      <c r="B177" s="46"/>
      <c r="C177" s="132" t="str">
        <f>Asset5</f>
        <v xml:space="preserve">Distribution Equipment  </v>
      </c>
      <c r="D177" s="9"/>
      <c r="E177" s="9"/>
      <c r="F177" s="144"/>
      <c r="G177" s="198">
        <f>Input!Q11</f>
        <v>0</v>
      </c>
      <c r="H177" s="119"/>
      <c r="I177" s="119"/>
      <c r="J177" s="119"/>
      <c r="K177" s="119"/>
      <c r="L177" s="119"/>
      <c r="M177" s="9"/>
      <c r="N177" s="113"/>
      <c r="O177" s="155"/>
      <c r="P177" s="155"/>
      <c r="Q177" s="155"/>
      <c r="R177" s="102"/>
      <c r="S177" s="102"/>
      <c r="T177" s="102"/>
      <c r="U177" s="102"/>
      <c r="V177" s="102"/>
      <c r="W177" s="102"/>
      <c r="X177" s="102"/>
      <c r="Y177" s="102"/>
      <c r="Z177" s="102"/>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26"/>
      <c r="BK177" s="226"/>
    </row>
    <row r="178" spans="1:63" hidden="1" outlineLevel="1">
      <c r="A178" s="9"/>
      <c r="B178" s="46"/>
      <c r="C178" s="132" t="str">
        <f>Asset6</f>
        <v>Substation Bays</v>
      </c>
      <c r="D178" s="9"/>
      <c r="E178" s="9"/>
      <c r="F178" s="144"/>
      <c r="G178" s="198">
        <f>Input!Q12</f>
        <v>0</v>
      </c>
      <c r="H178" s="119"/>
      <c r="I178" s="119"/>
      <c r="J178" s="119"/>
      <c r="K178" s="119"/>
      <c r="L178" s="119"/>
      <c r="M178" s="9"/>
      <c r="N178" s="113"/>
      <c r="O178" s="155"/>
      <c r="P178" s="155"/>
      <c r="Q178" s="155"/>
      <c r="R178" s="102"/>
      <c r="S178" s="102"/>
      <c r="T178" s="102"/>
      <c r="U178" s="102"/>
      <c r="V178" s="102"/>
      <c r="W178" s="102"/>
      <c r="X178" s="102"/>
      <c r="Y178" s="102"/>
      <c r="Z178" s="102"/>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26"/>
      <c r="BK178" s="226"/>
    </row>
    <row r="179" spans="1:63" hidden="1" outlineLevel="1">
      <c r="A179" s="9"/>
      <c r="B179" s="46"/>
      <c r="C179" s="132" t="str">
        <f>Asset7</f>
        <v>Substation Establishment</v>
      </c>
      <c r="D179" s="9"/>
      <c r="E179" s="9"/>
      <c r="F179" s="144"/>
      <c r="G179" s="198">
        <f>Input!Q13</f>
        <v>0</v>
      </c>
      <c r="H179" s="119"/>
      <c r="I179" s="119"/>
      <c r="J179" s="119"/>
      <c r="K179" s="119"/>
      <c r="L179" s="119"/>
      <c r="M179" s="9"/>
      <c r="N179" s="113"/>
      <c r="O179" s="155"/>
      <c r="P179" s="155"/>
      <c r="Q179" s="155"/>
      <c r="R179" s="102"/>
      <c r="S179" s="102"/>
      <c r="T179" s="102"/>
      <c r="U179" s="102"/>
      <c r="V179" s="102"/>
      <c r="W179" s="102"/>
      <c r="X179" s="102"/>
      <c r="Y179" s="102"/>
      <c r="Z179" s="102"/>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26"/>
      <c r="BK179" s="226"/>
    </row>
    <row r="180" spans="1:63" hidden="1" outlineLevel="1">
      <c r="A180" s="9"/>
      <c r="B180" s="46"/>
      <c r="C180" s="132" t="str">
        <f>Asset8</f>
        <v>Distribution Substation Switchgear</v>
      </c>
      <c r="D180" s="9"/>
      <c r="E180" s="9"/>
      <c r="F180" s="144"/>
      <c r="G180" s="198">
        <f>Input!Q14</f>
        <v>0</v>
      </c>
      <c r="H180" s="119"/>
      <c r="I180" s="119"/>
      <c r="J180" s="119"/>
      <c r="K180" s="119"/>
      <c r="L180" s="119"/>
      <c r="M180" s="9"/>
      <c r="N180" s="113"/>
      <c r="O180" s="155"/>
      <c r="P180" s="155"/>
      <c r="Q180" s="155"/>
      <c r="R180" s="102"/>
      <c r="S180" s="102"/>
      <c r="T180" s="102"/>
      <c r="U180" s="102"/>
      <c r="V180" s="102"/>
      <c r="W180" s="102"/>
      <c r="X180" s="102"/>
      <c r="Y180" s="102"/>
      <c r="Z180" s="102"/>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26"/>
      <c r="BK180" s="226"/>
    </row>
    <row r="181" spans="1:63" hidden="1" outlineLevel="1">
      <c r="A181" s="9"/>
      <c r="B181" s="46"/>
      <c r="C181" s="132" t="str">
        <f>Asset9</f>
        <v>Zone Transformers</v>
      </c>
      <c r="D181" s="9"/>
      <c r="E181" s="9"/>
      <c r="F181" s="144"/>
      <c r="G181" s="198">
        <f>Input!Q15</f>
        <v>0</v>
      </c>
      <c r="H181" s="119"/>
      <c r="I181" s="119"/>
      <c r="J181" s="119"/>
      <c r="K181" s="119"/>
      <c r="L181" s="119"/>
      <c r="M181" s="9"/>
      <c r="N181" s="113"/>
      <c r="O181" s="155"/>
      <c r="P181" s="155"/>
      <c r="Q181" s="155"/>
      <c r="R181" s="102"/>
      <c r="S181" s="102"/>
      <c r="T181" s="102"/>
      <c r="U181" s="102"/>
      <c r="V181" s="102"/>
      <c r="W181" s="102"/>
      <c r="X181" s="102"/>
      <c r="Y181" s="102"/>
      <c r="Z181" s="102"/>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26"/>
      <c r="BK181" s="226"/>
    </row>
    <row r="182" spans="1:63" hidden="1" outlineLevel="1">
      <c r="A182" s="9"/>
      <c r="B182" s="46"/>
      <c r="C182" s="132" t="str">
        <f>Asset10</f>
        <v>Distribution Transformers</v>
      </c>
      <c r="D182" s="9"/>
      <c r="E182" s="9"/>
      <c r="F182" s="144"/>
      <c r="G182" s="198">
        <f>Input!Q16</f>
        <v>0</v>
      </c>
      <c r="H182" s="119"/>
      <c r="I182" s="119"/>
      <c r="J182" s="119"/>
      <c r="K182" s="119"/>
      <c r="L182" s="119"/>
      <c r="M182" s="9"/>
      <c r="N182" s="113"/>
      <c r="O182" s="155"/>
      <c r="P182" s="155"/>
      <c r="Q182" s="155"/>
      <c r="R182" s="102"/>
      <c r="S182" s="102"/>
      <c r="T182" s="102"/>
      <c r="U182" s="102"/>
      <c r="V182" s="102"/>
      <c r="W182" s="102"/>
      <c r="X182" s="102"/>
      <c r="Y182" s="102"/>
      <c r="Z182" s="102"/>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26"/>
      <c r="BK182" s="226"/>
    </row>
    <row r="183" spans="1:63" hidden="1" outlineLevel="1">
      <c r="A183" s="9"/>
      <c r="B183" s="46"/>
      <c r="C183" s="132" t="str">
        <f>Asset11</f>
        <v>Low Voltage Services</v>
      </c>
      <c r="D183" s="9"/>
      <c r="E183" s="9"/>
      <c r="F183" s="144"/>
      <c r="G183" s="198">
        <f>Input!Q17</f>
        <v>0</v>
      </c>
      <c r="H183" s="119"/>
      <c r="I183" s="119"/>
      <c r="J183" s="119"/>
      <c r="K183" s="119"/>
      <c r="L183" s="119"/>
      <c r="M183" s="9"/>
      <c r="N183" s="113"/>
      <c r="O183" s="155"/>
      <c r="P183" s="155"/>
      <c r="Q183" s="155"/>
      <c r="R183" s="102"/>
      <c r="S183" s="102"/>
      <c r="T183" s="102"/>
      <c r="U183" s="102"/>
      <c r="V183" s="102"/>
      <c r="W183" s="102"/>
      <c r="X183" s="102"/>
      <c r="Y183" s="102"/>
      <c r="Z183" s="102"/>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26"/>
      <c r="BK183" s="226"/>
    </row>
    <row r="184" spans="1:63" hidden="1" outlineLevel="1">
      <c r="A184" s="9"/>
      <c r="B184" s="46"/>
      <c r="C184" s="132" t="str">
        <f>Asset12</f>
        <v>Metering</v>
      </c>
      <c r="D184" s="9"/>
      <c r="E184" s="9"/>
      <c r="F184" s="144"/>
      <c r="G184" s="198">
        <f>Input!Q18</f>
        <v>0</v>
      </c>
      <c r="H184" s="119"/>
      <c r="I184" s="119"/>
      <c r="J184" s="119"/>
      <c r="K184" s="119"/>
      <c r="L184" s="119"/>
      <c r="M184" s="9"/>
      <c r="N184" s="113"/>
      <c r="O184" s="155"/>
      <c r="P184" s="155"/>
      <c r="Q184" s="155"/>
      <c r="R184" s="102"/>
      <c r="S184" s="102"/>
      <c r="T184" s="102"/>
      <c r="U184" s="102"/>
      <c r="V184" s="102"/>
      <c r="W184" s="102"/>
      <c r="X184" s="102"/>
      <c r="Y184" s="102"/>
      <c r="Z184" s="102"/>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26"/>
      <c r="BK184" s="226"/>
    </row>
    <row r="185" spans="1:63" hidden="1" outlineLevel="1">
      <c r="A185" s="9"/>
      <c r="B185" s="46"/>
      <c r="C185" s="132" t="str">
        <f>Asset13</f>
        <v xml:space="preserve">Communications – Pilot Wires </v>
      </c>
      <c r="D185" s="9"/>
      <c r="E185" s="9"/>
      <c r="F185" s="144"/>
      <c r="G185" s="198">
        <f>Input!Q19</f>
        <v>0</v>
      </c>
      <c r="H185" s="119"/>
      <c r="I185" s="119"/>
      <c r="J185" s="119"/>
      <c r="K185" s="119"/>
      <c r="L185" s="119"/>
      <c r="M185" s="9"/>
      <c r="N185" s="113"/>
      <c r="O185" s="155"/>
      <c r="P185" s="155"/>
      <c r="Q185" s="155"/>
      <c r="R185" s="102"/>
      <c r="S185" s="102"/>
      <c r="T185" s="102"/>
      <c r="U185" s="102"/>
      <c r="V185" s="102"/>
      <c r="W185" s="102"/>
      <c r="X185" s="102"/>
      <c r="Y185" s="102"/>
      <c r="Z185" s="102"/>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26"/>
      <c r="BK185" s="226"/>
    </row>
    <row r="186" spans="1:63" hidden="1" outlineLevel="1">
      <c r="A186" s="9"/>
      <c r="B186" s="46"/>
      <c r="C186" s="132" t="str">
        <f>Asset14</f>
        <v>Generation Assets</v>
      </c>
      <c r="D186" s="9"/>
      <c r="E186" s="9"/>
      <c r="F186" s="144"/>
      <c r="G186" s="198">
        <f>Input!Q20</f>
        <v>0</v>
      </c>
      <c r="H186" s="119"/>
      <c r="I186" s="119"/>
      <c r="J186" s="119"/>
      <c r="K186" s="119"/>
      <c r="L186" s="119"/>
      <c r="M186" s="9"/>
      <c r="N186" s="113"/>
      <c r="O186" s="155"/>
      <c r="P186" s="155"/>
      <c r="Q186" s="155"/>
      <c r="R186" s="102"/>
      <c r="S186" s="102"/>
      <c r="T186" s="102"/>
      <c r="U186" s="102"/>
      <c r="V186" s="102"/>
      <c r="W186" s="102"/>
      <c r="X186" s="102"/>
      <c r="Y186" s="102"/>
      <c r="Z186" s="102"/>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26"/>
      <c r="BK186" s="226"/>
    </row>
    <row r="187" spans="1:63" hidden="1" outlineLevel="1">
      <c r="A187" s="9"/>
      <c r="B187" s="46"/>
      <c r="C187" s="132" t="str">
        <f>Asset15</f>
        <v>Street Lighting</v>
      </c>
      <c r="D187" s="9"/>
      <c r="E187" s="9"/>
      <c r="F187" s="144"/>
      <c r="G187" s="198">
        <f>Input!Q21</f>
        <v>0</v>
      </c>
      <c r="H187" s="119"/>
      <c r="I187" s="119"/>
      <c r="J187" s="119"/>
      <c r="K187" s="119"/>
      <c r="L187" s="119"/>
      <c r="M187" s="9"/>
      <c r="N187" s="113"/>
      <c r="O187" s="155"/>
      <c r="P187" s="155"/>
      <c r="Q187" s="155"/>
      <c r="R187" s="102"/>
      <c r="S187" s="102"/>
      <c r="T187" s="102"/>
      <c r="U187" s="102"/>
      <c r="V187" s="102"/>
      <c r="W187" s="102"/>
      <c r="X187" s="102"/>
      <c r="Y187" s="102"/>
      <c r="Z187" s="102"/>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26"/>
      <c r="BK187" s="226"/>
    </row>
    <row r="188" spans="1:63" hidden="1" outlineLevel="1">
      <c r="A188" s="9"/>
      <c r="B188" s="46"/>
      <c r="C188" s="132" t="str">
        <f>Asset16</f>
        <v>Other Equipment</v>
      </c>
      <c r="D188" s="9"/>
      <c r="E188" s="9"/>
      <c r="F188" s="144"/>
      <c r="G188" s="198">
        <f>Input!Q22</f>
        <v>0</v>
      </c>
      <c r="H188" s="119"/>
      <c r="I188" s="119"/>
      <c r="J188" s="119"/>
      <c r="K188" s="119"/>
      <c r="L188" s="119"/>
      <c r="M188" s="9"/>
      <c r="N188" s="113"/>
      <c r="O188" s="155"/>
      <c r="P188" s="155"/>
      <c r="Q188" s="155"/>
      <c r="R188" s="102"/>
      <c r="S188" s="102"/>
      <c r="T188" s="102"/>
      <c r="U188" s="102"/>
      <c r="V188" s="102"/>
      <c r="W188" s="102"/>
      <c r="X188" s="102"/>
      <c r="Y188" s="102"/>
      <c r="Z188" s="102"/>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26"/>
      <c r="BK188" s="226"/>
    </row>
    <row r="189" spans="1:63" hidden="1" outlineLevel="1">
      <c r="A189" s="9"/>
      <c r="B189" s="46"/>
      <c r="C189" s="132" t="str">
        <f>Asset17</f>
        <v>Control Centre - SCADA</v>
      </c>
      <c r="D189" s="9"/>
      <c r="E189" s="9"/>
      <c r="F189" s="144"/>
      <c r="G189" s="198">
        <f>Input!Q23</f>
        <v>0</v>
      </c>
      <c r="H189" s="119"/>
      <c r="I189" s="119"/>
      <c r="J189" s="119"/>
      <c r="K189" s="119"/>
      <c r="L189" s="119"/>
      <c r="M189" s="9"/>
      <c r="N189" s="113"/>
      <c r="O189" s="155"/>
      <c r="P189" s="155"/>
      <c r="Q189" s="155"/>
      <c r="R189" s="102"/>
      <c r="S189" s="102"/>
      <c r="T189" s="102"/>
      <c r="U189" s="102"/>
      <c r="V189" s="102"/>
      <c r="W189" s="102"/>
      <c r="X189" s="102"/>
      <c r="Y189" s="102"/>
      <c r="Z189" s="102"/>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26"/>
      <c r="BK189" s="226"/>
    </row>
    <row r="190" spans="1:63" hidden="1" outlineLevel="1">
      <c r="A190" s="9"/>
      <c r="B190" s="46"/>
      <c r="C190" s="132" t="str">
        <f>Asset18</f>
        <v>Land &amp; Easements (System)</v>
      </c>
      <c r="D190" s="9"/>
      <c r="E190" s="9"/>
      <c r="F190" s="144"/>
      <c r="G190" s="198">
        <f>Input!Q24</f>
        <v>0</v>
      </c>
      <c r="H190" s="119"/>
      <c r="I190" s="119"/>
      <c r="J190" s="119"/>
      <c r="K190" s="119"/>
      <c r="L190" s="119"/>
      <c r="M190" s="9"/>
      <c r="N190" s="113"/>
      <c r="O190" s="155"/>
      <c r="P190" s="155"/>
      <c r="Q190" s="155"/>
      <c r="R190" s="102"/>
      <c r="S190" s="102"/>
      <c r="T190" s="102"/>
      <c r="U190" s="102"/>
      <c r="V190" s="102"/>
      <c r="W190" s="102"/>
      <c r="X190" s="102"/>
      <c r="Y190" s="102"/>
      <c r="Z190" s="102"/>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26"/>
      <c r="BK190" s="226"/>
    </row>
    <row r="191" spans="1:63" hidden="1" outlineLevel="1">
      <c r="A191" s="9"/>
      <c r="B191" s="46"/>
      <c r="C191" s="132" t="str">
        <f>Asset19</f>
        <v>Metering Type 5-6</v>
      </c>
      <c r="D191" s="9"/>
      <c r="E191" s="9"/>
      <c r="F191" s="144"/>
      <c r="G191" s="198">
        <f>Input!Q25</f>
        <v>0</v>
      </c>
      <c r="H191" s="119"/>
      <c r="I191" s="119"/>
      <c r="J191" s="119"/>
      <c r="K191" s="119"/>
      <c r="L191" s="119"/>
      <c r="M191" s="9"/>
      <c r="N191" s="113"/>
      <c r="O191" s="155"/>
      <c r="P191" s="155"/>
      <c r="Q191" s="155"/>
      <c r="R191" s="102"/>
      <c r="S191" s="102"/>
      <c r="T191" s="102"/>
      <c r="U191" s="102"/>
      <c r="V191" s="102"/>
      <c r="W191" s="102"/>
      <c r="X191" s="102"/>
      <c r="Y191" s="102"/>
      <c r="Z191" s="102"/>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26"/>
      <c r="BK191" s="226"/>
    </row>
    <row r="192" spans="1:63" hidden="1" outlineLevel="1">
      <c r="A192" s="9"/>
      <c r="B192" s="46"/>
      <c r="C192" s="132" t="str">
        <f>Asset20</f>
        <v>Communications</v>
      </c>
      <c r="D192" s="9"/>
      <c r="E192" s="9"/>
      <c r="F192" s="144"/>
      <c r="G192" s="198">
        <f>Input!Q26</f>
        <v>0</v>
      </c>
      <c r="H192" s="119"/>
      <c r="I192" s="119"/>
      <c r="J192" s="119"/>
      <c r="K192" s="119"/>
      <c r="L192" s="119"/>
      <c r="M192" s="9"/>
      <c r="N192" s="113"/>
      <c r="O192" s="155"/>
      <c r="P192" s="155"/>
      <c r="Q192" s="155"/>
      <c r="R192" s="102"/>
      <c r="S192" s="102"/>
      <c r="T192" s="102"/>
      <c r="U192" s="102"/>
      <c r="V192" s="102"/>
      <c r="W192" s="102"/>
      <c r="X192" s="102"/>
      <c r="Y192" s="102"/>
      <c r="Z192" s="102"/>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26"/>
      <c r="BK192" s="226"/>
    </row>
    <row r="193" spans="1:63" hidden="1" outlineLevel="1">
      <c r="A193" s="9"/>
      <c r="B193" s="46"/>
      <c r="C193" s="132" t="str">
        <f>Asset21</f>
        <v>IT Systems</v>
      </c>
      <c r="D193" s="9"/>
      <c r="E193" s="9"/>
      <c r="F193" s="144"/>
      <c r="G193" s="198">
        <f>Input!Q27</f>
        <v>0</v>
      </c>
      <c r="H193" s="119"/>
      <c r="I193" s="119"/>
      <c r="J193" s="119"/>
      <c r="K193" s="119"/>
      <c r="L193" s="119"/>
      <c r="M193" s="9"/>
      <c r="N193" s="113"/>
      <c r="O193" s="155"/>
      <c r="P193" s="155"/>
      <c r="Q193" s="155"/>
      <c r="R193" s="102"/>
      <c r="S193" s="102"/>
      <c r="T193" s="102"/>
      <c r="U193" s="102"/>
      <c r="V193" s="102"/>
      <c r="W193" s="102"/>
      <c r="X193" s="102"/>
      <c r="Y193" s="102"/>
      <c r="Z193" s="102"/>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26"/>
      <c r="BK193" s="226"/>
    </row>
    <row r="194" spans="1:63" hidden="1" outlineLevel="1">
      <c r="A194" s="9"/>
      <c r="B194" s="46"/>
      <c r="C194" s="132" t="str">
        <f>Asset22</f>
        <v>Office Equipment &amp; Furniture</v>
      </c>
      <c r="D194" s="9"/>
      <c r="E194" s="9"/>
      <c r="F194" s="144"/>
      <c r="G194" s="198">
        <f>Input!Q28</f>
        <v>0</v>
      </c>
      <c r="H194" s="119"/>
      <c r="I194" s="119"/>
      <c r="J194" s="119"/>
      <c r="K194" s="119"/>
      <c r="L194" s="119"/>
      <c r="M194" s="9"/>
      <c r="N194" s="113"/>
      <c r="O194" s="155"/>
      <c r="P194" s="155"/>
      <c r="Q194" s="155"/>
      <c r="R194" s="102"/>
      <c r="S194" s="102"/>
      <c r="T194" s="102"/>
      <c r="U194" s="102"/>
      <c r="V194" s="102"/>
      <c r="W194" s="102"/>
      <c r="X194" s="102"/>
      <c r="Y194" s="102"/>
      <c r="Z194" s="102"/>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26"/>
      <c r="BK194" s="226"/>
    </row>
    <row r="195" spans="1:63" hidden="1" outlineLevel="1">
      <c r="A195" s="9"/>
      <c r="B195" s="46"/>
      <c r="C195" s="132" t="str">
        <f>Asset23</f>
        <v>Motor Vehicles</v>
      </c>
      <c r="D195" s="9"/>
      <c r="E195" s="9"/>
      <c r="F195" s="144"/>
      <c r="G195" s="198">
        <f>Input!Q29</f>
        <v>0</v>
      </c>
      <c r="H195" s="119"/>
      <c r="I195" s="119"/>
      <c r="J195" s="119"/>
      <c r="K195" s="119"/>
      <c r="L195" s="119"/>
      <c r="M195" s="9"/>
      <c r="N195" s="113"/>
      <c r="O195" s="155"/>
      <c r="P195" s="155"/>
      <c r="Q195" s="155"/>
      <c r="R195" s="102"/>
      <c r="S195" s="102"/>
      <c r="T195" s="102"/>
      <c r="U195" s="102"/>
      <c r="V195" s="102"/>
      <c r="W195" s="102"/>
      <c r="X195" s="102"/>
      <c r="Y195" s="102"/>
      <c r="Z195" s="102"/>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26"/>
      <c r="BK195" s="226"/>
    </row>
    <row r="196" spans="1:63" hidden="1" outlineLevel="1">
      <c r="A196" s="9"/>
      <c r="B196" s="46"/>
      <c r="C196" s="132" t="str">
        <f>Asset24</f>
        <v>Plant &amp; Equipment</v>
      </c>
      <c r="D196" s="9"/>
      <c r="E196" s="9"/>
      <c r="F196" s="144"/>
      <c r="G196" s="198">
        <f>Input!Q30</f>
        <v>0</v>
      </c>
      <c r="H196" s="119"/>
      <c r="I196" s="119"/>
      <c r="J196" s="119"/>
      <c r="K196" s="119"/>
      <c r="L196" s="119"/>
      <c r="M196" s="9"/>
      <c r="N196" s="113"/>
      <c r="O196" s="155"/>
      <c r="P196" s="155"/>
      <c r="Q196" s="155"/>
      <c r="R196" s="102"/>
      <c r="S196" s="102"/>
      <c r="T196" s="102"/>
      <c r="U196" s="102"/>
      <c r="V196" s="102"/>
      <c r="W196" s="102"/>
      <c r="X196" s="102"/>
      <c r="Y196" s="102"/>
      <c r="Z196" s="102"/>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26"/>
      <c r="BK196" s="226"/>
    </row>
    <row r="197" spans="1:63" hidden="1" outlineLevel="1">
      <c r="A197" s="9"/>
      <c r="B197" s="46"/>
      <c r="C197" s="132" t="str">
        <f>Asset25</f>
        <v>Buildings</v>
      </c>
      <c r="D197" s="9"/>
      <c r="E197" s="9"/>
      <c r="F197" s="144"/>
      <c r="G197" s="198">
        <f>Input!Q31</f>
        <v>0</v>
      </c>
      <c r="H197" s="119"/>
      <c r="I197" s="119"/>
      <c r="J197" s="119"/>
      <c r="K197" s="119"/>
      <c r="L197" s="119"/>
      <c r="M197" s="9"/>
      <c r="N197" s="113"/>
      <c r="O197" s="155"/>
      <c r="P197" s="155"/>
      <c r="Q197" s="155"/>
      <c r="R197" s="102"/>
      <c r="S197" s="102"/>
      <c r="T197" s="102"/>
      <c r="U197" s="102"/>
      <c r="V197" s="102"/>
      <c r="W197" s="102"/>
      <c r="X197" s="102"/>
      <c r="Y197" s="102"/>
      <c r="Z197" s="102"/>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26"/>
      <c r="BK197" s="226"/>
    </row>
    <row r="198" spans="1:63" hidden="1" outlineLevel="1">
      <c r="A198" s="9"/>
      <c r="B198" s="46"/>
      <c r="C198" s="132" t="str">
        <f>Asset26</f>
        <v>Land &amp; Easements</v>
      </c>
      <c r="D198" s="9"/>
      <c r="E198" s="9"/>
      <c r="F198" s="144"/>
      <c r="G198" s="198">
        <f>Input!Q32</f>
        <v>0</v>
      </c>
      <c r="H198" s="119"/>
      <c r="I198" s="119"/>
      <c r="J198" s="119"/>
      <c r="K198" s="119"/>
      <c r="L198" s="119"/>
      <c r="M198" s="9"/>
      <c r="N198" s="113"/>
      <c r="O198" s="155"/>
      <c r="P198" s="155"/>
      <c r="Q198" s="155"/>
      <c r="R198" s="102"/>
      <c r="S198" s="102"/>
      <c r="T198" s="102"/>
      <c r="U198" s="102"/>
      <c r="V198" s="102"/>
      <c r="W198" s="102"/>
      <c r="X198" s="102"/>
      <c r="Y198" s="102"/>
      <c r="Z198" s="102"/>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26"/>
      <c r="BK198" s="226"/>
    </row>
    <row r="199" spans="1:63" hidden="1" outlineLevel="1">
      <c r="A199" s="9"/>
      <c r="B199" s="46"/>
      <c r="C199" s="132" t="str">
        <f>Asset27</f>
        <v>Land Improvements</v>
      </c>
      <c r="D199" s="9"/>
      <c r="E199" s="9"/>
      <c r="F199" s="144"/>
      <c r="G199" s="198">
        <f>Input!Q33</f>
        <v>0</v>
      </c>
      <c r="H199" s="119"/>
      <c r="I199" s="119"/>
      <c r="J199" s="119"/>
      <c r="K199" s="119"/>
      <c r="L199" s="119"/>
      <c r="M199" s="9"/>
      <c r="N199" s="113"/>
      <c r="O199" s="155"/>
      <c r="P199" s="155"/>
      <c r="Q199" s="155"/>
      <c r="R199" s="102"/>
      <c r="S199" s="102"/>
      <c r="T199" s="102"/>
      <c r="U199" s="102"/>
      <c r="V199" s="102"/>
      <c r="W199" s="102"/>
      <c r="X199" s="102"/>
      <c r="Y199" s="102"/>
      <c r="Z199" s="102"/>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26"/>
      <c r="BK199" s="226"/>
    </row>
    <row r="200" spans="1:63" hidden="1" outlineLevel="1">
      <c r="A200" s="9"/>
      <c r="B200" s="46"/>
      <c r="C200" s="132" t="str">
        <f>Asset28</f>
        <v>Equity Raising Costs</v>
      </c>
      <c r="D200" s="9"/>
      <c r="E200" s="9"/>
      <c r="F200" s="144"/>
      <c r="G200" s="198">
        <f>Input!Q34</f>
        <v>0</v>
      </c>
      <c r="H200" s="119"/>
      <c r="I200" s="119"/>
      <c r="J200" s="119"/>
      <c r="K200" s="119"/>
      <c r="L200" s="119"/>
      <c r="M200" s="9"/>
      <c r="N200" s="113"/>
      <c r="O200" s="155"/>
      <c r="P200" s="155"/>
      <c r="Q200" s="155"/>
      <c r="R200" s="102"/>
      <c r="S200" s="102"/>
      <c r="T200" s="102"/>
      <c r="U200" s="102"/>
      <c r="V200" s="102"/>
      <c r="W200" s="102"/>
      <c r="X200" s="102"/>
      <c r="Y200" s="102"/>
      <c r="Z200" s="102"/>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26"/>
      <c r="BK200" s="226"/>
    </row>
    <row r="201" spans="1:63" hidden="1" outlineLevel="1">
      <c r="A201" s="9"/>
      <c r="B201" s="46"/>
      <c r="C201" s="132" t="str">
        <f>Asset29</f>
        <v>Not Used</v>
      </c>
      <c r="D201" s="9"/>
      <c r="E201" s="9"/>
      <c r="F201" s="144"/>
      <c r="G201" s="198">
        <f>Input!Q35</f>
        <v>0</v>
      </c>
      <c r="H201" s="119"/>
      <c r="I201" s="119"/>
      <c r="J201" s="119"/>
      <c r="K201" s="119"/>
      <c r="L201" s="119"/>
      <c r="M201" s="9"/>
      <c r="N201" s="113"/>
      <c r="O201" s="155"/>
      <c r="P201" s="155"/>
      <c r="Q201" s="155"/>
      <c r="R201" s="102"/>
      <c r="S201" s="102"/>
      <c r="T201" s="102"/>
      <c r="U201" s="102"/>
      <c r="V201" s="102"/>
      <c r="W201" s="102"/>
      <c r="X201" s="102"/>
      <c r="Y201" s="102"/>
      <c r="Z201" s="102"/>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26"/>
      <c r="BK201" s="226"/>
    </row>
    <row r="202" spans="1:63" hidden="1" outlineLevel="1">
      <c r="A202" s="9"/>
      <c r="B202" s="46"/>
      <c r="C202" s="132" t="str">
        <f>Asset30</f>
        <v>Not Used</v>
      </c>
      <c r="D202" s="9"/>
      <c r="E202" s="9"/>
      <c r="F202" s="144"/>
      <c r="G202" s="198">
        <f>Input!Q36</f>
        <v>0</v>
      </c>
      <c r="H202" s="119"/>
      <c r="I202" s="119"/>
      <c r="J202" s="119"/>
      <c r="K202" s="119"/>
      <c r="L202" s="119"/>
      <c r="M202" s="9"/>
      <c r="N202" s="113"/>
      <c r="O202" s="155"/>
      <c r="P202" s="155"/>
      <c r="Q202" s="155"/>
      <c r="R202" s="102"/>
      <c r="S202" s="102"/>
      <c r="T202" s="102"/>
      <c r="U202" s="102"/>
      <c r="V202" s="102"/>
      <c r="W202" s="102"/>
      <c r="X202" s="102"/>
      <c r="Y202" s="102"/>
      <c r="Z202" s="102"/>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26"/>
      <c r="BK202" s="226"/>
    </row>
    <row r="203" spans="1:63" collapsed="1">
      <c r="A203" s="9"/>
      <c r="B203" s="156"/>
      <c r="C203" s="26"/>
      <c r="D203" s="9"/>
      <c r="E203" s="9"/>
      <c r="F203" s="144"/>
      <c r="G203" s="200"/>
      <c r="H203" s="119"/>
      <c r="I203" s="119"/>
      <c r="J203" s="119"/>
      <c r="K203" s="119"/>
      <c r="L203" s="119"/>
      <c r="M203" s="9"/>
      <c r="N203" s="113"/>
      <c r="O203" s="155"/>
      <c r="P203" s="155"/>
      <c r="Q203" s="155"/>
      <c r="R203" s="102"/>
      <c r="S203" s="102"/>
      <c r="T203" s="102"/>
      <c r="U203" s="102"/>
      <c r="V203" s="102"/>
      <c r="W203" s="102"/>
      <c r="X203" s="102"/>
      <c r="Y203" s="102"/>
      <c r="Z203" s="102"/>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26"/>
      <c r="BK203" s="226"/>
    </row>
    <row r="204" spans="1:63">
      <c r="A204" s="9"/>
      <c r="B204" s="156" t="s">
        <v>56</v>
      </c>
      <c r="C204" s="26"/>
      <c r="D204" s="9"/>
      <c r="E204" s="9"/>
      <c r="F204" s="144"/>
      <c r="G204" s="200">
        <f>SUM(G205:G234)</f>
        <v>0</v>
      </c>
      <c r="H204" s="119"/>
      <c r="I204" s="119"/>
      <c r="J204" s="119"/>
      <c r="K204" s="119"/>
      <c r="L204" s="119"/>
      <c r="M204" s="9"/>
      <c r="N204" s="113"/>
      <c r="O204" s="155"/>
      <c r="P204" s="155"/>
      <c r="Q204" s="155"/>
      <c r="R204" s="102"/>
      <c r="S204" s="102"/>
      <c r="T204" s="102"/>
      <c r="U204" s="102"/>
      <c r="V204" s="102"/>
      <c r="W204" s="102"/>
      <c r="X204" s="102"/>
      <c r="Y204" s="102"/>
      <c r="Z204" s="102"/>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26"/>
      <c r="BK204" s="226"/>
    </row>
    <row r="205" spans="1:63" hidden="1" outlineLevel="1">
      <c r="A205" s="9"/>
      <c r="B205" s="9"/>
      <c r="C205" s="132" t="str">
        <f>Asset1</f>
        <v>Overhead Sub-Transmission Lines</v>
      </c>
      <c r="D205" s="9"/>
      <c r="E205" s="9"/>
      <c r="F205" s="144"/>
      <c r="G205" s="198">
        <f>Input!R7</f>
        <v>0</v>
      </c>
      <c r="H205" s="119"/>
      <c r="I205" s="119"/>
      <c r="J205" s="119"/>
      <c r="K205" s="119"/>
      <c r="L205" s="119"/>
      <c r="M205" s="9"/>
      <c r="N205" s="113"/>
      <c r="O205" s="155"/>
      <c r="P205" s="155"/>
      <c r="Q205" s="155"/>
      <c r="R205" s="102"/>
      <c r="S205" s="102"/>
      <c r="T205" s="102"/>
      <c r="U205" s="102"/>
      <c r="V205" s="102"/>
      <c r="W205" s="102"/>
      <c r="X205" s="102"/>
      <c r="Y205" s="102"/>
      <c r="Z205" s="102"/>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26"/>
      <c r="BK205" s="226"/>
    </row>
    <row r="206" spans="1:63" hidden="1" outlineLevel="1">
      <c r="A206" s="9"/>
      <c r="B206" s="46"/>
      <c r="C206" s="132" t="str">
        <f>Asset2</f>
        <v>Underground Sub-Transmission Cables</v>
      </c>
      <c r="D206" s="9"/>
      <c r="E206" s="9"/>
      <c r="F206" s="144"/>
      <c r="G206" s="198">
        <f>Input!R8</f>
        <v>0</v>
      </c>
      <c r="H206" s="119"/>
      <c r="I206" s="119"/>
      <c r="J206" s="119"/>
      <c r="K206" s="119"/>
      <c r="L206" s="119"/>
      <c r="M206" s="9"/>
      <c r="N206" s="113"/>
      <c r="O206" s="155"/>
      <c r="P206" s="155"/>
      <c r="Q206" s="155"/>
      <c r="R206" s="102"/>
      <c r="S206" s="102"/>
      <c r="T206" s="102"/>
      <c r="U206" s="102"/>
      <c r="V206" s="102"/>
      <c r="W206" s="102"/>
      <c r="X206" s="102"/>
      <c r="Y206" s="102"/>
      <c r="Z206" s="102"/>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26"/>
      <c r="BK206" s="226"/>
    </row>
    <row r="207" spans="1:63" hidden="1" outlineLevel="1">
      <c r="A207" s="9"/>
      <c r="B207" s="46"/>
      <c r="C207" s="132" t="str">
        <f>Asset3</f>
        <v>Overhead Distribution Lines</v>
      </c>
      <c r="D207" s="9"/>
      <c r="E207" s="9"/>
      <c r="F207" s="144"/>
      <c r="G207" s="198">
        <f>Input!R9</f>
        <v>0</v>
      </c>
      <c r="H207" s="119"/>
      <c r="I207" s="119"/>
      <c r="J207" s="119"/>
      <c r="K207" s="119"/>
      <c r="L207" s="119"/>
      <c r="M207" s="9"/>
      <c r="N207" s="113"/>
      <c r="O207" s="155"/>
      <c r="P207" s="155"/>
      <c r="Q207" s="155"/>
      <c r="R207" s="102"/>
      <c r="S207" s="102"/>
      <c r="T207" s="102"/>
      <c r="U207" s="102"/>
      <c r="V207" s="102"/>
      <c r="W207" s="102"/>
      <c r="X207" s="102"/>
      <c r="Y207" s="102"/>
      <c r="Z207" s="102"/>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26"/>
      <c r="BK207" s="226"/>
    </row>
    <row r="208" spans="1:63" hidden="1" outlineLevel="1">
      <c r="A208" s="9"/>
      <c r="B208" s="46"/>
      <c r="C208" s="132" t="str">
        <f>Asset4</f>
        <v>Underground Distribution Cables</v>
      </c>
      <c r="D208" s="9"/>
      <c r="E208" s="9"/>
      <c r="F208" s="144"/>
      <c r="G208" s="198">
        <f>Input!R10</f>
        <v>0</v>
      </c>
      <c r="H208" s="119"/>
      <c r="I208" s="119"/>
      <c r="J208" s="119"/>
      <c r="K208" s="119"/>
      <c r="L208" s="119"/>
      <c r="M208" s="9"/>
      <c r="N208" s="113"/>
      <c r="O208" s="155"/>
      <c r="P208" s="155"/>
      <c r="Q208" s="155"/>
      <c r="R208" s="102"/>
      <c r="S208" s="102"/>
      <c r="T208" s="102"/>
      <c r="U208" s="102"/>
      <c r="V208" s="102"/>
      <c r="W208" s="102"/>
      <c r="X208" s="102"/>
      <c r="Y208" s="102"/>
      <c r="Z208" s="102"/>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26"/>
      <c r="BK208" s="226"/>
    </row>
    <row r="209" spans="1:63" hidden="1" outlineLevel="1">
      <c r="A209" s="9"/>
      <c r="B209" s="46"/>
      <c r="C209" s="132" t="str">
        <f>Asset5</f>
        <v xml:space="preserve">Distribution Equipment  </v>
      </c>
      <c r="D209" s="9"/>
      <c r="E209" s="9"/>
      <c r="F209" s="144"/>
      <c r="G209" s="198">
        <f>Input!R11</f>
        <v>0</v>
      </c>
      <c r="H209" s="119"/>
      <c r="I209" s="119"/>
      <c r="J209" s="119"/>
      <c r="K209" s="119"/>
      <c r="L209" s="119"/>
      <c r="M209" s="9"/>
      <c r="N209" s="113"/>
      <c r="O209" s="155"/>
      <c r="P209" s="155"/>
      <c r="Q209" s="155"/>
      <c r="R209" s="102"/>
      <c r="S209" s="102"/>
      <c r="T209" s="102"/>
      <c r="U209" s="102"/>
      <c r="V209" s="102"/>
      <c r="W209" s="102"/>
      <c r="X209" s="102"/>
      <c r="Y209" s="102"/>
      <c r="Z209" s="102"/>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26"/>
      <c r="BK209" s="226"/>
    </row>
    <row r="210" spans="1:63" hidden="1" outlineLevel="1">
      <c r="A210" s="9"/>
      <c r="B210" s="46"/>
      <c r="C210" s="132" t="str">
        <f>Asset6</f>
        <v>Substation Bays</v>
      </c>
      <c r="D210" s="9"/>
      <c r="E210" s="9"/>
      <c r="F210" s="144"/>
      <c r="G210" s="198">
        <f>Input!R12</f>
        <v>0</v>
      </c>
      <c r="H210" s="119"/>
      <c r="I210" s="119"/>
      <c r="J210" s="119"/>
      <c r="K210" s="119"/>
      <c r="L210" s="119"/>
      <c r="M210" s="9"/>
      <c r="N210" s="113"/>
      <c r="O210" s="155"/>
      <c r="P210" s="155"/>
      <c r="Q210" s="155"/>
      <c r="R210" s="102"/>
      <c r="S210" s="102"/>
      <c r="T210" s="102"/>
      <c r="U210" s="102"/>
      <c r="V210" s="102"/>
      <c r="W210" s="102"/>
      <c r="X210" s="102"/>
      <c r="Y210" s="102"/>
      <c r="Z210" s="102"/>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26"/>
      <c r="BK210" s="226"/>
    </row>
    <row r="211" spans="1:63" hidden="1" outlineLevel="1">
      <c r="A211" s="9"/>
      <c r="B211" s="46"/>
      <c r="C211" s="132" t="str">
        <f>Asset7</f>
        <v>Substation Establishment</v>
      </c>
      <c r="D211" s="9"/>
      <c r="E211" s="9"/>
      <c r="F211" s="144"/>
      <c r="G211" s="198">
        <f>Input!R13</f>
        <v>0</v>
      </c>
      <c r="H211" s="119"/>
      <c r="I211" s="119"/>
      <c r="J211" s="119"/>
      <c r="K211" s="119"/>
      <c r="L211" s="119"/>
      <c r="M211" s="9"/>
      <c r="N211" s="113"/>
      <c r="O211" s="155"/>
      <c r="P211" s="155"/>
      <c r="Q211" s="155"/>
      <c r="R211" s="102"/>
      <c r="S211" s="102"/>
      <c r="T211" s="102"/>
      <c r="U211" s="102"/>
      <c r="V211" s="102"/>
      <c r="W211" s="102"/>
      <c r="X211" s="102"/>
      <c r="Y211" s="102"/>
      <c r="Z211" s="102"/>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26"/>
      <c r="BK211" s="226"/>
    </row>
    <row r="212" spans="1:63" hidden="1" outlineLevel="1">
      <c r="A212" s="9"/>
      <c r="B212" s="46"/>
      <c r="C212" s="132" t="str">
        <f>Asset8</f>
        <v>Distribution Substation Switchgear</v>
      </c>
      <c r="D212" s="9"/>
      <c r="E212" s="9"/>
      <c r="F212" s="144"/>
      <c r="G212" s="198">
        <f>Input!R14</f>
        <v>0</v>
      </c>
      <c r="H212" s="119"/>
      <c r="I212" s="119"/>
      <c r="J212" s="119"/>
      <c r="K212" s="119"/>
      <c r="L212" s="119"/>
      <c r="M212" s="9"/>
      <c r="N212" s="113"/>
      <c r="O212" s="155"/>
      <c r="P212" s="155"/>
      <c r="Q212" s="155"/>
      <c r="R212" s="102"/>
      <c r="S212" s="102"/>
      <c r="T212" s="102"/>
      <c r="U212" s="102"/>
      <c r="V212" s="102"/>
      <c r="W212" s="102"/>
      <c r="X212" s="102"/>
      <c r="Y212" s="102"/>
      <c r="Z212" s="102"/>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26"/>
      <c r="BK212" s="226"/>
    </row>
    <row r="213" spans="1:63" hidden="1" outlineLevel="1">
      <c r="A213" s="9"/>
      <c r="B213" s="46"/>
      <c r="C213" s="132" t="str">
        <f>Asset9</f>
        <v>Zone Transformers</v>
      </c>
      <c r="D213" s="9"/>
      <c r="E213" s="9"/>
      <c r="F213" s="144"/>
      <c r="G213" s="198">
        <f>Input!R15</f>
        <v>0</v>
      </c>
      <c r="H213" s="119"/>
      <c r="I213" s="119"/>
      <c r="J213" s="119"/>
      <c r="K213" s="119"/>
      <c r="L213" s="119"/>
      <c r="M213" s="9"/>
      <c r="N213" s="113"/>
      <c r="O213" s="155"/>
      <c r="P213" s="155"/>
      <c r="Q213" s="155"/>
      <c r="R213" s="102"/>
      <c r="S213" s="102"/>
      <c r="T213" s="102"/>
      <c r="U213" s="102"/>
      <c r="V213" s="102"/>
      <c r="W213" s="102"/>
      <c r="X213" s="102"/>
      <c r="Y213" s="102"/>
      <c r="Z213" s="102"/>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26"/>
      <c r="BK213" s="226"/>
    </row>
    <row r="214" spans="1:63" hidden="1" outlineLevel="1">
      <c r="A214" s="9"/>
      <c r="B214" s="46"/>
      <c r="C214" s="132" t="str">
        <f>Asset10</f>
        <v>Distribution Transformers</v>
      </c>
      <c r="D214" s="9"/>
      <c r="E214" s="9"/>
      <c r="F214" s="144"/>
      <c r="G214" s="198">
        <f>Input!R16</f>
        <v>0</v>
      </c>
      <c r="H214" s="119"/>
      <c r="I214" s="119"/>
      <c r="J214" s="119"/>
      <c r="K214" s="119"/>
      <c r="L214" s="119"/>
      <c r="M214" s="9"/>
      <c r="N214" s="113"/>
      <c r="O214" s="155"/>
      <c r="P214" s="155"/>
      <c r="Q214" s="155"/>
      <c r="R214" s="102"/>
      <c r="S214" s="102"/>
      <c r="T214" s="102"/>
      <c r="U214" s="102"/>
      <c r="V214" s="102"/>
      <c r="W214" s="102"/>
      <c r="X214" s="102"/>
      <c r="Y214" s="102"/>
      <c r="Z214" s="102"/>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26"/>
      <c r="BK214" s="226"/>
    </row>
    <row r="215" spans="1:63" hidden="1" outlineLevel="1">
      <c r="A215" s="9"/>
      <c r="B215" s="46"/>
      <c r="C215" s="132" t="str">
        <f>Asset11</f>
        <v>Low Voltage Services</v>
      </c>
      <c r="D215" s="9"/>
      <c r="E215" s="9"/>
      <c r="F215" s="144"/>
      <c r="G215" s="198">
        <f>Input!R17</f>
        <v>0</v>
      </c>
      <c r="H215" s="119"/>
      <c r="I215" s="119"/>
      <c r="J215" s="119"/>
      <c r="K215" s="119"/>
      <c r="L215" s="119"/>
      <c r="M215" s="9"/>
      <c r="N215" s="113"/>
      <c r="O215" s="155"/>
      <c r="P215" s="155"/>
      <c r="Q215" s="155"/>
      <c r="R215" s="102"/>
      <c r="S215" s="102"/>
      <c r="T215" s="102"/>
      <c r="U215" s="102"/>
      <c r="V215" s="102"/>
      <c r="W215" s="102"/>
      <c r="X215" s="102"/>
      <c r="Y215" s="102"/>
      <c r="Z215" s="102"/>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26"/>
      <c r="BK215" s="226"/>
    </row>
    <row r="216" spans="1:63" hidden="1" outlineLevel="1">
      <c r="A216" s="9"/>
      <c r="B216" s="46"/>
      <c r="C216" s="132" t="str">
        <f>Asset12</f>
        <v>Metering</v>
      </c>
      <c r="D216" s="9"/>
      <c r="E216" s="9"/>
      <c r="F216" s="144"/>
      <c r="G216" s="198">
        <f>Input!R18</f>
        <v>0</v>
      </c>
      <c r="H216" s="119"/>
      <c r="I216" s="119"/>
      <c r="J216" s="119"/>
      <c r="K216" s="119"/>
      <c r="L216" s="119"/>
      <c r="M216" s="9"/>
      <c r="N216" s="113"/>
      <c r="O216" s="155"/>
      <c r="P216" s="155"/>
      <c r="Q216" s="155"/>
      <c r="R216" s="102"/>
      <c r="S216" s="102"/>
      <c r="T216" s="102"/>
      <c r="U216" s="102"/>
      <c r="V216" s="102"/>
      <c r="W216" s="102"/>
      <c r="X216" s="102"/>
      <c r="Y216" s="102"/>
      <c r="Z216" s="102"/>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26"/>
      <c r="BK216" s="226"/>
    </row>
    <row r="217" spans="1:63" hidden="1" outlineLevel="1">
      <c r="A217" s="9"/>
      <c r="B217" s="46"/>
      <c r="C217" s="132" t="str">
        <f>Asset13</f>
        <v xml:space="preserve">Communications – Pilot Wires </v>
      </c>
      <c r="D217" s="9"/>
      <c r="E217" s="9"/>
      <c r="F217" s="144"/>
      <c r="G217" s="198">
        <f>Input!R19</f>
        <v>0</v>
      </c>
      <c r="H217" s="119"/>
      <c r="I217" s="119"/>
      <c r="J217" s="119"/>
      <c r="K217" s="119"/>
      <c r="L217" s="119"/>
      <c r="M217" s="9"/>
      <c r="N217" s="113"/>
      <c r="O217" s="155"/>
      <c r="P217" s="155"/>
      <c r="Q217" s="155"/>
      <c r="R217" s="102"/>
      <c r="S217" s="102"/>
      <c r="T217" s="102"/>
      <c r="U217" s="102"/>
      <c r="V217" s="102"/>
      <c r="W217" s="102"/>
      <c r="X217" s="102"/>
      <c r="Y217" s="102"/>
      <c r="Z217" s="102"/>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26"/>
      <c r="BK217" s="226"/>
    </row>
    <row r="218" spans="1:63" hidden="1" outlineLevel="1">
      <c r="A218" s="9"/>
      <c r="B218" s="46"/>
      <c r="C218" s="132" t="str">
        <f>Asset14</f>
        <v>Generation Assets</v>
      </c>
      <c r="D218" s="9"/>
      <c r="E218" s="9"/>
      <c r="F218" s="144"/>
      <c r="G218" s="198">
        <f>Input!R20</f>
        <v>0</v>
      </c>
      <c r="H218" s="119"/>
      <c r="I218" s="119"/>
      <c r="J218" s="119"/>
      <c r="K218" s="119"/>
      <c r="L218" s="119"/>
      <c r="M218" s="9"/>
      <c r="N218" s="113"/>
      <c r="O218" s="155"/>
      <c r="P218" s="155"/>
      <c r="Q218" s="155"/>
      <c r="R218" s="102"/>
      <c r="S218" s="102"/>
      <c r="T218" s="102"/>
      <c r="U218" s="102"/>
      <c r="V218" s="102"/>
      <c r="W218" s="102"/>
      <c r="X218" s="102"/>
      <c r="Y218" s="102"/>
      <c r="Z218" s="102"/>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26"/>
      <c r="BK218" s="226"/>
    </row>
    <row r="219" spans="1:63" hidden="1" outlineLevel="1">
      <c r="A219" s="9"/>
      <c r="B219" s="46"/>
      <c r="C219" s="132" t="str">
        <f>Asset15</f>
        <v>Street Lighting</v>
      </c>
      <c r="D219" s="9"/>
      <c r="E219" s="9"/>
      <c r="F219" s="144"/>
      <c r="G219" s="198">
        <f>Input!R21</f>
        <v>0</v>
      </c>
      <c r="H219" s="119"/>
      <c r="I219" s="119"/>
      <c r="J219" s="119"/>
      <c r="K219" s="119"/>
      <c r="L219" s="119"/>
      <c r="M219" s="9"/>
      <c r="N219" s="113"/>
      <c r="O219" s="155"/>
      <c r="P219" s="155"/>
      <c r="Q219" s="155"/>
      <c r="R219" s="102"/>
      <c r="S219" s="102"/>
      <c r="T219" s="102"/>
      <c r="U219" s="102"/>
      <c r="V219" s="102"/>
      <c r="W219" s="102"/>
      <c r="X219" s="102"/>
      <c r="Y219" s="102"/>
      <c r="Z219" s="102"/>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26"/>
      <c r="BK219" s="226"/>
    </row>
    <row r="220" spans="1:63" hidden="1" outlineLevel="1">
      <c r="A220" s="9"/>
      <c r="B220" s="46"/>
      <c r="C220" s="132" t="str">
        <f>Asset16</f>
        <v>Other Equipment</v>
      </c>
      <c r="D220" s="9"/>
      <c r="E220" s="9"/>
      <c r="F220" s="144"/>
      <c r="G220" s="198">
        <f>Input!R22</f>
        <v>0</v>
      </c>
      <c r="H220" s="119"/>
      <c r="I220" s="119"/>
      <c r="J220" s="119"/>
      <c r="K220" s="119"/>
      <c r="L220" s="119"/>
      <c r="M220" s="9"/>
      <c r="N220" s="113"/>
      <c r="O220" s="155"/>
      <c r="P220" s="155"/>
      <c r="Q220" s="155"/>
      <c r="R220" s="102"/>
      <c r="S220" s="102"/>
      <c r="T220" s="102"/>
      <c r="U220" s="102"/>
      <c r="V220" s="102"/>
      <c r="W220" s="102"/>
      <c r="X220" s="102"/>
      <c r="Y220" s="102"/>
      <c r="Z220" s="102"/>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26"/>
      <c r="BK220" s="226"/>
    </row>
    <row r="221" spans="1:63" hidden="1" outlineLevel="1">
      <c r="A221" s="9"/>
      <c r="B221" s="46"/>
      <c r="C221" s="132" t="str">
        <f>Asset17</f>
        <v>Control Centre - SCADA</v>
      </c>
      <c r="D221" s="9"/>
      <c r="E221" s="9"/>
      <c r="F221" s="144"/>
      <c r="G221" s="198">
        <f>Input!R23</f>
        <v>0</v>
      </c>
      <c r="H221" s="119"/>
      <c r="I221" s="119"/>
      <c r="J221" s="119"/>
      <c r="K221" s="119"/>
      <c r="L221" s="119"/>
      <c r="M221" s="9"/>
      <c r="N221" s="113"/>
      <c r="O221" s="155"/>
      <c r="P221" s="155"/>
      <c r="Q221" s="155"/>
      <c r="R221" s="102"/>
      <c r="S221" s="102"/>
      <c r="T221" s="102"/>
      <c r="U221" s="102"/>
      <c r="V221" s="102"/>
      <c r="W221" s="102"/>
      <c r="X221" s="102"/>
      <c r="Y221" s="102"/>
      <c r="Z221" s="102"/>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26"/>
      <c r="BK221" s="226"/>
    </row>
    <row r="222" spans="1:63" hidden="1" outlineLevel="1">
      <c r="A222" s="9"/>
      <c r="B222" s="46"/>
      <c r="C222" s="132" t="str">
        <f>Asset18</f>
        <v>Land &amp; Easements (System)</v>
      </c>
      <c r="D222" s="9"/>
      <c r="E222" s="9"/>
      <c r="F222" s="144"/>
      <c r="G222" s="198">
        <f>Input!R24</f>
        <v>0</v>
      </c>
      <c r="H222" s="119"/>
      <c r="I222" s="119"/>
      <c r="J222" s="119"/>
      <c r="K222" s="119"/>
      <c r="L222" s="119"/>
      <c r="M222" s="9"/>
      <c r="N222" s="113"/>
      <c r="O222" s="155"/>
      <c r="P222" s="155"/>
      <c r="Q222" s="155"/>
      <c r="R222" s="102"/>
      <c r="S222" s="102"/>
      <c r="T222" s="102"/>
      <c r="U222" s="102"/>
      <c r="V222" s="102"/>
      <c r="W222" s="102"/>
      <c r="X222" s="102"/>
      <c r="Y222" s="102"/>
      <c r="Z222" s="102"/>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26"/>
      <c r="BK222" s="226"/>
    </row>
    <row r="223" spans="1:63" hidden="1" outlineLevel="1">
      <c r="A223" s="9"/>
      <c r="B223" s="46"/>
      <c r="C223" s="132" t="str">
        <f>Asset19</f>
        <v>Metering Type 5-6</v>
      </c>
      <c r="D223" s="9"/>
      <c r="E223" s="9"/>
      <c r="F223" s="144"/>
      <c r="G223" s="198">
        <f>Input!R25</f>
        <v>0</v>
      </c>
      <c r="H223" s="119"/>
      <c r="I223" s="119"/>
      <c r="J223" s="119"/>
      <c r="K223" s="119"/>
      <c r="L223" s="119"/>
      <c r="M223" s="9"/>
      <c r="N223" s="113"/>
      <c r="O223" s="155"/>
      <c r="P223" s="155"/>
      <c r="Q223" s="155"/>
      <c r="R223" s="102"/>
      <c r="S223" s="102"/>
      <c r="T223" s="102"/>
      <c r="U223" s="102"/>
      <c r="V223" s="102"/>
      <c r="W223" s="102"/>
      <c r="X223" s="102"/>
      <c r="Y223" s="102"/>
      <c r="Z223" s="102"/>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26"/>
      <c r="BK223" s="226"/>
    </row>
    <row r="224" spans="1:63" hidden="1" outlineLevel="1">
      <c r="A224" s="9"/>
      <c r="B224" s="46"/>
      <c r="C224" s="132" t="str">
        <f>Asset20</f>
        <v>Communications</v>
      </c>
      <c r="D224" s="9"/>
      <c r="E224" s="9"/>
      <c r="F224" s="144"/>
      <c r="G224" s="200">
        <f>Input!R26</f>
        <v>0</v>
      </c>
      <c r="H224" s="119"/>
      <c r="I224" s="119"/>
      <c r="J224" s="119"/>
      <c r="K224" s="119"/>
      <c r="L224" s="119"/>
      <c r="M224" s="9"/>
      <c r="N224" s="113"/>
      <c r="O224" s="155"/>
      <c r="P224" s="155"/>
      <c r="Q224" s="155"/>
      <c r="R224" s="102"/>
      <c r="S224" s="102"/>
      <c r="T224" s="102"/>
      <c r="U224" s="102"/>
      <c r="V224" s="102"/>
      <c r="W224" s="102"/>
      <c r="X224" s="102"/>
      <c r="Y224" s="102"/>
      <c r="Z224" s="102"/>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26"/>
      <c r="BK224" s="226"/>
    </row>
    <row r="225" spans="1:63" hidden="1" outlineLevel="1">
      <c r="A225" s="9"/>
      <c r="B225" s="46"/>
      <c r="C225" s="132" t="str">
        <f>Asset21</f>
        <v>IT Systems</v>
      </c>
      <c r="D225" s="9"/>
      <c r="E225" s="9"/>
      <c r="F225" s="144"/>
      <c r="G225" s="200">
        <f>Input!R27</f>
        <v>0</v>
      </c>
      <c r="H225" s="119"/>
      <c r="I225" s="119"/>
      <c r="J225" s="119"/>
      <c r="K225" s="119"/>
      <c r="L225" s="119"/>
      <c r="M225" s="9"/>
      <c r="N225" s="113"/>
      <c r="O225" s="155"/>
      <c r="P225" s="155"/>
      <c r="Q225" s="155"/>
      <c r="R225" s="102"/>
      <c r="S225" s="102"/>
      <c r="T225" s="102"/>
      <c r="U225" s="102"/>
      <c r="V225" s="102"/>
      <c r="W225" s="102"/>
      <c r="X225" s="102"/>
      <c r="Y225" s="102"/>
      <c r="Z225" s="102"/>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26"/>
      <c r="BK225" s="226"/>
    </row>
    <row r="226" spans="1:63" hidden="1" outlineLevel="1">
      <c r="A226" s="9"/>
      <c r="B226" s="46"/>
      <c r="C226" s="132" t="str">
        <f>Asset22</f>
        <v>Office Equipment &amp; Furniture</v>
      </c>
      <c r="D226" s="9"/>
      <c r="E226" s="9"/>
      <c r="F226" s="144"/>
      <c r="G226" s="200">
        <f>Input!R28</f>
        <v>0</v>
      </c>
      <c r="H226" s="119"/>
      <c r="I226" s="119"/>
      <c r="J226" s="119"/>
      <c r="K226" s="119"/>
      <c r="L226" s="119"/>
      <c r="M226" s="9"/>
      <c r="N226" s="113"/>
      <c r="O226" s="155"/>
      <c r="P226" s="155"/>
      <c r="Q226" s="155"/>
      <c r="R226" s="102"/>
      <c r="S226" s="102"/>
      <c r="T226" s="102"/>
      <c r="U226" s="102"/>
      <c r="V226" s="102"/>
      <c r="W226" s="102"/>
      <c r="X226" s="102"/>
      <c r="Y226" s="102"/>
      <c r="Z226" s="102"/>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26"/>
      <c r="BK226" s="226"/>
    </row>
    <row r="227" spans="1:63" hidden="1" outlineLevel="1">
      <c r="A227" s="9"/>
      <c r="B227" s="46"/>
      <c r="C227" s="132" t="str">
        <f>Asset23</f>
        <v>Motor Vehicles</v>
      </c>
      <c r="D227" s="9"/>
      <c r="E227" s="9"/>
      <c r="F227" s="144"/>
      <c r="G227" s="200">
        <f>Input!R29</f>
        <v>0</v>
      </c>
      <c r="H227" s="119"/>
      <c r="I227" s="119"/>
      <c r="J227" s="119"/>
      <c r="K227" s="119"/>
      <c r="L227" s="119"/>
      <c r="M227" s="9"/>
      <c r="N227" s="113"/>
      <c r="O227" s="155"/>
      <c r="P227" s="155"/>
      <c r="Q227" s="155"/>
      <c r="R227" s="102"/>
      <c r="S227" s="102"/>
      <c r="T227" s="102"/>
      <c r="U227" s="102"/>
      <c r="V227" s="102"/>
      <c r="W227" s="102"/>
      <c r="X227" s="102"/>
      <c r="Y227" s="102"/>
      <c r="Z227" s="102"/>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26"/>
      <c r="BK227" s="226"/>
    </row>
    <row r="228" spans="1:63" hidden="1" outlineLevel="1">
      <c r="A228" s="9"/>
      <c r="B228" s="46"/>
      <c r="C228" s="132" t="str">
        <f>Asset24</f>
        <v>Plant &amp; Equipment</v>
      </c>
      <c r="D228" s="9"/>
      <c r="E228" s="9"/>
      <c r="F228" s="144"/>
      <c r="G228" s="200">
        <f>Input!R30</f>
        <v>0</v>
      </c>
      <c r="H228" s="119"/>
      <c r="I228" s="119"/>
      <c r="J228" s="119"/>
      <c r="K228" s="119"/>
      <c r="L228" s="119"/>
      <c r="M228" s="9"/>
      <c r="N228" s="113"/>
      <c r="O228" s="155"/>
      <c r="P228" s="155"/>
      <c r="Q228" s="155"/>
      <c r="R228" s="102"/>
      <c r="S228" s="102"/>
      <c r="T228" s="102"/>
      <c r="U228" s="102"/>
      <c r="V228" s="102"/>
      <c r="W228" s="102"/>
      <c r="X228" s="102"/>
      <c r="Y228" s="102"/>
      <c r="Z228" s="102"/>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26"/>
      <c r="BK228" s="226"/>
    </row>
    <row r="229" spans="1:63" hidden="1" outlineLevel="1">
      <c r="A229" s="9"/>
      <c r="B229" s="46"/>
      <c r="C229" s="132" t="str">
        <f>Asset25</f>
        <v>Buildings</v>
      </c>
      <c r="D229" s="9"/>
      <c r="E229" s="9"/>
      <c r="F229" s="144"/>
      <c r="G229" s="200">
        <f>Input!R31</f>
        <v>0</v>
      </c>
      <c r="H229" s="119"/>
      <c r="I229" s="119"/>
      <c r="J229" s="119"/>
      <c r="K229" s="119"/>
      <c r="L229" s="119"/>
      <c r="M229" s="9"/>
      <c r="N229" s="113"/>
      <c r="O229" s="155"/>
      <c r="P229" s="155"/>
      <c r="Q229" s="155"/>
      <c r="R229" s="102"/>
      <c r="S229" s="102"/>
      <c r="T229" s="102"/>
      <c r="U229" s="102"/>
      <c r="V229" s="102"/>
      <c r="W229" s="102"/>
      <c r="X229" s="102"/>
      <c r="Y229" s="102"/>
      <c r="Z229" s="102"/>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26"/>
      <c r="BK229" s="226"/>
    </row>
    <row r="230" spans="1:63" hidden="1" outlineLevel="1">
      <c r="A230" s="9"/>
      <c r="B230" s="46"/>
      <c r="C230" s="132" t="str">
        <f>Asset26</f>
        <v>Land &amp; Easements</v>
      </c>
      <c r="D230" s="9"/>
      <c r="E230" s="9"/>
      <c r="F230" s="144"/>
      <c r="G230" s="200">
        <f>Input!R32</f>
        <v>0</v>
      </c>
      <c r="H230" s="119"/>
      <c r="I230" s="119"/>
      <c r="J230" s="119"/>
      <c r="K230" s="119"/>
      <c r="L230" s="119"/>
      <c r="M230" s="9"/>
      <c r="N230" s="113"/>
      <c r="O230" s="155"/>
      <c r="P230" s="155"/>
      <c r="Q230" s="155"/>
      <c r="R230" s="102"/>
      <c r="S230" s="102"/>
      <c r="T230" s="102"/>
      <c r="U230" s="102"/>
      <c r="V230" s="102"/>
      <c r="W230" s="102"/>
      <c r="X230" s="102"/>
      <c r="Y230" s="102"/>
      <c r="Z230" s="102"/>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26"/>
      <c r="BK230" s="226"/>
    </row>
    <row r="231" spans="1:63" hidden="1" outlineLevel="1">
      <c r="A231" s="9"/>
      <c r="B231" s="46"/>
      <c r="C231" s="132" t="str">
        <f>Asset27</f>
        <v>Land Improvements</v>
      </c>
      <c r="D231" s="9"/>
      <c r="E231" s="9"/>
      <c r="F231" s="144"/>
      <c r="G231" s="200">
        <f>Input!R33</f>
        <v>0</v>
      </c>
      <c r="H231" s="119"/>
      <c r="I231" s="119"/>
      <c r="J231" s="119"/>
      <c r="K231" s="119"/>
      <c r="L231" s="119"/>
      <c r="M231" s="9"/>
      <c r="N231" s="113"/>
      <c r="O231" s="155"/>
      <c r="P231" s="155"/>
      <c r="Q231" s="155"/>
      <c r="R231" s="102"/>
      <c r="S231" s="102"/>
      <c r="T231" s="102"/>
      <c r="U231" s="102"/>
      <c r="V231" s="102"/>
      <c r="W231" s="102"/>
      <c r="X231" s="102"/>
      <c r="Y231" s="102"/>
      <c r="Z231" s="102"/>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26"/>
      <c r="BK231" s="226"/>
    </row>
    <row r="232" spans="1:63" hidden="1" outlineLevel="1">
      <c r="A232" s="9"/>
      <c r="B232" s="46"/>
      <c r="C232" s="132" t="str">
        <f>Asset28</f>
        <v>Equity Raising Costs</v>
      </c>
      <c r="D232" s="9"/>
      <c r="E232" s="9"/>
      <c r="F232" s="144"/>
      <c r="G232" s="200">
        <f>Input!R34</f>
        <v>0</v>
      </c>
      <c r="H232" s="119"/>
      <c r="I232" s="119"/>
      <c r="J232" s="119"/>
      <c r="K232" s="119"/>
      <c r="L232" s="119"/>
      <c r="M232" s="9"/>
      <c r="N232" s="113"/>
      <c r="O232" s="155"/>
      <c r="P232" s="155"/>
      <c r="Q232" s="155"/>
      <c r="R232" s="102"/>
      <c r="S232" s="102"/>
      <c r="T232" s="102"/>
      <c r="U232" s="102"/>
      <c r="V232" s="102"/>
      <c r="W232" s="102"/>
      <c r="X232" s="102"/>
      <c r="Y232" s="102"/>
      <c r="Z232" s="102"/>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26"/>
      <c r="BK232" s="226"/>
    </row>
    <row r="233" spans="1:63" hidden="1" outlineLevel="1">
      <c r="A233" s="9"/>
      <c r="B233" s="46"/>
      <c r="C233" s="132" t="str">
        <f>Asset29</f>
        <v>Not Used</v>
      </c>
      <c r="D233" s="9"/>
      <c r="E233" s="9"/>
      <c r="F233" s="144"/>
      <c r="G233" s="200">
        <f>Input!R35</f>
        <v>0</v>
      </c>
      <c r="H233" s="119"/>
      <c r="I233" s="119"/>
      <c r="J233" s="119"/>
      <c r="K233" s="119"/>
      <c r="L233" s="119"/>
      <c r="M233" s="9"/>
      <c r="N233" s="113"/>
      <c r="O233" s="155"/>
      <c r="P233" s="155"/>
      <c r="Q233" s="155"/>
      <c r="R233" s="102"/>
      <c r="S233" s="102"/>
      <c r="T233" s="102"/>
      <c r="U233" s="102"/>
      <c r="V233" s="102"/>
      <c r="W233" s="102"/>
      <c r="X233" s="102"/>
      <c r="Y233" s="102"/>
      <c r="Z233" s="102"/>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26"/>
      <c r="BK233" s="226"/>
    </row>
    <row r="234" spans="1:63" hidden="1" outlineLevel="1">
      <c r="A234" s="9"/>
      <c r="B234" s="46"/>
      <c r="C234" s="132" t="str">
        <f>Asset30</f>
        <v>Not Used</v>
      </c>
      <c r="D234" s="9"/>
      <c r="E234" s="9"/>
      <c r="F234" s="144"/>
      <c r="G234" s="200">
        <f>Input!R36</f>
        <v>0</v>
      </c>
      <c r="H234" s="119"/>
      <c r="I234" s="119"/>
      <c r="J234" s="119"/>
      <c r="K234" s="119"/>
      <c r="L234" s="119"/>
      <c r="M234" s="9"/>
      <c r="N234" s="113"/>
      <c r="O234" s="155"/>
      <c r="P234" s="155"/>
      <c r="Q234" s="155"/>
      <c r="R234" s="102"/>
      <c r="S234" s="102"/>
      <c r="T234" s="102"/>
      <c r="U234" s="102"/>
      <c r="V234" s="102"/>
      <c r="W234" s="102"/>
      <c r="X234" s="102"/>
      <c r="Y234" s="102"/>
      <c r="Z234" s="102"/>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26"/>
      <c r="BK234" s="226"/>
    </row>
    <row r="235" spans="1:63" collapsed="1">
      <c r="A235" s="9"/>
      <c r="B235" s="156"/>
      <c r="C235" s="26"/>
      <c r="D235" s="9"/>
      <c r="E235" s="9"/>
      <c r="F235" s="144"/>
      <c r="G235" s="200"/>
      <c r="H235" s="119"/>
      <c r="I235" s="119"/>
      <c r="J235" s="119"/>
      <c r="K235" s="119"/>
      <c r="L235" s="119"/>
      <c r="M235" s="9"/>
      <c r="N235" s="113"/>
      <c r="O235" s="155"/>
      <c r="P235" s="155"/>
      <c r="Q235" s="155"/>
      <c r="R235" s="102"/>
      <c r="S235" s="102"/>
      <c r="T235" s="102"/>
      <c r="U235" s="102"/>
      <c r="V235" s="102"/>
      <c r="W235" s="102"/>
      <c r="X235" s="102"/>
      <c r="Y235" s="102"/>
      <c r="Z235" s="102"/>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26"/>
      <c r="BK235" s="226"/>
    </row>
    <row r="236" spans="1:63">
      <c r="A236" s="9"/>
      <c r="B236" s="156" t="s">
        <v>57</v>
      </c>
      <c r="C236" s="26"/>
      <c r="D236" s="9"/>
      <c r="E236" s="9"/>
      <c r="F236" s="144"/>
      <c r="G236" s="200">
        <f>SUM(G237:G266)</f>
        <v>0</v>
      </c>
      <c r="H236" s="119"/>
      <c r="I236" s="119"/>
      <c r="J236" s="119"/>
      <c r="K236" s="119"/>
      <c r="L236" s="119"/>
      <c r="M236" s="9"/>
      <c r="N236" s="113"/>
      <c r="O236" s="155"/>
      <c r="P236" s="155"/>
      <c r="Q236" s="155"/>
      <c r="R236" s="102"/>
      <c r="S236" s="102"/>
      <c r="T236" s="102"/>
      <c r="U236" s="102"/>
      <c r="V236" s="102"/>
      <c r="W236" s="102"/>
      <c r="X236" s="102"/>
      <c r="Y236" s="102"/>
      <c r="Z236" s="102"/>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26"/>
      <c r="BK236" s="226"/>
    </row>
    <row r="237" spans="1:63" hidden="1" outlineLevel="1">
      <c r="A237" s="9"/>
      <c r="B237" s="9"/>
      <c r="C237" s="132" t="str">
        <f>Asset1</f>
        <v>Overhead Sub-Transmission Lines</v>
      </c>
      <c r="D237" s="9"/>
      <c r="E237" s="9"/>
      <c r="F237" s="144"/>
      <c r="G237" s="198">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26"/>
      <c r="BK237" s="226"/>
    </row>
    <row r="238" spans="1:63" hidden="1" outlineLevel="1">
      <c r="A238" s="9"/>
      <c r="B238" s="46"/>
      <c r="C238" s="132" t="str">
        <f>Asset2</f>
        <v>Underground Sub-Transmission Cables</v>
      </c>
      <c r="D238" s="9"/>
      <c r="E238" s="9"/>
      <c r="F238" s="144"/>
      <c r="G238" s="198">
        <f t="shared" si="3"/>
        <v>0</v>
      </c>
      <c r="H238" s="119"/>
      <c r="I238" s="119"/>
      <c r="J238" s="119"/>
      <c r="K238" s="119"/>
      <c r="L238" s="119"/>
      <c r="M238" s="9"/>
      <c r="N238" s="113"/>
      <c r="O238" s="155"/>
      <c r="P238" s="155"/>
      <c r="Q238" s="155"/>
      <c r="R238" s="102"/>
      <c r="S238" s="102"/>
      <c r="T238" s="102"/>
      <c r="U238" s="102"/>
      <c r="V238" s="102"/>
      <c r="W238" s="102"/>
      <c r="X238" s="102"/>
      <c r="Y238" s="102"/>
      <c r="Z238" s="102"/>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26"/>
      <c r="BK238" s="226"/>
    </row>
    <row r="239" spans="1:63" hidden="1" outlineLevel="1">
      <c r="A239" s="9"/>
      <c r="B239" s="46"/>
      <c r="C239" s="132" t="str">
        <f>Asset3</f>
        <v>Overhead Distribution Lines</v>
      </c>
      <c r="D239" s="9"/>
      <c r="E239" s="9"/>
      <c r="F239" s="144"/>
      <c r="G239" s="198">
        <f t="shared" si="3"/>
        <v>0</v>
      </c>
      <c r="H239" s="119"/>
      <c r="I239" s="119"/>
      <c r="J239" s="119"/>
      <c r="K239" s="119"/>
      <c r="L239" s="119"/>
      <c r="M239" s="9"/>
      <c r="N239" s="113"/>
      <c r="O239" s="155"/>
      <c r="P239" s="155"/>
      <c r="Q239" s="155"/>
      <c r="R239" s="102"/>
      <c r="S239" s="102"/>
      <c r="T239" s="102"/>
      <c r="U239" s="102"/>
      <c r="V239" s="102"/>
      <c r="W239" s="102"/>
      <c r="X239" s="102"/>
      <c r="Y239" s="102"/>
      <c r="Z239" s="102"/>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26"/>
      <c r="BK239" s="226"/>
    </row>
    <row r="240" spans="1:63" hidden="1" outlineLevel="1">
      <c r="A240" s="9"/>
      <c r="B240" s="46"/>
      <c r="C240" s="132" t="str">
        <f>Asset4</f>
        <v>Underground Distribution Cables</v>
      </c>
      <c r="D240" s="9"/>
      <c r="E240" s="9"/>
      <c r="F240" s="144"/>
      <c r="G240" s="198">
        <f t="shared" si="3"/>
        <v>0</v>
      </c>
      <c r="H240" s="119"/>
      <c r="I240" s="119"/>
      <c r="J240" s="119"/>
      <c r="K240" s="119"/>
      <c r="L240" s="119"/>
      <c r="M240" s="9"/>
      <c r="N240" s="113"/>
      <c r="O240" s="155"/>
      <c r="P240" s="155"/>
      <c r="Q240" s="155"/>
      <c r="R240" s="102"/>
      <c r="S240" s="102"/>
      <c r="T240" s="102"/>
      <c r="U240" s="102"/>
      <c r="V240" s="102"/>
      <c r="W240" s="102"/>
      <c r="X240" s="102"/>
      <c r="Y240" s="102"/>
      <c r="Z240" s="102"/>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26"/>
      <c r="BK240" s="226"/>
    </row>
    <row r="241" spans="1:63" hidden="1" outlineLevel="1">
      <c r="A241" s="9"/>
      <c r="B241" s="46"/>
      <c r="C241" s="132" t="str">
        <f>Asset5</f>
        <v xml:space="preserve">Distribution Equipment  </v>
      </c>
      <c r="D241" s="9"/>
      <c r="E241" s="9"/>
      <c r="F241" s="144"/>
      <c r="G241" s="198">
        <f t="shared" si="3"/>
        <v>0</v>
      </c>
      <c r="H241" s="119"/>
      <c r="I241" s="119"/>
      <c r="J241" s="119"/>
      <c r="K241" s="119"/>
      <c r="L241" s="119"/>
      <c r="M241" s="9"/>
      <c r="N241" s="113"/>
      <c r="O241" s="155"/>
      <c r="P241" s="155"/>
      <c r="Q241" s="155"/>
      <c r="R241" s="102"/>
      <c r="S241" s="102"/>
      <c r="T241" s="102"/>
      <c r="U241" s="102"/>
      <c r="V241" s="102"/>
      <c r="W241" s="102"/>
      <c r="X241" s="102"/>
      <c r="Y241" s="102"/>
      <c r="Z241" s="102"/>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26"/>
      <c r="BK241" s="226"/>
    </row>
    <row r="242" spans="1:63" hidden="1" outlineLevel="1">
      <c r="A242" s="9"/>
      <c r="B242" s="46"/>
      <c r="C242" s="132" t="str">
        <f>Asset6</f>
        <v>Substation Bays</v>
      </c>
      <c r="D242" s="9"/>
      <c r="E242" s="9"/>
      <c r="F242" s="144"/>
      <c r="G242" s="198">
        <f t="shared" si="3"/>
        <v>0</v>
      </c>
      <c r="H242" s="119"/>
      <c r="I242" s="119"/>
      <c r="J242" s="119"/>
      <c r="K242" s="119"/>
      <c r="L242" s="119"/>
      <c r="M242" s="9"/>
      <c r="N242" s="113"/>
      <c r="O242" s="155"/>
      <c r="P242" s="155"/>
      <c r="Q242" s="155"/>
      <c r="R242" s="102"/>
      <c r="S242" s="102"/>
      <c r="T242" s="102"/>
      <c r="U242" s="102"/>
      <c r="V242" s="102"/>
      <c r="W242" s="102"/>
      <c r="X242" s="102"/>
      <c r="Y242" s="102"/>
      <c r="Z242" s="102"/>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26"/>
      <c r="BK242" s="226"/>
    </row>
    <row r="243" spans="1:63" hidden="1" outlineLevel="1">
      <c r="A243" s="9"/>
      <c r="B243" s="46"/>
      <c r="C243" s="132" t="str">
        <f>Asset7</f>
        <v>Substation Establishment</v>
      </c>
      <c r="D243" s="9"/>
      <c r="E243" s="9"/>
      <c r="F243" s="144"/>
      <c r="G243" s="198">
        <f t="shared" si="3"/>
        <v>0</v>
      </c>
      <c r="H243" s="119"/>
      <c r="I243" s="119"/>
      <c r="J243" s="119"/>
      <c r="K243" s="119"/>
      <c r="L243" s="119"/>
      <c r="M243" s="9"/>
      <c r="N243" s="113"/>
      <c r="O243" s="155"/>
      <c r="P243" s="155"/>
      <c r="Q243" s="155"/>
      <c r="R243" s="102"/>
      <c r="S243" s="102"/>
      <c r="T243" s="102"/>
      <c r="U243" s="102"/>
      <c r="V243" s="102"/>
      <c r="W243" s="102"/>
      <c r="X243" s="102"/>
      <c r="Y243" s="102"/>
      <c r="Z243" s="102"/>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26"/>
      <c r="BK243" s="226"/>
    </row>
    <row r="244" spans="1:63" hidden="1" outlineLevel="1">
      <c r="A244" s="9"/>
      <c r="B244" s="46"/>
      <c r="C244" s="132" t="str">
        <f>Asset8</f>
        <v>Distribution Substation Switchgear</v>
      </c>
      <c r="D244" s="9"/>
      <c r="E244" s="9"/>
      <c r="F244" s="144"/>
      <c r="G244" s="198">
        <f t="shared" si="3"/>
        <v>0</v>
      </c>
      <c r="H244" s="119"/>
      <c r="I244" s="119"/>
      <c r="J244" s="119"/>
      <c r="K244" s="119"/>
      <c r="L244" s="119"/>
      <c r="M244" s="9"/>
      <c r="N244" s="113"/>
      <c r="O244" s="155"/>
      <c r="P244" s="155"/>
      <c r="Q244" s="155"/>
      <c r="R244" s="102"/>
      <c r="S244" s="102"/>
      <c r="T244" s="102"/>
      <c r="U244" s="102"/>
      <c r="V244" s="102"/>
      <c r="W244" s="102"/>
      <c r="X244" s="102"/>
      <c r="Y244" s="102"/>
      <c r="Z244" s="102"/>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26"/>
      <c r="BK244" s="226"/>
    </row>
    <row r="245" spans="1:63" hidden="1" outlineLevel="1">
      <c r="A245" s="9"/>
      <c r="B245" s="46"/>
      <c r="C245" s="132" t="str">
        <f>Asset9</f>
        <v>Zone Transformers</v>
      </c>
      <c r="D245" s="9"/>
      <c r="E245" s="9"/>
      <c r="F245" s="144"/>
      <c r="G245" s="198">
        <f t="shared" si="3"/>
        <v>0</v>
      </c>
      <c r="H245" s="119"/>
      <c r="I245" s="119"/>
      <c r="J245" s="119"/>
      <c r="K245" s="119"/>
      <c r="L245" s="119"/>
      <c r="M245" s="9"/>
      <c r="N245" s="113"/>
      <c r="O245" s="155"/>
      <c r="P245" s="155"/>
      <c r="Q245" s="155"/>
      <c r="R245" s="102"/>
      <c r="S245" s="102"/>
      <c r="T245" s="102"/>
      <c r="U245" s="102"/>
      <c r="V245" s="102"/>
      <c r="W245" s="102"/>
      <c r="X245" s="102"/>
      <c r="Y245" s="102"/>
      <c r="Z245" s="102"/>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26"/>
      <c r="BK245" s="226"/>
    </row>
    <row r="246" spans="1:63" hidden="1" outlineLevel="1">
      <c r="A246" s="9"/>
      <c r="B246" s="46"/>
      <c r="C246" s="132" t="str">
        <f>Asset10</f>
        <v>Distribution Transformers</v>
      </c>
      <c r="D246" s="9"/>
      <c r="E246" s="9"/>
      <c r="F246" s="144"/>
      <c r="G246" s="198">
        <f t="shared" si="3"/>
        <v>0</v>
      </c>
      <c r="H246" s="119"/>
      <c r="I246" s="119"/>
      <c r="J246" s="119"/>
      <c r="K246" s="119"/>
      <c r="L246" s="119"/>
      <c r="M246" s="9"/>
      <c r="N246" s="113"/>
      <c r="O246" s="155"/>
      <c r="P246" s="155"/>
      <c r="Q246" s="155"/>
      <c r="R246" s="102"/>
      <c r="S246" s="102"/>
      <c r="T246" s="102"/>
      <c r="U246" s="102"/>
      <c r="V246" s="102"/>
      <c r="W246" s="102"/>
      <c r="X246" s="102"/>
      <c r="Y246" s="102"/>
      <c r="Z246" s="102"/>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26"/>
      <c r="BK246" s="226"/>
    </row>
    <row r="247" spans="1:63" hidden="1" outlineLevel="1">
      <c r="A247" s="9"/>
      <c r="B247" s="46"/>
      <c r="C247" s="132" t="str">
        <f>Asset11</f>
        <v>Low Voltage Services</v>
      </c>
      <c r="D247" s="9"/>
      <c r="E247" s="9"/>
      <c r="F247" s="144"/>
      <c r="G247" s="198">
        <f t="shared" si="3"/>
        <v>0</v>
      </c>
      <c r="H247" s="119"/>
      <c r="I247" s="119"/>
      <c r="J247" s="119"/>
      <c r="K247" s="119"/>
      <c r="L247" s="119"/>
      <c r="M247" s="9"/>
      <c r="N247" s="113"/>
      <c r="O247" s="155"/>
      <c r="P247" s="155"/>
      <c r="Q247" s="155"/>
      <c r="R247" s="102"/>
      <c r="S247" s="102"/>
      <c r="T247" s="102"/>
      <c r="U247" s="102"/>
      <c r="V247" s="102"/>
      <c r="W247" s="102"/>
      <c r="X247" s="102"/>
      <c r="Y247" s="102"/>
      <c r="Z247" s="102"/>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26"/>
      <c r="BK247" s="226"/>
    </row>
    <row r="248" spans="1:63" hidden="1" outlineLevel="1">
      <c r="A248" s="9"/>
      <c r="B248" s="46"/>
      <c r="C248" s="132" t="str">
        <f>Asset12</f>
        <v>Metering</v>
      </c>
      <c r="D248" s="9"/>
      <c r="E248" s="9"/>
      <c r="F248" s="144"/>
      <c r="G248" s="198">
        <f t="shared" si="3"/>
        <v>0</v>
      </c>
      <c r="H248" s="119"/>
      <c r="I248" s="119"/>
      <c r="J248" s="119"/>
      <c r="K248" s="119"/>
      <c r="L248" s="119"/>
      <c r="M248" s="9"/>
      <c r="N248" s="113"/>
      <c r="O248" s="155"/>
      <c r="P248" s="155"/>
      <c r="Q248" s="155"/>
      <c r="R248" s="102"/>
      <c r="S248" s="102"/>
      <c r="T248" s="102"/>
      <c r="U248" s="102"/>
      <c r="V248" s="102"/>
      <c r="W248" s="102"/>
      <c r="X248" s="102"/>
      <c r="Y248" s="102"/>
      <c r="Z248" s="102"/>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26"/>
      <c r="BK248" s="226"/>
    </row>
    <row r="249" spans="1:63" hidden="1" outlineLevel="1">
      <c r="A249" s="9"/>
      <c r="B249" s="46"/>
      <c r="C249" s="132" t="str">
        <f>Asset13</f>
        <v xml:space="preserve">Communications – Pilot Wires </v>
      </c>
      <c r="D249" s="9"/>
      <c r="E249" s="9"/>
      <c r="F249" s="144"/>
      <c r="G249" s="198">
        <f t="shared" si="3"/>
        <v>0</v>
      </c>
      <c r="H249" s="119"/>
      <c r="I249" s="119"/>
      <c r="J249" s="119"/>
      <c r="K249" s="119"/>
      <c r="L249" s="119"/>
      <c r="M249" s="9"/>
      <c r="N249" s="113"/>
      <c r="O249" s="155"/>
      <c r="P249" s="155"/>
      <c r="Q249" s="155"/>
      <c r="R249" s="102"/>
      <c r="S249" s="102"/>
      <c r="T249" s="102"/>
      <c r="U249" s="102"/>
      <c r="V249" s="102"/>
      <c r="W249" s="102"/>
      <c r="X249" s="102"/>
      <c r="Y249" s="102"/>
      <c r="Z249" s="102"/>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26"/>
      <c r="BK249" s="226"/>
    </row>
    <row r="250" spans="1:63" hidden="1" outlineLevel="1">
      <c r="A250" s="9"/>
      <c r="B250" s="46"/>
      <c r="C250" s="132" t="str">
        <f>Asset14</f>
        <v>Generation Assets</v>
      </c>
      <c r="D250" s="9"/>
      <c r="E250" s="9"/>
      <c r="F250" s="144"/>
      <c r="G250" s="198">
        <f t="shared" si="3"/>
        <v>0</v>
      </c>
      <c r="H250" s="119"/>
      <c r="I250" s="119"/>
      <c r="J250" s="119"/>
      <c r="K250" s="119"/>
      <c r="L250" s="119"/>
      <c r="M250" s="9"/>
      <c r="N250" s="113"/>
      <c r="O250" s="155"/>
      <c r="P250" s="155"/>
      <c r="Q250" s="155"/>
      <c r="R250" s="102"/>
      <c r="S250" s="102"/>
      <c r="T250" s="102"/>
      <c r="U250" s="102"/>
      <c r="V250" s="102"/>
      <c r="W250" s="102"/>
      <c r="X250" s="102"/>
      <c r="Y250" s="102"/>
      <c r="Z250" s="102"/>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26"/>
      <c r="BK250" s="226"/>
    </row>
    <row r="251" spans="1:63" hidden="1" outlineLevel="1">
      <c r="A251" s="9"/>
      <c r="B251" s="46"/>
      <c r="C251" s="132" t="str">
        <f>Asset15</f>
        <v>Street Lighting</v>
      </c>
      <c r="D251" s="9"/>
      <c r="E251" s="9"/>
      <c r="F251" s="144"/>
      <c r="G251" s="198">
        <f t="shared" si="3"/>
        <v>0</v>
      </c>
      <c r="H251" s="119"/>
      <c r="I251" s="119"/>
      <c r="J251" s="119"/>
      <c r="K251" s="119"/>
      <c r="L251" s="119"/>
      <c r="M251" s="9"/>
      <c r="N251" s="113"/>
      <c r="O251" s="155"/>
      <c r="P251" s="155"/>
      <c r="Q251" s="155"/>
      <c r="R251" s="102"/>
      <c r="S251" s="102"/>
      <c r="T251" s="102"/>
      <c r="U251" s="102"/>
      <c r="V251" s="102"/>
      <c r="W251" s="102"/>
      <c r="X251" s="102"/>
      <c r="Y251" s="102"/>
      <c r="Z251" s="102"/>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26"/>
      <c r="BK251" s="226"/>
    </row>
    <row r="252" spans="1:63" hidden="1" outlineLevel="1">
      <c r="A252" s="9"/>
      <c r="B252" s="46"/>
      <c r="C252" s="132" t="str">
        <f>Asset16</f>
        <v>Other Equipment</v>
      </c>
      <c r="D252" s="9"/>
      <c r="E252" s="9"/>
      <c r="F252" s="144"/>
      <c r="G252" s="198">
        <f t="shared" si="3"/>
        <v>0</v>
      </c>
      <c r="H252" s="119"/>
      <c r="I252" s="119"/>
      <c r="J252" s="119"/>
      <c r="K252" s="119"/>
      <c r="L252" s="119"/>
      <c r="M252" s="9"/>
      <c r="N252" s="113"/>
      <c r="O252" s="155"/>
      <c r="P252" s="155"/>
      <c r="Q252" s="155"/>
      <c r="R252" s="102"/>
      <c r="S252" s="102"/>
      <c r="T252" s="102"/>
      <c r="U252" s="102"/>
      <c r="V252" s="102"/>
      <c r="W252" s="102"/>
      <c r="X252" s="102"/>
      <c r="Y252" s="102"/>
      <c r="Z252" s="102"/>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26"/>
      <c r="BK252" s="226"/>
    </row>
    <row r="253" spans="1:63" hidden="1" outlineLevel="1">
      <c r="A253" s="9"/>
      <c r="B253" s="46"/>
      <c r="C253" s="132" t="str">
        <f>Asset17</f>
        <v>Control Centre - SCADA</v>
      </c>
      <c r="D253" s="9"/>
      <c r="E253" s="9"/>
      <c r="F253" s="144"/>
      <c r="G253" s="198">
        <f t="shared" si="3"/>
        <v>0</v>
      </c>
      <c r="H253" s="119"/>
      <c r="I253" s="119"/>
      <c r="J253" s="119"/>
      <c r="K253" s="119"/>
      <c r="L253" s="119"/>
      <c r="M253" s="9"/>
      <c r="N253" s="113"/>
      <c r="O253" s="155"/>
      <c r="P253" s="155"/>
      <c r="Q253" s="155"/>
      <c r="R253" s="102"/>
      <c r="S253" s="102"/>
      <c r="T253" s="102"/>
      <c r="U253" s="102"/>
      <c r="V253" s="102"/>
      <c r="W253" s="102"/>
      <c r="X253" s="102"/>
      <c r="Y253" s="102"/>
      <c r="Z253" s="102"/>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26"/>
      <c r="BK253" s="226"/>
    </row>
    <row r="254" spans="1:63" hidden="1" outlineLevel="1">
      <c r="A254" s="9"/>
      <c r="B254" s="46"/>
      <c r="C254" s="132" t="str">
        <f>Asset18</f>
        <v>Land &amp; Easements (System)</v>
      </c>
      <c r="D254" s="9"/>
      <c r="E254" s="9"/>
      <c r="F254" s="144"/>
      <c r="G254" s="198">
        <f t="shared" si="3"/>
        <v>0</v>
      </c>
      <c r="H254" s="119"/>
      <c r="I254" s="119"/>
      <c r="J254" s="119"/>
      <c r="K254" s="119"/>
      <c r="L254" s="119"/>
      <c r="M254" s="9"/>
      <c r="N254" s="113"/>
      <c r="O254" s="155"/>
      <c r="P254" s="155"/>
      <c r="Q254" s="155"/>
      <c r="R254" s="102"/>
      <c r="S254" s="102"/>
      <c r="T254" s="102"/>
      <c r="U254" s="102"/>
      <c r="V254" s="102"/>
      <c r="W254" s="102"/>
      <c r="X254" s="102"/>
      <c r="Y254" s="102"/>
      <c r="Z254" s="102"/>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26"/>
      <c r="BK254" s="226"/>
    </row>
    <row r="255" spans="1:63" hidden="1" outlineLevel="1">
      <c r="A255" s="9"/>
      <c r="B255" s="46"/>
      <c r="C255" s="132" t="str">
        <f>Asset19</f>
        <v>Metering Type 5-6</v>
      </c>
      <c r="D255" s="9"/>
      <c r="E255" s="9"/>
      <c r="F255" s="144"/>
      <c r="G255" s="198">
        <f t="shared" si="3"/>
        <v>0</v>
      </c>
      <c r="H255" s="119"/>
      <c r="I255" s="119"/>
      <c r="J255" s="119"/>
      <c r="K255" s="119"/>
      <c r="L255" s="119"/>
      <c r="M255" s="9"/>
      <c r="N255" s="113"/>
      <c r="O255" s="155"/>
      <c r="P255" s="155"/>
      <c r="Q255" s="155"/>
      <c r="R255" s="102"/>
      <c r="S255" s="102"/>
      <c r="T255" s="102"/>
      <c r="U255" s="102"/>
      <c r="V255" s="102"/>
      <c r="W255" s="102"/>
      <c r="X255" s="102"/>
      <c r="Y255" s="102"/>
      <c r="Z255" s="102"/>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26"/>
      <c r="BK255" s="226"/>
    </row>
    <row r="256" spans="1:63" hidden="1" outlineLevel="1">
      <c r="A256" s="9"/>
      <c r="B256" s="46"/>
      <c r="C256" s="132" t="str">
        <f>Asset20</f>
        <v>Communications</v>
      </c>
      <c r="D256" s="9"/>
      <c r="E256" s="9"/>
      <c r="F256" s="144"/>
      <c r="G256" s="198">
        <f t="shared" si="3"/>
        <v>0</v>
      </c>
      <c r="H256" s="119"/>
      <c r="I256" s="119"/>
      <c r="J256" s="119"/>
      <c r="K256" s="119"/>
      <c r="L256" s="119"/>
      <c r="M256" s="9"/>
      <c r="N256" s="113"/>
      <c r="O256" s="155"/>
      <c r="P256" s="155"/>
      <c r="Q256" s="155"/>
      <c r="R256" s="102"/>
      <c r="S256" s="102"/>
      <c r="T256" s="102"/>
      <c r="U256" s="102"/>
      <c r="V256" s="102"/>
      <c r="W256" s="102"/>
      <c r="X256" s="102"/>
      <c r="Y256" s="102"/>
      <c r="Z256" s="102"/>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26"/>
      <c r="BK256" s="226"/>
    </row>
    <row r="257" spans="1:63" hidden="1" outlineLevel="1">
      <c r="A257" s="9"/>
      <c r="B257" s="46"/>
      <c r="C257" s="132" t="str">
        <f>Asset21</f>
        <v>IT Systems</v>
      </c>
      <c r="D257" s="9"/>
      <c r="E257" s="9"/>
      <c r="F257" s="144"/>
      <c r="G257" s="198">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26"/>
      <c r="BK257" s="226"/>
    </row>
    <row r="258" spans="1:63" hidden="1" outlineLevel="1">
      <c r="A258" s="9"/>
      <c r="B258" s="46"/>
      <c r="C258" s="132" t="str">
        <f>Asset22</f>
        <v>Office Equipment &amp; Furniture</v>
      </c>
      <c r="D258" s="9"/>
      <c r="E258" s="9"/>
      <c r="F258" s="144"/>
      <c r="G258" s="198">
        <f t="shared" si="4"/>
        <v>0</v>
      </c>
      <c r="H258" s="119"/>
      <c r="I258" s="119"/>
      <c r="J258" s="119"/>
      <c r="K258" s="119"/>
      <c r="L258" s="119"/>
      <c r="M258" s="9"/>
      <c r="N258" s="113"/>
      <c r="O258" s="155"/>
      <c r="P258" s="155"/>
      <c r="Q258" s="155"/>
      <c r="R258" s="102"/>
      <c r="S258" s="102"/>
      <c r="T258" s="102"/>
      <c r="U258" s="102"/>
      <c r="V258" s="102"/>
      <c r="W258" s="102"/>
      <c r="X258" s="102"/>
      <c r="Y258" s="102"/>
      <c r="Z258" s="102"/>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26"/>
      <c r="BK258" s="226"/>
    </row>
    <row r="259" spans="1:63" hidden="1" outlineLevel="1">
      <c r="A259" s="9"/>
      <c r="B259" s="46"/>
      <c r="C259" s="132" t="str">
        <f>Asset23</f>
        <v>Motor Vehicles</v>
      </c>
      <c r="D259" s="9"/>
      <c r="E259" s="9"/>
      <c r="F259" s="144"/>
      <c r="G259" s="198">
        <f t="shared" si="4"/>
        <v>0</v>
      </c>
      <c r="H259" s="119"/>
      <c r="I259" s="119"/>
      <c r="J259" s="119"/>
      <c r="K259" s="119"/>
      <c r="L259" s="119"/>
      <c r="M259" s="9"/>
      <c r="N259" s="113"/>
      <c r="O259" s="155"/>
      <c r="P259" s="155"/>
      <c r="Q259" s="155"/>
      <c r="R259" s="102"/>
      <c r="S259" s="102"/>
      <c r="T259" s="102"/>
      <c r="U259" s="102"/>
      <c r="V259" s="102"/>
      <c r="W259" s="102"/>
      <c r="X259" s="102"/>
      <c r="Y259" s="102"/>
      <c r="Z259" s="102"/>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26"/>
      <c r="BK259" s="226"/>
    </row>
    <row r="260" spans="1:63" hidden="1" outlineLevel="1">
      <c r="A260" s="9"/>
      <c r="B260" s="46"/>
      <c r="C260" s="132" t="str">
        <f>Asset24</f>
        <v>Plant &amp; Equipment</v>
      </c>
      <c r="D260" s="9"/>
      <c r="E260" s="9"/>
      <c r="F260" s="144"/>
      <c r="G260" s="198">
        <f t="shared" si="4"/>
        <v>0</v>
      </c>
      <c r="H260" s="119"/>
      <c r="I260" s="119"/>
      <c r="J260" s="119"/>
      <c r="K260" s="119"/>
      <c r="L260" s="119"/>
      <c r="M260" s="9"/>
      <c r="N260" s="113"/>
      <c r="O260" s="155"/>
      <c r="P260" s="155"/>
      <c r="Q260" s="155"/>
      <c r="R260" s="102"/>
      <c r="S260" s="102"/>
      <c r="T260" s="102"/>
      <c r="U260" s="102"/>
      <c r="V260" s="102"/>
      <c r="W260" s="102"/>
      <c r="X260" s="102"/>
      <c r="Y260" s="102"/>
      <c r="Z260" s="102"/>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26"/>
      <c r="BK260" s="226"/>
    </row>
    <row r="261" spans="1:63" hidden="1" outlineLevel="1">
      <c r="A261" s="9"/>
      <c r="B261" s="46"/>
      <c r="C261" s="132" t="str">
        <f>Asset25</f>
        <v>Buildings</v>
      </c>
      <c r="D261" s="9"/>
      <c r="E261" s="9"/>
      <c r="F261" s="144"/>
      <c r="G261" s="198">
        <f t="shared" si="4"/>
        <v>0</v>
      </c>
      <c r="H261" s="119"/>
      <c r="I261" s="119"/>
      <c r="J261" s="119"/>
      <c r="K261" s="119"/>
      <c r="L261" s="119"/>
      <c r="M261" s="9"/>
      <c r="N261" s="113"/>
      <c r="O261" s="155"/>
      <c r="P261" s="155"/>
      <c r="Q261" s="155"/>
      <c r="R261" s="102"/>
      <c r="S261" s="102"/>
      <c r="T261" s="102"/>
      <c r="U261" s="102"/>
      <c r="V261" s="102"/>
      <c r="W261" s="102"/>
      <c r="X261" s="102"/>
      <c r="Y261" s="102"/>
      <c r="Z261" s="102"/>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26"/>
      <c r="BK261" s="226"/>
    </row>
    <row r="262" spans="1:63" hidden="1" outlineLevel="1">
      <c r="A262" s="9"/>
      <c r="B262" s="46"/>
      <c r="C262" s="132" t="str">
        <f>Asset26</f>
        <v>Land &amp; Easements</v>
      </c>
      <c r="D262" s="9"/>
      <c r="E262" s="9"/>
      <c r="F262" s="144"/>
      <c r="G262" s="198">
        <f t="shared" si="4"/>
        <v>0</v>
      </c>
      <c r="H262" s="119"/>
      <c r="I262" s="119"/>
      <c r="J262" s="119"/>
      <c r="K262" s="119"/>
      <c r="L262" s="119"/>
      <c r="M262" s="9"/>
      <c r="N262" s="113"/>
      <c r="O262" s="155"/>
      <c r="P262" s="155"/>
      <c r="Q262" s="155"/>
      <c r="R262" s="102"/>
      <c r="S262" s="102"/>
      <c r="T262" s="102"/>
      <c r="U262" s="102"/>
      <c r="V262" s="102"/>
      <c r="W262" s="102"/>
      <c r="X262" s="102"/>
      <c r="Y262" s="102"/>
      <c r="Z262" s="102"/>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26"/>
      <c r="BK262" s="226"/>
    </row>
    <row r="263" spans="1:63" hidden="1" outlineLevel="1">
      <c r="A263" s="9"/>
      <c r="B263" s="46"/>
      <c r="C263" s="132" t="str">
        <f>Asset27</f>
        <v>Land Improvements</v>
      </c>
      <c r="D263" s="9"/>
      <c r="E263" s="9"/>
      <c r="F263" s="144"/>
      <c r="G263" s="198">
        <f t="shared" si="4"/>
        <v>0</v>
      </c>
      <c r="H263" s="119"/>
      <c r="I263" s="119"/>
      <c r="J263" s="119"/>
      <c r="K263" s="119"/>
      <c r="L263" s="119"/>
      <c r="M263" s="9"/>
      <c r="N263" s="113"/>
      <c r="O263" s="155"/>
      <c r="P263" s="155"/>
      <c r="Q263" s="155"/>
      <c r="R263" s="102"/>
      <c r="S263" s="102"/>
      <c r="T263" s="102"/>
      <c r="U263" s="102"/>
      <c r="V263" s="102"/>
      <c r="W263" s="102"/>
      <c r="X263" s="102"/>
      <c r="Y263" s="102"/>
      <c r="Z263" s="102"/>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26"/>
      <c r="BK263" s="226"/>
    </row>
    <row r="264" spans="1:63" hidden="1" outlineLevel="1">
      <c r="A264" s="9"/>
      <c r="B264" s="46"/>
      <c r="C264" s="132" t="str">
        <f>Asset28</f>
        <v>Equity Raising Costs</v>
      </c>
      <c r="D264" s="9"/>
      <c r="E264" s="9"/>
      <c r="F264" s="144"/>
      <c r="G264" s="198">
        <f t="shared" si="4"/>
        <v>0</v>
      </c>
      <c r="H264" s="119"/>
      <c r="I264" s="119"/>
      <c r="J264" s="119"/>
      <c r="K264" s="119"/>
      <c r="L264" s="119"/>
      <c r="M264" s="9"/>
      <c r="N264" s="113"/>
      <c r="O264" s="155"/>
      <c r="P264" s="155"/>
      <c r="Q264" s="155"/>
      <c r="R264" s="102"/>
      <c r="S264" s="102"/>
      <c r="T264" s="102"/>
      <c r="U264" s="102"/>
      <c r="V264" s="102"/>
      <c r="W264" s="102"/>
      <c r="X264" s="102"/>
      <c r="Y264" s="102"/>
      <c r="Z264" s="102"/>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26"/>
      <c r="BK264" s="226"/>
    </row>
    <row r="265" spans="1:63" hidden="1" outlineLevel="1">
      <c r="A265" s="9"/>
      <c r="B265" s="46"/>
      <c r="C265" s="132" t="str">
        <f>Asset29</f>
        <v>Not Used</v>
      </c>
      <c r="D265" s="9"/>
      <c r="E265" s="9"/>
      <c r="F265" s="144"/>
      <c r="G265" s="198">
        <f t="shared" si="4"/>
        <v>0</v>
      </c>
      <c r="H265" s="119"/>
      <c r="I265" s="119"/>
      <c r="J265" s="119"/>
      <c r="K265" s="119"/>
      <c r="L265" s="119"/>
      <c r="M265" s="9"/>
      <c r="N265" s="113"/>
      <c r="O265" s="155"/>
      <c r="P265" s="155"/>
      <c r="Q265" s="155"/>
      <c r="R265" s="102"/>
      <c r="S265" s="102"/>
      <c r="T265" s="102"/>
      <c r="U265" s="102"/>
      <c r="V265" s="102"/>
      <c r="W265" s="102"/>
      <c r="X265" s="102"/>
      <c r="Y265" s="102"/>
      <c r="Z265" s="102"/>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26"/>
      <c r="BK265" s="226"/>
    </row>
    <row r="266" spans="1:63" hidden="1" outlineLevel="1">
      <c r="A266" s="9"/>
      <c r="B266" s="46"/>
      <c r="C266" s="132" t="str">
        <f>Asset30</f>
        <v>Not Used</v>
      </c>
      <c r="D266" s="9"/>
      <c r="E266" s="9"/>
      <c r="F266" s="144"/>
      <c r="G266" s="198">
        <f t="shared" si="4"/>
        <v>0</v>
      </c>
      <c r="H266" s="119"/>
      <c r="I266" s="119"/>
      <c r="J266" s="119"/>
      <c r="K266" s="119"/>
      <c r="L266" s="119"/>
      <c r="M266" s="9"/>
      <c r="N266" s="113"/>
      <c r="O266" s="155"/>
      <c r="P266" s="155"/>
      <c r="Q266" s="155"/>
      <c r="R266" s="102"/>
      <c r="S266" s="102"/>
      <c r="T266" s="102"/>
      <c r="U266" s="102"/>
      <c r="V266" s="102"/>
      <c r="W266" s="102"/>
      <c r="X266" s="102"/>
      <c r="Y266" s="102"/>
      <c r="Z266" s="102"/>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26"/>
      <c r="BK266" s="226"/>
    </row>
    <row r="267" spans="1:63" collapsed="1">
      <c r="A267" s="9"/>
      <c r="B267" s="156"/>
      <c r="C267" s="26"/>
      <c r="D267" s="9"/>
      <c r="E267" s="9"/>
      <c r="F267" s="144"/>
      <c r="G267" s="200"/>
      <c r="H267" s="119"/>
      <c r="I267" s="119"/>
      <c r="J267" s="119"/>
      <c r="K267" s="119"/>
      <c r="L267" s="119"/>
      <c r="M267" s="9"/>
      <c r="N267" s="113"/>
      <c r="O267" s="155"/>
      <c r="P267" s="155"/>
      <c r="Q267" s="155"/>
      <c r="R267" s="102"/>
      <c r="S267" s="102"/>
      <c r="T267" s="102"/>
      <c r="U267" s="102"/>
      <c r="V267" s="102"/>
      <c r="W267" s="102"/>
      <c r="X267" s="102"/>
      <c r="Y267" s="102"/>
      <c r="Z267" s="102"/>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26"/>
      <c r="BK267" s="226"/>
    </row>
    <row r="268" spans="1:63">
      <c r="A268" s="9"/>
      <c r="B268" s="156" t="s">
        <v>63</v>
      </c>
      <c r="C268" s="26"/>
      <c r="D268" s="9"/>
      <c r="E268" s="9"/>
      <c r="F268" s="144"/>
      <c r="G268" s="200"/>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26"/>
      <c r="BK268" s="226"/>
    </row>
    <row r="269" spans="1:63" hidden="1" outlineLevel="1">
      <c r="A269" s="9"/>
      <c r="B269" s="46"/>
      <c r="C269" s="132" t="str">
        <f>Asset1</f>
        <v>Overhead Sub-Transmission Lines</v>
      </c>
      <c r="D269" s="9"/>
      <c r="E269" s="9"/>
      <c r="F269" s="144"/>
      <c r="G269" s="200"/>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26"/>
      <c r="BK269" s="226"/>
    </row>
    <row r="270" spans="1:63" hidden="1" outlineLevel="1">
      <c r="A270" s="9"/>
      <c r="B270" s="46"/>
      <c r="C270" s="157" t="s">
        <v>29</v>
      </c>
      <c r="D270" s="9"/>
      <c r="E270" s="9"/>
      <c r="F270" s="144"/>
      <c r="G270" s="200"/>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26"/>
      <c r="BK270" s="226"/>
    </row>
    <row r="271" spans="1:63" hidden="1" outlineLevel="1">
      <c r="A271" s="9"/>
      <c r="B271" s="46"/>
      <c r="C271" s="132" t="str">
        <f>Asset2</f>
        <v>Underground Sub-Transmission Cables</v>
      </c>
      <c r="D271" s="9"/>
      <c r="E271" s="9"/>
      <c r="F271" s="144"/>
      <c r="G271" s="200"/>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26"/>
      <c r="BK271" s="226"/>
    </row>
    <row r="272" spans="1:63" hidden="1" outlineLevel="1">
      <c r="A272" s="9"/>
      <c r="B272" s="46"/>
      <c r="C272" s="157" t="s">
        <v>29</v>
      </c>
      <c r="D272" s="9"/>
      <c r="E272" s="9"/>
      <c r="F272" s="144"/>
      <c r="G272" s="200"/>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26"/>
      <c r="BK272" s="226"/>
    </row>
    <row r="273" spans="1:63" hidden="1" outlineLevel="1">
      <c r="A273" s="9"/>
      <c r="B273" s="46"/>
      <c r="C273" s="132" t="str">
        <f>Asset3</f>
        <v>Overhead Distribution Lines</v>
      </c>
      <c r="D273" s="9"/>
      <c r="E273" s="9"/>
      <c r="F273" s="144"/>
      <c r="G273" s="200"/>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26"/>
      <c r="BK273" s="226"/>
    </row>
    <row r="274" spans="1:63" hidden="1" outlineLevel="1">
      <c r="A274" s="9"/>
      <c r="B274" s="46"/>
      <c r="C274" s="157" t="s">
        <v>29</v>
      </c>
      <c r="D274" s="9"/>
      <c r="E274" s="9"/>
      <c r="F274" s="144"/>
      <c r="G274" s="200"/>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26"/>
      <c r="BK274" s="226"/>
    </row>
    <row r="275" spans="1:63" hidden="1" outlineLevel="1">
      <c r="A275" s="9"/>
      <c r="B275" s="46"/>
      <c r="C275" s="132" t="str">
        <f>Asset4</f>
        <v>Underground Distribution Cables</v>
      </c>
      <c r="D275" s="9"/>
      <c r="E275" s="9"/>
      <c r="F275" s="144"/>
      <c r="G275" s="200"/>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26"/>
      <c r="BK275" s="226"/>
    </row>
    <row r="276" spans="1:63" hidden="1" outlineLevel="1">
      <c r="A276" s="9"/>
      <c r="B276" s="46"/>
      <c r="C276" s="157" t="s">
        <v>29</v>
      </c>
      <c r="D276" s="9"/>
      <c r="E276" s="9"/>
      <c r="F276" s="144"/>
      <c r="G276" s="200"/>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26"/>
      <c r="BK276" s="226"/>
    </row>
    <row r="277" spans="1:63" hidden="1" outlineLevel="1">
      <c r="A277" s="9"/>
      <c r="B277" s="46"/>
      <c r="C277" s="132" t="str">
        <f>Asset5</f>
        <v xml:space="preserve">Distribution Equipment  </v>
      </c>
      <c r="D277" s="9"/>
      <c r="E277" s="9"/>
      <c r="F277" s="144"/>
      <c r="G277" s="200"/>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26"/>
      <c r="BK277" s="226"/>
    </row>
    <row r="278" spans="1:63" hidden="1" outlineLevel="1">
      <c r="A278" s="9"/>
      <c r="B278" s="46"/>
      <c r="C278" s="157" t="s">
        <v>29</v>
      </c>
      <c r="D278" s="9"/>
      <c r="E278" s="9"/>
      <c r="F278" s="144"/>
      <c r="G278" s="200"/>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26"/>
      <c r="BK278" s="226"/>
    </row>
    <row r="279" spans="1:63" hidden="1" outlineLevel="1">
      <c r="A279" s="9"/>
      <c r="B279" s="46"/>
      <c r="C279" s="132" t="str">
        <f>Asset6</f>
        <v>Substation Bays</v>
      </c>
      <c r="D279" s="9"/>
      <c r="E279" s="9"/>
      <c r="F279" s="144"/>
      <c r="G279" s="200"/>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26"/>
      <c r="BK279" s="226"/>
    </row>
    <row r="280" spans="1:63" hidden="1" outlineLevel="1">
      <c r="A280" s="9"/>
      <c r="B280" s="46"/>
      <c r="C280" s="157" t="s">
        <v>29</v>
      </c>
      <c r="D280" s="9"/>
      <c r="E280" s="9"/>
      <c r="F280" s="144"/>
      <c r="G280" s="200"/>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26"/>
      <c r="BK280" s="226"/>
    </row>
    <row r="281" spans="1:63" hidden="1" outlineLevel="1">
      <c r="A281" s="9"/>
      <c r="B281" s="46"/>
      <c r="C281" s="132" t="str">
        <f>Asset7</f>
        <v>Substation Establishment</v>
      </c>
      <c r="D281" s="9"/>
      <c r="E281" s="9"/>
      <c r="F281" s="144"/>
      <c r="G281" s="200"/>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26"/>
      <c r="BK281" s="226"/>
    </row>
    <row r="282" spans="1:63" hidden="1" outlineLevel="1">
      <c r="A282" s="9"/>
      <c r="B282" s="46"/>
      <c r="C282" s="157" t="s">
        <v>29</v>
      </c>
      <c r="D282" s="9"/>
      <c r="E282" s="9"/>
      <c r="F282" s="144"/>
      <c r="G282" s="200"/>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26"/>
      <c r="BK282" s="226"/>
    </row>
    <row r="283" spans="1:63" hidden="1" outlineLevel="1">
      <c r="A283" s="9"/>
      <c r="B283" s="46"/>
      <c r="C283" s="132" t="str">
        <f>Asset8</f>
        <v>Distribution Substation Switchgear</v>
      </c>
      <c r="D283" s="9"/>
      <c r="E283" s="9"/>
      <c r="F283" s="144"/>
      <c r="G283" s="200"/>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26"/>
      <c r="BK283" s="226"/>
    </row>
    <row r="284" spans="1:63" hidden="1" outlineLevel="1">
      <c r="A284" s="9"/>
      <c r="B284" s="46"/>
      <c r="C284" s="157" t="s">
        <v>29</v>
      </c>
      <c r="D284" s="9"/>
      <c r="E284" s="9"/>
      <c r="F284" s="144"/>
      <c r="G284" s="200"/>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26"/>
      <c r="BK284" s="226"/>
    </row>
    <row r="285" spans="1:63" hidden="1" outlineLevel="1">
      <c r="A285" s="9"/>
      <c r="B285" s="46"/>
      <c r="C285" s="132" t="str">
        <f>Asset9</f>
        <v>Zone Transformers</v>
      </c>
      <c r="D285" s="9"/>
      <c r="E285" s="9"/>
      <c r="F285" s="144"/>
      <c r="G285" s="200"/>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26"/>
      <c r="BK285" s="226"/>
    </row>
    <row r="286" spans="1:63" hidden="1" outlineLevel="1">
      <c r="A286" s="9"/>
      <c r="B286" s="46"/>
      <c r="C286" s="157" t="s">
        <v>29</v>
      </c>
      <c r="D286" s="9"/>
      <c r="E286" s="9"/>
      <c r="F286" s="144"/>
      <c r="G286" s="200"/>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26"/>
      <c r="BK286" s="226"/>
    </row>
    <row r="287" spans="1:63" hidden="1" outlineLevel="1">
      <c r="A287" s="9"/>
      <c r="B287" s="46"/>
      <c r="C287" s="132" t="str">
        <f>Asset10</f>
        <v>Distribution Transformers</v>
      </c>
      <c r="D287" s="9"/>
      <c r="E287" s="9"/>
      <c r="F287" s="144"/>
      <c r="G287" s="200"/>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26"/>
      <c r="BK287" s="226"/>
    </row>
    <row r="288" spans="1:63" hidden="1" outlineLevel="1">
      <c r="A288" s="9"/>
      <c r="B288" s="46"/>
      <c r="C288" s="157" t="s">
        <v>29</v>
      </c>
      <c r="D288" s="9"/>
      <c r="E288" s="9"/>
      <c r="F288" s="144"/>
      <c r="G288" s="200"/>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26"/>
      <c r="BK288" s="226"/>
    </row>
    <row r="289" spans="1:63" hidden="1" outlineLevel="1">
      <c r="A289" s="9"/>
      <c r="B289" s="46"/>
      <c r="C289" s="132" t="str">
        <f>Asset11</f>
        <v>Low Voltage Services</v>
      </c>
      <c r="D289" s="9"/>
      <c r="E289" s="9"/>
      <c r="F289" s="144"/>
      <c r="G289" s="200"/>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26"/>
      <c r="BK289" s="226"/>
    </row>
    <row r="290" spans="1:63" hidden="1" outlineLevel="1">
      <c r="A290" s="9"/>
      <c r="B290" s="46"/>
      <c r="C290" s="157" t="s">
        <v>29</v>
      </c>
      <c r="D290" s="9"/>
      <c r="E290" s="9"/>
      <c r="F290" s="144"/>
      <c r="G290" s="200"/>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26"/>
      <c r="BK290" s="226"/>
    </row>
    <row r="291" spans="1:63" hidden="1" outlineLevel="1">
      <c r="A291" s="9"/>
      <c r="B291" s="46"/>
      <c r="C291" s="132" t="str">
        <f>Asset12</f>
        <v>Metering</v>
      </c>
      <c r="D291" s="9"/>
      <c r="E291" s="9"/>
      <c r="F291" s="144"/>
      <c r="G291" s="200"/>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26"/>
      <c r="BK291" s="226"/>
    </row>
    <row r="292" spans="1:63" hidden="1" outlineLevel="1">
      <c r="A292" s="9"/>
      <c r="B292" s="46"/>
      <c r="C292" s="157" t="s">
        <v>29</v>
      </c>
      <c r="D292" s="9"/>
      <c r="E292" s="9"/>
      <c r="F292" s="144"/>
      <c r="G292" s="200"/>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26"/>
      <c r="BK292" s="226"/>
    </row>
    <row r="293" spans="1:63" hidden="1" outlineLevel="1">
      <c r="A293" s="9"/>
      <c r="B293" s="46"/>
      <c r="C293" s="132" t="str">
        <f>Asset13</f>
        <v xml:space="preserve">Communications – Pilot Wires </v>
      </c>
      <c r="D293" s="9"/>
      <c r="E293" s="9"/>
      <c r="F293" s="144"/>
      <c r="G293" s="200"/>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26"/>
      <c r="BK293" s="226"/>
    </row>
    <row r="294" spans="1:63" hidden="1" outlineLevel="1">
      <c r="A294" s="9"/>
      <c r="B294" s="46"/>
      <c r="C294" s="157" t="s">
        <v>29</v>
      </c>
      <c r="D294" s="9"/>
      <c r="E294" s="9"/>
      <c r="F294" s="144"/>
      <c r="G294" s="200"/>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26"/>
      <c r="BK294" s="226"/>
    </row>
    <row r="295" spans="1:63" hidden="1" outlineLevel="1">
      <c r="A295" s="9"/>
      <c r="B295" s="46"/>
      <c r="C295" s="132" t="str">
        <f>Asset14</f>
        <v>Generation Assets</v>
      </c>
      <c r="D295" s="9"/>
      <c r="E295" s="9"/>
      <c r="F295" s="144"/>
      <c r="G295" s="200"/>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26"/>
      <c r="BK295" s="226"/>
    </row>
    <row r="296" spans="1:63" hidden="1" outlineLevel="1">
      <c r="A296" s="9"/>
      <c r="B296" s="46"/>
      <c r="C296" s="157" t="s">
        <v>29</v>
      </c>
      <c r="D296" s="9"/>
      <c r="E296" s="9"/>
      <c r="F296" s="144"/>
      <c r="G296" s="200"/>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26"/>
      <c r="BK296" s="226"/>
    </row>
    <row r="297" spans="1:63" hidden="1" outlineLevel="1">
      <c r="A297" s="9"/>
      <c r="B297" s="46"/>
      <c r="C297" s="132" t="str">
        <f>Asset15</f>
        <v>Street Lighting</v>
      </c>
      <c r="D297" s="9"/>
      <c r="E297" s="9"/>
      <c r="F297" s="144"/>
      <c r="G297" s="200"/>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26"/>
      <c r="BK297" s="226"/>
    </row>
    <row r="298" spans="1:63" hidden="1" outlineLevel="1">
      <c r="A298" s="9"/>
      <c r="B298" s="46"/>
      <c r="C298" s="157" t="s">
        <v>29</v>
      </c>
      <c r="D298" s="9"/>
      <c r="E298" s="9"/>
      <c r="F298" s="144"/>
      <c r="G298" s="200"/>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26"/>
      <c r="BK298" s="226"/>
    </row>
    <row r="299" spans="1:63" hidden="1" outlineLevel="1">
      <c r="A299" s="9"/>
      <c r="B299" s="46"/>
      <c r="C299" s="132" t="str">
        <f>Asset16</f>
        <v>Other Equipment</v>
      </c>
      <c r="D299" s="9"/>
      <c r="E299" s="9"/>
      <c r="F299" s="144"/>
      <c r="G299" s="200"/>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26"/>
      <c r="BK299" s="226"/>
    </row>
    <row r="300" spans="1:63" hidden="1" outlineLevel="1">
      <c r="A300" s="9"/>
      <c r="B300" s="46"/>
      <c r="C300" s="157" t="s">
        <v>29</v>
      </c>
      <c r="D300" s="9"/>
      <c r="E300" s="9"/>
      <c r="F300" s="144"/>
      <c r="G300" s="200"/>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26"/>
      <c r="BK300" s="226"/>
    </row>
    <row r="301" spans="1:63" hidden="1" outlineLevel="1">
      <c r="A301" s="9"/>
      <c r="B301" s="46"/>
      <c r="C301" s="132" t="str">
        <f>Asset17</f>
        <v>Control Centre - SCADA</v>
      </c>
      <c r="D301" s="9"/>
      <c r="E301" s="9"/>
      <c r="F301" s="144"/>
      <c r="G301" s="200"/>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26"/>
      <c r="BK301" s="226"/>
    </row>
    <row r="302" spans="1:63" hidden="1" outlineLevel="1">
      <c r="A302" s="9"/>
      <c r="B302" s="46"/>
      <c r="C302" s="157" t="s">
        <v>29</v>
      </c>
      <c r="D302" s="9"/>
      <c r="E302" s="9"/>
      <c r="F302" s="144"/>
      <c r="G302" s="200"/>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26"/>
      <c r="BK302" s="226"/>
    </row>
    <row r="303" spans="1:63" hidden="1" outlineLevel="1">
      <c r="A303" s="9"/>
      <c r="B303" s="46"/>
      <c r="C303" s="132" t="str">
        <f>Asset18</f>
        <v>Land &amp; Easements (System)</v>
      </c>
      <c r="D303" s="9"/>
      <c r="E303" s="9"/>
      <c r="F303" s="144"/>
      <c r="G303" s="200"/>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26"/>
      <c r="BK303" s="226"/>
    </row>
    <row r="304" spans="1:63" hidden="1" outlineLevel="1">
      <c r="A304" s="9"/>
      <c r="B304" s="46"/>
      <c r="C304" s="157" t="s">
        <v>29</v>
      </c>
      <c r="D304" s="9"/>
      <c r="E304" s="9"/>
      <c r="F304" s="144"/>
      <c r="G304" s="200"/>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26"/>
      <c r="BK304" s="226"/>
    </row>
    <row r="305" spans="1:63" hidden="1" outlineLevel="1">
      <c r="A305" s="9"/>
      <c r="B305" s="46"/>
      <c r="C305" s="132" t="str">
        <f>Asset19</f>
        <v>Metering Type 5-6</v>
      </c>
      <c r="D305" s="9"/>
      <c r="E305" s="9"/>
      <c r="F305" s="144"/>
      <c r="G305" s="200"/>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26"/>
      <c r="BK305" s="226"/>
    </row>
    <row r="306" spans="1:63" hidden="1" outlineLevel="1">
      <c r="A306" s="9"/>
      <c r="B306" s="46"/>
      <c r="C306" s="157" t="s">
        <v>29</v>
      </c>
      <c r="D306" s="9"/>
      <c r="E306" s="9"/>
      <c r="F306" s="144"/>
      <c r="G306" s="200"/>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26"/>
      <c r="BK306" s="226"/>
    </row>
    <row r="307" spans="1:63" hidden="1" outlineLevel="1">
      <c r="A307" s="9"/>
      <c r="B307" s="46"/>
      <c r="C307" s="132" t="str">
        <f>Asset20</f>
        <v>Communications</v>
      </c>
      <c r="D307" s="9"/>
      <c r="E307" s="9"/>
      <c r="F307" s="144"/>
      <c r="G307" s="200"/>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26"/>
      <c r="BK307" s="226"/>
    </row>
    <row r="308" spans="1:63" hidden="1" outlineLevel="1">
      <c r="A308" s="9"/>
      <c r="B308" s="46"/>
      <c r="C308" s="157" t="s">
        <v>29</v>
      </c>
      <c r="D308" s="9"/>
      <c r="E308" s="9"/>
      <c r="F308" s="144"/>
      <c r="G308" s="200"/>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26"/>
      <c r="BK308" s="226"/>
    </row>
    <row r="309" spans="1:63" hidden="1" outlineLevel="1">
      <c r="A309" s="9"/>
      <c r="B309" s="46"/>
      <c r="C309" s="132" t="str">
        <f>Asset21</f>
        <v>IT Systems</v>
      </c>
      <c r="D309" s="9"/>
      <c r="E309" s="9"/>
      <c r="F309" s="144"/>
      <c r="G309" s="198"/>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26"/>
      <c r="BK309" s="226"/>
    </row>
    <row r="310" spans="1:63" hidden="1" outlineLevel="1">
      <c r="A310" s="9"/>
      <c r="B310" s="46"/>
      <c r="C310" s="157" t="s">
        <v>29</v>
      </c>
      <c r="D310" s="9"/>
      <c r="E310" s="9"/>
      <c r="F310" s="144"/>
      <c r="G310" s="198"/>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26"/>
      <c r="BK310" s="226"/>
    </row>
    <row r="311" spans="1:63" hidden="1" outlineLevel="1">
      <c r="A311" s="9"/>
      <c r="B311" s="46"/>
      <c r="C311" s="132" t="str">
        <f>Asset22</f>
        <v>Office Equipment &amp; Furniture</v>
      </c>
      <c r="D311" s="9"/>
      <c r="E311" s="9"/>
      <c r="F311" s="144"/>
      <c r="G311" s="198"/>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26"/>
      <c r="BK311" s="226"/>
    </row>
    <row r="312" spans="1:63" hidden="1" outlineLevel="1">
      <c r="A312" s="9"/>
      <c r="B312" s="46"/>
      <c r="C312" s="157" t="s">
        <v>29</v>
      </c>
      <c r="D312" s="9"/>
      <c r="E312" s="9"/>
      <c r="F312" s="144"/>
      <c r="G312" s="198"/>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26"/>
      <c r="BK312" s="226"/>
    </row>
    <row r="313" spans="1:63" hidden="1" outlineLevel="1">
      <c r="A313" s="9"/>
      <c r="B313" s="46"/>
      <c r="C313" s="132" t="str">
        <f>Asset23</f>
        <v>Motor Vehicles</v>
      </c>
      <c r="D313" s="9"/>
      <c r="E313" s="9"/>
      <c r="F313" s="144"/>
      <c r="G313" s="198"/>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26"/>
      <c r="BK313" s="226"/>
    </row>
    <row r="314" spans="1:63" hidden="1" outlineLevel="1">
      <c r="A314" s="9"/>
      <c r="B314" s="46"/>
      <c r="C314" s="157" t="s">
        <v>29</v>
      </c>
      <c r="D314" s="9"/>
      <c r="E314" s="9"/>
      <c r="F314" s="144"/>
      <c r="G314" s="198"/>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26"/>
      <c r="BK314" s="226"/>
    </row>
    <row r="315" spans="1:63" hidden="1" outlineLevel="1">
      <c r="A315" s="9"/>
      <c r="B315" s="46"/>
      <c r="C315" s="132" t="str">
        <f>Asset24</f>
        <v>Plant &amp; Equipment</v>
      </c>
      <c r="D315" s="9"/>
      <c r="E315" s="9"/>
      <c r="F315" s="144"/>
      <c r="G315" s="198"/>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26"/>
      <c r="BK315" s="226"/>
    </row>
    <row r="316" spans="1:63" hidden="1" outlineLevel="1">
      <c r="A316" s="9"/>
      <c r="B316" s="46"/>
      <c r="C316" s="157" t="s">
        <v>29</v>
      </c>
      <c r="D316" s="9"/>
      <c r="E316" s="9"/>
      <c r="F316" s="144"/>
      <c r="G316" s="198"/>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26"/>
      <c r="BK316" s="226"/>
    </row>
    <row r="317" spans="1:63" hidden="1" outlineLevel="1">
      <c r="A317" s="9"/>
      <c r="B317" s="46"/>
      <c r="C317" s="132" t="str">
        <f>Asset25</f>
        <v>Buildings</v>
      </c>
      <c r="D317" s="9"/>
      <c r="E317" s="9"/>
      <c r="F317" s="144"/>
      <c r="G317" s="198"/>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26"/>
      <c r="BK317" s="226"/>
    </row>
    <row r="318" spans="1:63" hidden="1" outlineLevel="1">
      <c r="A318" s="9"/>
      <c r="B318" s="46"/>
      <c r="C318" s="157" t="s">
        <v>29</v>
      </c>
      <c r="D318" s="9"/>
      <c r="E318" s="9"/>
      <c r="F318" s="144"/>
      <c r="G318" s="198"/>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26"/>
      <c r="BK318" s="226"/>
    </row>
    <row r="319" spans="1:63" hidden="1" outlineLevel="1">
      <c r="A319" s="9"/>
      <c r="B319" s="46"/>
      <c r="C319" s="132" t="str">
        <f>Asset26</f>
        <v>Land &amp; Easements</v>
      </c>
      <c r="D319" s="9"/>
      <c r="E319" s="9"/>
      <c r="F319" s="144"/>
      <c r="G319" s="198"/>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26"/>
      <c r="BK319" s="226"/>
    </row>
    <row r="320" spans="1:63" hidden="1" outlineLevel="1">
      <c r="A320" s="9"/>
      <c r="B320" s="46"/>
      <c r="C320" s="157" t="s">
        <v>29</v>
      </c>
      <c r="D320" s="9"/>
      <c r="E320" s="9"/>
      <c r="F320" s="144"/>
      <c r="G320" s="198"/>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26"/>
      <c r="BK320" s="226"/>
    </row>
    <row r="321" spans="1:63" hidden="1" outlineLevel="1">
      <c r="A321" s="9"/>
      <c r="B321" s="46"/>
      <c r="C321" s="132" t="str">
        <f>Asset27</f>
        <v>Land Improvements</v>
      </c>
      <c r="D321" s="9"/>
      <c r="E321" s="9"/>
      <c r="F321" s="144"/>
      <c r="G321" s="198"/>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26"/>
      <c r="BK321" s="226"/>
    </row>
    <row r="322" spans="1:63" hidden="1" outlineLevel="1">
      <c r="A322" s="9"/>
      <c r="B322" s="46"/>
      <c r="C322" s="157" t="s">
        <v>29</v>
      </c>
      <c r="D322" s="9"/>
      <c r="E322" s="9"/>
      <c r="F322" s="144"/>
      <c r="G322" s="198"/>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26"/>
      <c r="BK322" s="226"/>
    </row>
    <row r="323" spans="1:63" hidden="1" outlineLevel="1">
      <c r="A323" s="9"/>
      <c r="B323" s="46"/>
      <c r="C323" s="132" t="str">
        <f>Asset28</f>
        <v>Equity Raising Costs</v>
      </c>
      <c r="D323" s="9"/>
      <c r="E323" s="9"/>
      <c r="F323" s="144"/>
      <c r="G323" s="198"/>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26"/>
      <c r="BK323" s="226"/>
    </row>
    <row r="324" spans="1:63" hidden="1" outlineLevel="1">
      <c r="A324" s="9"/>
      <c r="B324" s="46"/>
      <c r="C324" s="157" t="s">
        <v>29</v>
      </c>
      <c r="D324" s="9"/>
      <c r="E324" s="9"/>
      <c r="F324" s="144"/>
      <c r="G324" s="198"/>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26"/>
      <c r="BK324" s="226"/>
    </row>
    <row r="325" spans="1:63" hidden="1" outlineLevel="1">
      <c r="A325" s="9"/>
      <c r="B325" s="46"/>
      <c r="C325" s="132" t="str">
        <f>Asset29</f>
        <v>Not Used</v>
      </c>
      <c r="D325" s="9"/>
      <c r="E325" s="9"/>
      <c r="F325" s="144"/>
      <c r="G325" s="198"/>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26"/>
      <c r="BK325" s="226"/>
    </row>
    <row r="326" spans="1:63" hidden="1" outlineLevel="1">
      <c r="A326" s="9"/>
      <c r="B326" s="46"/>
      <c r="C326" s="157" t="s">
        <v>29</v>
      </c>
      <c r="D326" s="9"/>
      <c r="E326" s="9"/>
      <c r="F326" s="144"/>
      <c r="G326" s="198"/>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26"/>
      <c r="BK326" s="226"/>
    </row>
    <row r="327" spans="1:63" hidden="1" outlineLevel="1">
      <c r="A327" s="9"/>
      <c r="B327" s="46"/>
      <c r="C327" s="132" t="str">
        <f>Asset30</f>
        <v>Not Used</v>
      </c>
      <c r="D327" s="9"/>
      <c r="E327" s="9"/>
      <c r="F327" s="144"/>
      <c r="G327" s="198"/>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26"/>
      <c r="BK327" s="226"/>
    </row>
    <row r="328" spans="1:63" hidden="1" outlineLevel="1">
      <c r="A328" s="9"/>
      <c r="B328" s="46"/>
      <c r="C328" s="157" t="s">
        <v>29</v>
      </c>
      <c r="D328" s="9"/>
      <c r="E328" s="9"/>
      <c r="F328" s="144"/>
      <c r="G328" s="198"/>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26"/>
      <c r="BK328" s="226"/>
    </row>
    <row r="329" spans="1:63" collapsed="1">
      <c r="A329" s="9"/>
      <c r="B329" s="189" t="s">
        <v>44</v>
      </c>
      <c r="D329" s="9"/>
      <c r="E329" s="9"/>
      <c r="F329" s="144"/>
      <c r="G329" s="200"/>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26"/>
      <c r="BK329" s="226"/>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26"/>
      <c r="BK330" s="226"/>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226"/>
      <c r="BK331" s="226"/>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6"/>
      <c r="BK332" s="226"/>
    </row>
    <row r="333" spans="1:63">
      <c r="A333" s="9"/>
      <c r="B333" s="46" t="s">
        <v>46</v>
      </c>
      <c r="C333" s="9"/>
      <c r="D333" s="9"/>
      <c r="E333" s="9"/>
      <c r="F333" s="9"/>
      <c r="G333" s="197">
        <f>SUM(G334:G363)</f>
        <v>6452.6379509999997</v>
      </c>
      <c r="H333" s="143">
        <f>SUM(H334:H363)</f>
        <v>7148.9485249999989</v>
      </c>
      <c r="I333" s="113"/>
      <c r="J333" s="113"/>
      <c r="K333" s="113"/>
      <c r="L333" s="113"/>
      <c r="M333" s="113"/>
      <c r="N333" s="113"/>
      <c r="O333" s="108"/>
      <c r="P333" s="108"/>
      <c r="Q333" s="108"/>
      <c r="R333" s="108"/>
      <c r="S333" s="102"/>
      <c r="T333" s="108"/>
      <c r="U333" s="108"/>
      <c r="V333" s="108"/>
      <c r="W333" s="108"/>
      <c r="X333" s="108"/>
      <c r="Y333" s="108"/>
      <c r="Z333" s="108"/>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6"/>
      <c r="BK333" s="226"/>
    </row>
    <row r="334" spans="1:63" ht="12.75" hidden="1" customHeight="1" outlineLevel="1">
      <c r="A334" s="9"/>
      <c r="B334" s="9"/>
      <c r="C334" s="132" t="str">
        <f>Asset1</f>
        <v>Overhead Sub-Transmission Lines</v>
      </c>
      <c r="D334" s="9"/>
      <c r="E334" s="9"/>
      <c r="F334" s="9"/>
      <c r="G334" s="198">
        <f>Input!J7</f>
        <v>993.69486300000005</v>
      </c>
      <c r="H334" s="113">
        <f t="shared" ref="H334:H363" si="6">G334+G366+G398+G430+G462+G494</f>
        <v>1056.633057</v>
      </c>
      <c r="I334" s="113"/>
      <c r="J334" s="113"/>
      <c r="K334" s="113"/>
      <c r="L334" s="113"/>
      <c r="M334" s="113"/>
      <c r="N334" s="113"/>
      <c r="O334" s="108"/>
      <c r="P334" s="108"/>
      <c r="Q334" s="108"/>
      <c r="R334" s="108"/>
      <c r="S334" s="102"/>
      <c r="T334" s="108"/>
      <c r="U334" s="108"/>
      <c r="V334" s="108"/>
      <c r="W334" s="108"/>
      <c r="X334" s="108"/>
      <c r="Y334" s="108"/>
      <c r="Z334" s="108"/>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6"/>
      <c r="BK334" s="226"/>
    </row>
    <row r="335" spans="1:63" ht="12.75" hidden="1" customHeight="1" outlineLevel="1">
      <c r="A335" s="9"/>
      <c r="B335" s="46"/>
      <c r="C335" s="132" t="str">
        <f>Asset2</f>
        <v>Underground Sub-Transmission Cables</v>
      </c>
      <c r="D335" s="9"/>
      <c r="E335" s="9"/>
      <c r="F335" s="144"/>
      <c r="G335" s="198">
        <f>Input!J8</f>
        <v>37.779063999999998</v>
      </c>
      <c r="H335" s="113">
        <f t="shared" si="6"/>
        <v>52.156053999999997</v>
      </c>
      <c r="I335" s="113"/>
      <c r="J335" s="113"/>
      <c r="K335" s="113"/>
      <c r="L335" s="113"/>
      <c r="M335" s="113"/>
      <c r="N335" s="113"/>
      <c r="O335" s="108"/>
      <c r="P335" s="108"/>
      <c r="Q335" s="108"/>
      <c r="R335" s="108"/>
      <c r="S335" s="102"/>
      <c r="T335" s="108"/>
      <c r="U335" s="108"/>
      <c r="V335" s="108"/>
      <c r="W335" s="108"/>
      <c r="X335" s="108"/>
      <c r="Y335" s="108"/>
      <c r="Z335" s="108"/>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226"/>
      <c r="BK335" s="226"/>
    </row>
    <row r="336" spans="1:63" ht="12.75" hidden="1" customHeight="1" outlineLevel="1">
      <c r="A336" s="9"/>
      <c r="B336" s="46"/>
      <c r="C336" s="132" t="str">
        <f>Asset3</f>
        <v>Overhead Distribution Lines</v>
      </c>
      <c r="D336" s="9"/>
      <c r="E336" s="9"/>
      <c r="F336" s="144"/>
      <c r="G336" s="198">
        <f>Input!J9</f>
        <v>2051.5581069999998</v>
      </c>
      <c r="H336" s="113">
        <f t="shared" si="6"/>
        <v>2189.4807769999998</v>
      </c>
      <c r="I336" s="113"/>
      <c r="J336" s="113"/>
      <c r="K336" s="113"/>
      <c r="L336" s="113"/>
      <c r="M336" s="113"/>
      <c r="N336" s="113"/>
      <c r="O336" s="108"/>
      <c r="P336" s="108"/>
      <c r="Q336" s="108"/>
      <c r="R336" s="108"/>
      <c r="S336" s="102"/>
      <c r="T336" s="108"/>
      <c r="U336" s="108"/>
      <c r="V336" s="108"/>
      <c r="W336" s="108"/>
      <c r="X336" s="108"/>
      <c r="Y336" s="108"/>
      <c r="Z336" s="108"/>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226"/>
      <c r="BK336" s="226"/>
    </row>
    <row r="337" spans="1:63" ht="12.75" hidden="1" customHeight="1" outlineLevel="1">
      <c r="A337" s="9"/>
      <c r="B337" s="46"/>
      <c r="C337" s="132" t="str">
        <f>Asset4</f>
        <v>Underground Distribution Cables</v>
      </c>
      <c r="D337" s="9"/>
      <c r="E337" s="9"/>
      <c r="F337" s="144"/>
      <c r="G337" s="198">
        <f>Input!J10</f>
        <v>529.61822400000005</v>
      </c>
      <c r="H337" s="113">
        <f t="shared" si="6"/>
        <v>636.12367100000006</v>
      </c>
      <c r="I337" s="113"/>
      <c r="J337" s="113"/>
      <c r="K337" s="113"/>
      <c r="L337" s="113"/>
      <c r="M337" s="113"/>
      <c r="N337" s="113"/>
      <c r="O337" s="108"/>
      <c r="P337" s="108"/>
      <c r="Q337" s="108"/>
      <c r="R337" s="108"/>
      <c r="S337" s="102"/>
      <c r="T337" s="108"/>
      <c r="U337" s="108"/>
      <c r="V337" s="108"/>
      <c r="W337" s="108"/>
      <c r="X337" s="108"/>
      <c r="Y337" s="108"/>
      <c r="Z337" s="108"/>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6"/>
      <c r="BK337" s="226"/>
    </row>
    <row r="338" spans="1:63" ht="12.75" hidden="1" customHeight="1" outlineLevel="1">
      <c r="A338" s="9"/>
      <c r="B338" s="46"/>
      <c r="C338" s="132" t="str">
        <f>Asset5</f>
        <v xml:space="preserve">Distribution Equipment  </v>
      </c>
      <c r="D338" s="9"/>
      <c r="E338" s="9"/>
      <c r="F338" s="144"/>
      <c r="G338" s="198">
        <f>Input!J11</f>
        <v>50.789208000000002</v>
      </c>
      <c r="H338" s="113">
        <f t="shared" si="6"/>
        <v>67.082565000000017</v>
      </c>
      <c r="I338" s="113"/>
      <c r="J338" s="113"/>
      <c r="K338" s="113"/>
      <c r="L338" s="113"/>
      <c r="M338" s="113"/>
      <c r="N338" s="113"/>
      <c r="O338" s="108"/>
      <c r="P338" s="108"/>
      <c r="Q338" s="108"/>
      <c r="R338" s="108"/>
      <c r="S338" s="102"/>
      <c r="T338" s="108"/>
      <c r="U338" s="108"/>
      <c r="V338" s="108"/>
      <c r="W338" s="108"/>
      <c r="X338" s="108"/>
      <c r="Y338" s="108"/>
      <c r="Z338" s="108"/>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226"/>
      <c r="BK338" s="226"/>
    </row>
    <row r="339" spans="1:63" ht="12.75" hidden="1" customHeight="1" outlineLevel="1">
      <c r="A339" s="9"/>
      <c r="B339" s="46"/>
      <c r="C339" s="132" t="str">
        <f>Asset6</f>
        <v>Substation Bays</v>
      </c>
      <c r="D339" s="9"/>
      <c r="E339" s="9"/>
      <c r="F339" s="144"/>
      <c r="G339" s="198">
        <f>Input!J12</f>
        <v>729.01710300000002</v>
      </c>
      <c r="H339" s="113">
        <f t="shared" si="6"/>
        <v>826.69113600000003</v>
      </c>
      <c r="I339" s="113"/>
      <c r="J339" s="113"/>
      <c r="K339" s="113"/>
      <c r="L339" s="113"/>
      <c r="M339" s="113"/>
      <c r="N339" s="113"/>
      <c r="O339" s="108"/>
      <c r="P339" s="108"/>
      <c r="Q339" s="108"/>
      <c r="R339" s="108"/>
      <c r="S339" s="102"/>
      <c r="T339" s="108"/>
      <c r="U339" s="108"/>
      <c r="V339" s="108"/>
      <c r="W339" s="108"/>
      <c r="X339" s="108"/>
      <c r="Y339" s="108"/>
      <c r="Z339" s="108"/>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226"/>
      <c r="BK339" s="226"/>
    </row>
    <row r="340" spans="1:63" ht="12.75" hidden="1" customHeight="1" outlineLevel="1">
      <c r="A340" s="9"/>
      <c r="B340" s="46"/>
      <c r="C340" s="132" t="str">
        <f>Asset7</f>
        <v>Substation Establishment</v>
      </c>
      <c r="D340" s="9"/>
      <c r="E340" s="9"/>
      <c r="F340" s="144"/>
      <c r="G340" s="198">
        <f>Input!J13</f>
        <v>258.47623700000003</v>
      </c>
      <c r="H340" s="113">
        <f t="shared" si="6"/>
        <v>286.57619800000003</v>
      </c>
      <c r="I340" s="113"/>
      <c r="J340" s="113"/>
      <c r="K340" s="113"/>
      <c r="L340" s="113"/>
      <c r="M340" s="113"/>
      <c r="N340" s="113"/>
      <c r="O340" s="108"/>
      <c r="P340" s="108"/>
      <c r="Q340" s="108"/>
      <c r="R340" s="108"/>
      <c r="S340" s="102"/>
      <c r="T340" s="108"/>
      <c r="U340" s="108"/>
      <c r="V340" s="108"/>
      <c r="W340" s="108"/>
      <c r="X340" s="108"/>
      <c r="Y340" s="108"/>
      <c r="Z340" s="108"/>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226"/>
      <c r="BK340" s="226"/>
    </row>
    <row r="341" spans="1:63" ht="12.75" hidden="1" customHeight="1" outlineLevel="1">
      <c r="A341" s="9"/>
      <c r="B341" s="46"/>
      <c r="C341" s="132" t="str">
        <f>Asset8</f>
        <v>Distribution Substation Switchgear</v>
      </c>
      <c r="D341" s="9"/>
      <c r="E341" s="9"/>
      <c r="F341" s="144"/>
      <c r="G341" s="198">
        <f>Input!J14</f>
        <v>87.030482000000006</v>
      </c>
      <c r="H341" s="113">
        <f t="shared" si="6"/>
        <v>93.916054000000003</v>
      </c>
      <c r="I341" s="113"/>
      <c r="J341" s="113"/>
      <c r="K341" s="113"/>
      <c r="L341" s="113"/>
      <c r="M341" s="113"/>
      <c r="N341" s="113"/>
      <c r="O341" s="108"/>
      <c r="P341" s="108"/>
      <c r="Q341" s="108"/>
      <c r="R341" s="108"/>
      <c r="S341" s="102"/>
      <c r="T341" s="108"/>
      <c r="U341" s="108"/>
      <c r="V341" s="108"/>
      <c r="W341" s="108"/>
      <c r="X341" s="108"/>
      <c r="Y341" s="108"/>
      <c r="Z341" s="108"/>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226"/>
      <c r="BK341" s="226"/>
    </row>
    <row r="342" spans="1:63" ht="12.75" hidden="1" customHeight="1" outlineLevel="1">
      <c r="A342" s="9"/>
      <c r="B342" s="46"/>
      <c r="C342" s="132" t="str">
        <f>Asset9</f>
        <v>Zone Transformers</v>
      </c>
      <c r="D342" s="9"/>
      <c r="E342" s="9"/>
      <c r="F342" s="144"/>
      <c r="G342" s="198">
        <f>Input!J15</f>
        <v>218.18559099999999</v>
      </c>
      <c r="H342" s="113">
        <f t="shared" si="6"/>
        <v>241.027929</v>
      </c>
      <c r="I342" s="113"/>
      <c r="J342" s="113"/>
      <c r="K342" s="113"/>
      <c r="L342" s="113"/>
      <c r="M342" s="113"/>
      <c r="N342" s="113"/>
      <c r="O342" s="108"/>
      <c r="P342" s="108"/>
      <c r="Q342" s="108"/>
      <c r="R342" s="108"/>
      <c r="S342" s="102"/>
      <c r="T342" s="108"/>
      <c r="U342" s="108"/>
      <c r="V342" s="108"/>
      <c r="W342" s="108"/>
      <c r="X342" s="108"/>
      <c r="Y342" s="108"/>
      <c r="Z342" s="108"/>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6"/>
      <c r="BK342" s="226"/>
    </row>
    <row r="343" spans="1:63" ht="12.75" hidden="1" customHeight="1" outlineLevel="1">
      <c r="A343" s="9"/>
      <c r="B343" s="46"/>
      <c r="C343" s="132" t="str">
        <f>Asset10</f>
        <v>Distribution Transformers</v>
      </c>
      <c r="D343" s="9"/>
      <c r="E343" s="9"/>
      <c r="F343" s="144"/>
      <c r="G343" s="198">
        <f>Input!J16</f>
        <v>738.96965799999998</v>
      </c>
      <c r="H343" s="113">
        <f t="shared" si="6"/>
        <v>825.35839399999998</v>
      </c>
      <c r="I343" s="113"/>
      <c r="J343" s="113"/>
      <c r="K343" s="113"/>
      <c r="L343" s="113"/>
      <c r="M343" s="113"/>
      <c r="N343" s="113"/>
      <c r="O343" s="108"/>
      <c r="P343" s="108"/>
      <c r="Q343" s="108"/>
      <c r="R343" s="108"/>
      <c r="S343" s="102"/>
      <c r="T343" s="108"/>
      <c r="U343" s="108"/>
      <c r="V343" s="108"/>
      <c r="W343" s="108"/>
      <c r="X343" s="108"/>
      <c r="Y343" s="108"/>
      <c r="Z343" s="108"/>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226"/>
      <c r="BK343" s="226"/>
    </row>
    <row r="344" spans="1:63" ht="12.75" hidden="1" customHeight="1" outlineLevel="1">
      <c r="A344" s="9"/>
      <c r="B344" s="46"/>
      <c r="C344" s="132" t="str">
        <f>Asset11</f>
        <v>Low Voltage Services</v>
      </c>
      <c r="D344" s="9"/>
      <c r="E344" s="9"/>
      <c r="F344" s="144"/>
      <c r="G344" s="198">
        <f>Input!J17</f>
        <v>104.11265400000001</v>
      </c>
      <c r="H344" s="113">
        <f t="shared" si="6"/>
        <v>93.357134000000002</v>
      </c>
      <c r="I344" s="113"/>
      <c r="J344" s="113"/>
      <c r="K344" s="113"/>
      <c r="L344" s="113"/>
      <c r="M344" s="113"/>
      <c r="N344" s="113"/>
      <c r="O344" s="108"/>
      <c r="P344" s="108"/>
      <c r="Q344" s="108"/>
      <c r="R344" s="108"/>
      <c r="S344" s="102"/>
      <c r="T344" s="108"/>
      <c r="U344" s="108"/>
      <c r="V344" s="108"/>
      <c r="W344" s="108"/>
      <c r="X344" s="108"/>
      <c r="Y344" s="108"/>
      <c r="Z344" s="108"/>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6"/>
      <c r="BK344" s="226"/>
    </row>
    <row r="345" spans="1:63" ht="12.75" hidden="1" customHeight="1" outlineLevel="1">
      <c r="A345" s="9"/>
      <c r="B345" s="46"/>
      <c r="C345" s="132" t="str">
        <f>Asset12</f>
        <v>Metering</v>
      </c>
      <c r="D345" s="9"/>
      <c r="E345" s="9"/>
      <c r="F345" s="144"/>
      <c r="G345" s="198">
        <f>Input!J18</f>
        <v>63.344796000000002</v>
      </c>
      <c r="H345" s="113">
        <f t="shared" si="6"/>
        <v>66.005122</v>
      </c>
      <c r="I345" s="113"/>
      <c r="J345" s="113"/>
      <c r="K345" s="113"/>
      <c r="L345" s="113"/>
      <c r="M345" s="113"/>
      <c r="N345" s="113"/>
      <c r="O345" s="108"/>
      <c r="P345" s="108"/>
      <c r="Q345" s="108"/>
      <c r="R345" s="108"/>
      <c r="S345" s="102"/>
      <c r="T345" s="108"/>
      <c r="U345" s="108"/>
      <c r="V345" s="108"/>
      <c r="W345" s="108"/>
      <c r="X345" s="108"/>
      <c r="Y345" s="108"/>
      <c r="Z345" s="108"/>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226"/>
      <c r="BK345" s="226"/>
    </row>
    <row r="346" spans="1:63" ht="12.75" hidden="1" customHeight="1" outlineLevel="1">
      <c r="A346" s="9"/>
      <c r="B346" s="46"/>
      <c r="C346" s="132" t="str">
        <f>Asset13</f>
        <v xml:space="preserve">Communications – Pilot Wires </v>
      </c>
      <c r="D346" s="9"/>
      <c r="E346" s="9"/>
      <c r="F346" s="144"/>
      <c r="G346" s="198">
        <f>Input!J19</f>
        <v>43.338639999999998</v>
      </c>
      <c r="H346" s="113">
        <f t="shared" si="6"/>
        <v>80.41318600000001</v>
      </c>
      <c r="I346" s="113"/>
      <c r="J346" s="113"/>
      <c r="K346" s="113"/>
      <c r="L346" s="113"/>
      <c r="M346" s="113"/>
      <c r="N346" s="113"/>
      <c r="O346" s="108"/>
      <c r="P346" s="108"/>
      <c r="Q346" s="108"/>
      <c r="R346" s="108"/>
      <c r="S346" s="102"/>
      <c r="T346" s="108"/>
      <c r="U346" s="108"/>
      <c r="V346" s="108"/>
      <c r="W346" s="108"/>
      <c r="X346" s="108"/>
      <c r="Y346" s="108"/>
      <c r="Z346" s="108"/>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226"/>
      <c r="BK346" s="226"/>
    </row>
    <row r="347" spans="1:63" ht="12.75" hidden="1" customHeight="1" outlineLevel="1">
      <c r="A347" s="9"/>
      <c r="B347" s="46"/>
      <c r="C347" s="132" t="str">
        <f>Asset14</f>
        <v>Generation Assets</v>
      </c>
      <c r="D347" s="9"/>
      <c r="E347" s="9"/>
      <c r="F347" s="144"/>
      <c r="G347" s="198">
        <f>Input!J20</f>
        <v>3.8847779999999998</v>
      </c>
      <c r="H347" s="113">
        <f t="shared" si="6"/>
        <v>3.46767</v>
      </c>
      <c r="I347" s="113"/>
      <c r="J347" s="113"/>
      <c r="K347" s="113"/>
      <c r="L347" s="113"/>
      <c r="M347" s="113"/>
      <c r="N347" s="113"/>
      <c r="O347" s="108"/>
      <c r="P347" s="108"/>
      <c r="Q347" s="108"/>
      <c r="R347" s="108"/>
      <c r="S347" s="102"/>
      <c r="T347" s="108"/>
      <c r="U347" s="108"/>
      <c r="V347" s="108"/>
      <c r="W347" s="108"/>
      <c r="X347" s="108"/>
      <c r="Y347" s="108"/>
      <c r="Z347" s="108"/>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6"/>
      <c r="BK347" s="226"/>
    </row>
    <row r="348" spans="1:63" ht="12.75" hidden="1" customHeight="1" outlineLevel="1">
      <c r="A348" s="9"/>
      <c r="B348" s="46"/>
      <c r="C348" s="132" t="str">
        <f>Asset15</f>
        <v>Street Lighting</v>
      </c>
      <c r="D348" s="9"/>
      <c r="E348" s="9"/>
      <c r="F348" s="144"/>
      <c r="G348" s="198">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226"/>
      <c r="BK348" s="226"/>
    </row>
    <row r="349" spans="1:63" ht="12.75" hidden="1" customHeight="1" outlineLevel="1">
      <c r="A349" s="9"/>
      <c r="B349" s="46"/>
      <c r="C349" s="132" t="str">
        <f>Asset16</f>
        <v>Other Equipment</v>
      </c>
      <c r="D349" s="9"/>
      <c r="E349" s="9"/>
      <c r="F349" s="144"/>
      <c r="G349" s="198">
        <f>Input!J22</f>
        <v>17.990687000000001</v>
      </c>
      <c r="H349" s="113">
        <f t="shared" si="6"/>
        <v>18.179272000000001</v>
      </c>
      <c r="I349" s="113"/>
      <c r="J349" s="113"/>
      <c r="K349" s="113"/>
      <c r="L349" s="113"/>
      <c r="M349" s="113"/>
      <c r="N349" s="113"/>
      <c r="O349" s="108"/>
      <c r="P349" s="108"/>
      <c r="Q349" s="108"/>
      <c r="R349" s="108"/>
      <c r="S349" s="102"/>
      <c r="T349" s="108"/>
      <c r="U349" s="108"/>
      <c r="V349" s="108"/>
      <c r="W349" s="108"/>
      <c r="X349" s="108"/>
      <c r="Y349" s="108"/>
      <c r="Z349" s="108"/>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6"/>
      <c r="BK349" s="226"/>
    </row>
    <row r="350" spans="1:63" ht="12.75" hidden="1" customHeight="1" outlineLevel="1">
      <c r="A350" s="9"/>
      <c r="B350" s="46"/>
      <c r="C350" s="132" t="str">
        <f>Asset17</f>
        <v>Control Centre - SCADA</v>
      </c>
      <c r="D350" s="9"/>
      <c r="E350" s="9"/>
      <c r="F350" s="144"/>
      <c r="G350" s="198">
        <f>Input!J23</f>
        <v>41.890070000000001</v>
      </c>
      <c r="H350" s="113">
        <f t="shared" si="6"/>
        <v>44.092497999999999</v>
      </c>
      <c r="I350" s="113"/>
      <c r="J350" s="113"/>
      <c r="K350" s="113"/>
      <c r="L350" s="113"/>
      <c r="M350" s="113"/>
      <c r="N350" s="113"/>
      <c r="O350" s="108"/>
      <c r="P350" s="108"/>
      <c r="Q350" s="108"/>
      <c r="R350" s="108"/>
      <c r="S350" s="102"/>
      <c r="T350" s="108"/>
      <c r="U350" s="108"/>
      <c r="V350" s="108"/>
      <c r="W350" s="108"/>
      <c r="X350" s="108"/>
      <c r="Y350" s="108"/>
      <c r="Z350" s="108"/>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6"/>
      <c r="BK350" s="226"/>
    </row>
    <row r="351" spans="1:63" ht="12.75" hidden="1" customHeight="1" outlineLevel="1">
      <c r="A351" s="9"/>
      <c r="B351" s="46"/>
      <c r="C351" s="132" t="str">
        <f>Asset18</f>
        <v>Land &amp; Easements (System)</v>
      </c>
      <c r="D351" s="9"/>
      <c r="E351" s="9"/>
      <c r="F351" s="144"/>
      <c r="G351" s="198">
        <f>Input!J24</f>
        <v>61.126826999999999</v>
      </c>
      <c r="H351" s="113">
        <f t="shared" si="6"/>
        <v>80.727458999999996</v>
      </c>
      <c r="I351" s="113"/>
      <c r="J351" s="113"/>
      <c r="K351" s="113"/>
      <c r="L351" s="113"/>
      <c r="M351" s="113"/>
      <c r="N351" s="113"/>
      <c r="O351" s="108"/>
      <c r="P351" s="108"/>
      <c r="Q351" s="108"/>
      <c r="R351" s="108"/>
      <c r="S351" s="102"/>
      <c r="T351" s="108"/>
      <c r="U351" s="108"/>
      <c r="V351" s="108"/>
      <c r="W351" s="108"/>
      <c r="X351" s="108"/>
      <c r="Y351" s="108"/>
      <c r="Z351" s="108"/>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6"/>
      <c r="BK351" s="226"/>
    </row>
    <row r="352" spans="1:63" ht="12.75" hidden="1" customHeight="1" outlineLevel="1">
      <c r="A352" s="9"/>
      <c r="B352" s="46"/>
      <c r="C352" s="132" t="str">
        <f>Asset19</f>
        <v>Metering Type 5-6</v>
      </c>
      <c r="D352" s="9"/>
      <c r="E352" s="9"/>
      <c r="F352" s="144"/>
      <c r="G352" s="198">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6"/>
      <c r="BK352" s="226"/>
    </row>
    <row r="353" spans="1:63" ht="12.75" hidden="1" customHeight="1" outlineLevel="1">
      <c r="A353" s="9"/>
      <c r="B353" s="46"/>
      <c r="C353" s="132" t="str">
        <f>Asset20</f>
        <v>Communications</v>
      </c>
      <c r="D353" s="9"/>
      <c r="E353" s="9"/>
      <c r="F353" s="144"/>
      <c r="G353" s="198">
        <f>Input!J26</f>
        <v>9.0331250000000001</v>
      </c>
      <c r="H353" s="113">
        <f t="shared" si="6"/>
        <v>8.0593400000000006</v>
      </c>
      <c r="I353" s="123"/>
      <c r="J353" s="123"/>
      <c r="K353" s="123"/>
      <c r="L353" s="123"/>
      <c r="M353" s="108"/>
      <c r="N353" s="108"/>
      <c r="O353" s="108"/>
      <c r="P353" s="108"/>
      <c r="Q353" s="108"/>
      <c r="R353" s="108"/>
      <c r="S353" s="102"/>
      <c r="T353" s="108"/>
      <c r="U353" s="108"/>
      <c r="V353" s="108"/>
      <c r="W353" s="108"/>
      <c r="X353" s="108"/>
      <c r="Y353" s="108"/>
      <c r="Z353" s="108"/>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6"/>
      <c r="BK353" s="226"/>
    </row>
    <row r="354" spans="1:63" ht="12.75" hidden="1" customHeight="1" outlineLevel="1">
      <c r="A354" s="9"/>
      <c r="B354" s="46"/>
      <c r="C354" s="132" t="str">
        <f>Asset21</f>
        <v>IT Systems</v>
      </c>
      <c r="D354" s="9"/>
      <c r="E354" s="9"/>
      <c r="F354" s="144"/>
      <c r="G354" s="198">
        <f>Input!J27</f>
        <v>38.095872999999997</v>
      </c>
      <c r="H354" s="113">
        <f t="shared" si="6"/>
        <v>33.398921000000001</v>
      </c>
      <c r="I354" s="123"/>
      <c r="J354" s="123"/>
      <c r="K354" s="123"/>
      <c r="L354" s="123"/>
      <c r="M354" s="108"/>
      <c r="N354" s="108"/>
      <c r="O354" s="108"/>
      <c r="P354" s="108"/>
      <c r="Q354" s="108"/>
      <c r="R354" s="108"/>
      <c r="S354" s="102"/>
      <c r="T354" s="108"/>
      <c r="U354" s="108"/>
      <c r="V354" s="108"/>
      <c r="W354" s="108"/>
      <c r="X354" s="108"/>
      <c r="Y354" s="108"/>
      <c r="Z354" s="108"/>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226"/>
      <c r="BK354" s="226"/>
    </row>
    <row r="355" spans="1:63" ht="12.75" hidden="1" customHeight="1" outlineLevel="1">
      <c r="A355" s="9"/>
      <c r="B355" s="46"/>
      <c r="C355" s="132" t="str">
        <f>Asset22</f>
        <v>Office Equipment &amp; Furniture</v>
      </c>
      <c r="D355" s="9"/>
      <c r="E355" s="9"/>
      <c r="F355" s="144"/>
      <c r="G355" s="198">
        <f>Input!J28</f>
        <v>25.818006</v>
      </c>
      <c r="H355" s="113">
        <f t="shared" si="6"/>
        <v>22.718036000000001</v>
      </c>
      <c r="I355" s="123"/>
      <c r="J355" s="123"/>
      <c r="K355" s="123"/>
      <c r="L355" s="123"/>
      <c r="M355" s="108"/>
      <c r="N355" s="108"/>
      <c r="O355" s="108"/>
      <c r="P355" s="108"/>
      <c r="Q355" s="108"/>
      <c r="R355" s="108"/>
      <c r="S355" s="102"/>
      <c r="T355" s="108"/>
      <c r="U355" s="108"/>
      <c r="V355" s="108"/>
      <c r="W355" s="108"/>
      <c r="X355" s="108"/>
      <c r="Y355" s="108"/>
      <c r="Z355" s="108"/>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6"/>
      <c r="BK355" s="226"/>
    </row>
    <row r="356" spans="1:63" ht="12.75" hidden="1" customHeight="1" outlineLevel="1">
      <c r="A356" s="9"/>
      <c r="B356" s="46"/>
      <c r="C356" s="132" t="str">
        <f>Asset23</f>
        <v>Motor Vehicles</v>
      </c>
      <c r="D356" s="9"/>
      <c r="E356" s="9"/>
      <c r="F356" s="144"/>
      <c r="G356" s="198">
        <f>Input!J29</f>
        <v>103.27366499999999</v>
      </c>
      <c r="H356" s="113">
        <f t="shared" si="6"/>
        <v>102.796655</v>
      </c>
      <c r="I356" s="123"/>
      <c r="J356" s="123"/>
      <c r="K356" s="123"/>
      <c r="L356" s="123"/>
      <c r="M356" s="108"/>
      <c r="N356" s="108"/>
      <c r="O356" s="108"/>
      <c r="P356" s="108"/>
      <c r="Q356" s="108"/>
      <c r="R356" s="108"/>
      <c r="S356" s="102"/>
      <c r="T356" s="108"/>
      <c r="U356" s="108"/>
      <c r="V356" s="108"/>
      <c r="W356" s="108"/>
      <c r="X356" s="108"/>
      <c r="Y356" s="108"/>
      <c r="Z356" s="108"/>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6"/>
      <c r="BK356" s="226"/>
    </row>
    <row r="357" spans="1:63" ht="12.75" hidden="1" customHeight="1" outlineLevel="1">
      <c r="A357" s="9"/>
      <c r="B357" s="46"/>
      <c r="C357" s="132" t="str">
        <f>Asset24</f>
        <v>Plant &amp; Equipment</v>
      </c>
      <c r="D357" s="9"/>
      <c r="E357" s="9"/>
      <c r="F357" s="144"/>
      <c r="G357" s="198">
        <f>Input!J30</f>
        <v>90.480731000000006</v>
      </c>
      <c r="H357" s="113">
        <f t="shared" si="6"/>
        <v>85.455234000000004</v>
      </c>
      <c r="I357" s="123"/>
      <c r="J357" s="123"/>
      <c r="K357" s="123"/>
      <c r="L357" s="123"/>
      <c r="M357" s="108"/>
      <c r="N357" s="108"/>
      <c r="O357" s="108"/>
      <c r="P357" s="108"/>
      <c r="Q357" s="108"/>
      <c r="R357" s="108"/>
      <c r="S357" s="102"/>
      <c r="T357" s="108"/>
      <c r="U357" s="108"/>
      <c r="V357" s="108"/>
      <c r="W357" s="108"/>
      <c r="X357" s="108"/>
      <c r="Y357" s="108"/>
      <c r="Z357" s="108"/>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226"/>
      <c r="BK357" s="226"/>
    </row>
    <row r="358" spans="1:63" ht="12.75" hidden="1" customHeight="1" outlineLevel="1">
      <c r="A358" s="9"/>
      <c r="B358" s="46"/>
      <c r="C358" s="132" t="str">
        <f>Asset25</f>
        <v>Buildings</v>
      </c>
      <c r="D358" s="9"/>
      <c r="E358" s="9"/>
      <c r="F358" s="144"/>
      <c r="G358" s="198">
        <f>Input!J31</f>
        <v>130.185092</v>
      </c>
      <c r="H358" s="113">
        <f t="shared" si="6"/>
        <v>208.170163</v>
      </c>
      <c r="I358" s="123"/>
      <c r="J358" s="123"/>
      <c r="K358" s="123"/>
      <c r="L358" s="123"/>
      <c r="M358" s="108"/>
      <c r="N358" s="108"/>
      <c r="O358" s="108"/>
      <c r="P358" s="108"/>
      <c r="Q358" s="108"/>
      <c r="R358" s="108"/>
      <c r="S358" s="102"/>
      <c r="T358" s="108"/>
      <c r="U358" s="108"/>
      <c r="V358" s="108"/>
      <c r="W358" s="108"/>
      <c r="X358" s="108"/>
      <c r="Y358" s="108"/>
      <c r="Z358" s="108"/>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6"/>
      <c r="BK358" s="226"/>
    </row>
    <row r="359" spans="1:63" ht="12.75" hidden="1" customHeight="1" outlineLevel="1">
      <c r="A359" s="9"/>
      <c r="B359" s="46"/>
      <c r="C359" s="132" t="str">
        <f>Asset26</f>
        <v>Land &amp; Easements</v>
      </c>
      <c r="D359" s="9"/>
      <c r="E359" s="9"/>
      <c r="F359" s="144"/>
      <c r="G359" s="198">
        <f>Input!J32</f>
        <v>12.977091</v>
      </c>
      <c r="H359" s="113">
        <f t="shared" si="6"/>
        <v>15.061337</v>
      </c>
      <c r="I359" s="123"/>
      <c r="J359" s="123"/>
      <c r="K359" s="123"/>
      <c r="L359" s="123"/>
      <c r="M359" s="108"/>
      <c r="N359" s="108"/>
      <c r="O359" s="108"/>
      <c r="P359" s="108"/>
      <c r="Q359" s="108"/>
      <c r="R359" s="108"/>
      <c r="S359" s="102"/>
      <c r="T359" s="108"/>
      <c r="U359" s="108"/>
      <c r="V359" s="108"/>
      <c r="W359" s="108"/>
      <c r="X359" s="108"/>
      <c r="Y359" s="108"/>
      <c r="Z359" s="108"/>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226"/>
      <c r="BK359" s="226"/>
    </row>
    <row r="360" spans="1:63" ht="12.75" hidden="1" customHeight="1" outlineLevel="1">
      <c r="A360" s="9"/>
      <c r="B360" s="46"/>
      <c r="C360" s="132" t="str">
        <f>Asset27</f>
        <v>Land Improvements</v>
      </c>
      <c r="D360" s="9"/>
      <c r="E360" s="9"/>
      <c r="F360" s="144"/>
      <c r="G360" s="198">
        <f>Input!J33</f>
        <v>11.967378999999999</v>
      </c>
      <c r="H360" s="113">
        <f t="shared" si="6"/>
        <v>12.000662999999999</v>
      </c>
      <c r="I360" s="123"/>
      <c r="J360" s="123"/>
      <c r="K360" s="123"/>
      <c r="L360" s="123"/>
      <c r="M360" s="108"/>
      <c r="N360" s="108"/>
      <c r="O360" s="108"/>
      <c r="P360" s="108"/>
      <c r="Q360" s="108"/>
      <c r="R360" s="108"/>
      <c r="S360" s="102"/>
      <c r="T360" s="108"/>
      <c r="U360" s="108"/>
      <c r="V360" s="108"/>
      <c r="W360" s="108"/>
      <c r="X360" s="108"/>
      <c r="Y360" s="108"/>
      <c r="Z360" s="108"/>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6"/>
      <c r="BK360" s="226"/>
    </row>
    <row r="361" spans="1:63" ht="12.75" hidden="1" customHeight="1" outlineLevel="1">
      <c r="A361" s="9"/>
      <c r="B361" s="46"/>
      <c r="C361" s="132" t="str">
        <f>Asset28</f>
        <v>Equity Raising Costs</v>
      </c>
      <c r="D361" s="9"/>
      <c r="E361" s="9"/>
      <c r="F361" s="144"/>
      <c r="G361" s="198">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226"/>
      <c r="BK361" s="226"/>
    </row>
    <row r="362" spans="1:63" ht="12.75" hidden="1" customHeight="1" outlineLevel="1">
      <c r="A362" s="9"/>
      <c r="B362" s="46"/>
      <c r="C362" s="132" t="str">
        <f>Asset29</f>
        <v>Not Used</v>
      </c>
      <c r="D362" s="9"/>
      <c r="E362" s="9"/>
      <c r="F362" s="144"/>
      <c r="G362" s="198">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226"/>
      <c r="BK362" s="226"/>
    </row>
    <row r="363" spans="1:63" ht="12.75" hidden="1" customHeight="1" outlineLevel="1">
      <c r="A363" s="9"/>
      <c r="B363" s="46"/>
      <c r="C363" s="132" t="str">
        <f>Asset30</f>
        <v>Not Used</v>
      </c>
      <c r="D363" s="9"/>
      <c r="E363" s="9"/>
      <c r="F363" s="144"/>
      <c r="G363" s="198">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226"/>
      <c r="BK363" s="226"/>
    </row>
    <row r="364" spans="1:63" collapsed="1">
      <c r="A364" s="9"/>
      <c r="B364" s="46"/>
      <c r="C364" s="132"/>
      <c r="D364" s="9"/>
      <c r="E364" s="9"/>
      <c r="F364" s="144"/>
      <c r="G364" s="198"/>
      <c r="H364" s="123"/>
      <c r="I364" s="123"/>
      <c r="J364" s="123"/>
      <c r="K364" s="123"/>
      <c r="L364" s="123"/>
      <c r="M364" s="108"/>
      <c r="N364" s="108"/>
      <c r="O364" s="108"/>
      <c r="P364" s="108"/>
      <c r="Q364" s="108"/>
      <c r="R364" s="108"/>
      <c r="S364" s="102"/>
      <c r="T364" s="108"/>
      <c r="U364" s="108"/>
      <c r="V364" s="108"/>
      <c r="W364" s="108"/>
      <c r="X364" s="108"/>
      <c r="Y364" s="108"/>
      <c r="Z364" s="108"/>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226"/>
      <c r="BK364" s="226"/>
    </row>
    <row r="365" spans="1:63">
      <c r="A365" s="9"/>
      <c r="B365" s="46" t="s">
        <v>45</v>
      </c>
      <c r="C365" s="9"/>
      <c r="D365" s="9"/>
      <c r="E365" s="9"/>
      <c r="F365" s="9"/>
      <c r="G365" s="199">
        <f>SUM(G366:G395)</f>
        <v>819.46485599999994</v>
      </c>
      <c r="H365" s="123"/>
      <c r="I365" s="123"/>
      <c r="J365" s="123"/>
      <c r="K365" s="123"/>
      <c r="L365" s="123"/>
      <c r="M365" s="108"/>
      <c r="N365" s="108"/>
      <c r="O365" s="108"/>
      <c r="P365" s="108"/>
      <c r="Q365" s="108"/>
      <c r="R365" s="108"/>
      <c r="S365" s="102"/>
      <c r="T365" s="108"/>
      <c r="U365" s="108"/>
      <c r="V365" s="108"/>
      <c r="W365" s="108"/>
      <c r="X365" s="108"/>
      <c r="Y365" s="108"/>
      <c r="Z365" s="108"/>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20"/>
      <c r="BJ365" s="226"/>
      <c r="BK365" s="226"/>
    </row>
    <row r="366" spans="1:63" hidden="1" outlineLevel="1">
      <c r="A366" s="9"/>
      <c r="B366" s="46"/>
      <c r="C366" s="132" t="str">
        <f>Asset1</f>
        <v>Overhead Sub-Transmission Lines</v>
      </c>
      <c r="D366" s="9"/>
      <c r="E366" s="9"/>
      <c r="F366" s="9"/>
      <c r="G366" s="201">
        <f>Input!M7</f>
        <v>62.312050999999997</v>
      </c>
      <c r="H366" s="123"/>
      <c r="I366" s="123"/>
      <c r="J366" s="123"/>
      <c r="K366" s="123"/>
      <c r="L366" s="123"/>
      <c r="M366" s="108"/>
      <c r="N366" s="108"/>
      <c r="O366" s="108"/>
      <c r="P366" s="108"/>
      <c r="Q366" s="108"/>
      <c r="R366" s="108"/>
      <c r="S366" s="102"/>
      <c r="T366" s="108"/>
      <c r="U366" s="108"/>
      <c r="V366" s="108"/>
      <c r="W366" s="108"/>
      <c r="X366" s="108"/>
      <c r="Y366" s="108"/>
      <c r="Z366" s="108"/>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226"/>
      <c r="BK366" s="226"/>
    </row>
    <row r="367" spans="1:63" hidden="1" outlineLevel="1">
      <c r="A367" s="9"/>
      <c r="B367" s="46"/>
      <c r="C367" s="132" t="str">
        <f>Asset2</f>
        <v>Underground Sub-Transmission Cables</v>
      </c>
      <c r="D367" s="9"/>
      <c r="E367" s="9"/>
      <c r="F367" s="9"/>
      <c r="G367" s="201">
        <f>Input!M8</f>
        <v>15.132374</v>
      </c>
      <c r="H367" s="123"/>
      <c r="I367" s="123"/>
      <c r="J367" s="123"/>
      <c r="K367" s="123"/>
      <c r="L367" s="123"/>
      <c r="M367" s="108"/>
      <c r="N367" s="108"/>
      <c r="O367" s="108"/>
      <c r="P367" s="108"/>
      <c r="Q367" s="108"/>
      <c r="R367" s="108"/>
      <c r="S367" s="102"/>
      <c r="T367" s="108"/>
      <c r="U367" s="108"/>
      <c r="V367" s="108"/>
      <c r="W367" s="108"/>
      <c r="X367" s="108"/>
      <c r="Y367" s="108"/>
      <c r="Z367" s="108"/>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226"/>
      <c r="BK367" s="226"/>
    </row>
    <row r="368" spans="1:63" hidden="1" outlineLevel="1">
      <c r="A368" s="9"/>
      <c r="B368" s="46"/>
      <c r="C368" s="132" t="str">
        <f>Asset3</f>
        <v>Overhead Distribution Lines</v>
      </c>
      <c r="D368" s="9"/>
      <c r="E368" s="9"/>
      <c r="F368" s="9"/>
      <c r="G368" s="201">
        <f>Input!M9</f>
        <v>136.92748700000001</v>
      </c>
      <c r="H368" s="123"/>
      <c r="I368" s="123"/>
      <c r="J368" s="123"/>
      <c r="K368" s="123"/>
      <c r="L368" s="123"/>
      <c r="M368" s="108"/>
      <c r="N368" s="108"/>
      <c r="O368" s="108"/>
      <c r="P368" s="108"/>
      <c r="Q368" s="108"/>
      <c r="R368" s="108"/>
      <c r="S368" s="102"/>
      <c r="T368" s="108"/>
      <c r="U368" s="108"/>
      <c r="V368" s="108"/>
      <c r="W368" s="108"/>
      <c r="X368" s="108"/>
      <c r="Y368" s="108"/>
      <c r="Z368" s="108"/>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226"/>
      <c r="BK368" s="226"/>
    </row>
    <row r="369" spans="1:63" hidden="1" outlineLevel="1">
      <c r="A369" s="9"/>
      <c r="B369" s="46"/>
      <c r="C369" s="132" t="str">
        <f>Asset4</f>
        <v>Underground Distribution Cables</v>
      </c>
      <c r="D369" s="9"/>
      <c r="E369" s="9"/>
      <c r="F369" s="9"/>
      <c r="G369" s="201">
        <f>Input!M10</f>
        <v>102.627076</v>
      </c>
      <c r="H369" s="123"/>
      <c r="I369" s="123"/>
      <c r="J369" s="123"/>
      <c r="K369" s="123"/>
      <c r="L369" s="123"/>
      <c r="M369" s="108"/>
      <c r="N369" s="108"/>
      <c r="O369" s="108"/>
      <c r="P369" s="108"/>
      <c r="Q369" s="108"/>
      <c r="R369" s="108"/>
      <c r="S369" s="102"/>
      <c r="T369" s="108"/>
      <c r="U369" s="108"/>
      <c r="V369" s="108"/>
      <c r="W369" s="108"/>
      <c r="X369" s="108"/>
      <c r="Y369" s="108"/>
      <c r="Z369" s="108"/>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6"/>
      <c r="BK369" s="226"/>
    </row>
    <row r="370" spans="1:63" hidden="1" outlineLevel="1">
      <c r="A370" s="9"/>
      <c r="B370" s="46"/>
      <c r="C370" s="132" t="str">
        <f>Asset5</f>
        <v xml:space="preserve">Distribution Equipment  </v>
      </c>
      <c r="D370" s="9"/>
      <c r="E370" s="9"/>
      <c r="F370" s="9"/>
      <c r="G370" s="201">
        <f>Input!M11</f>
        <v>17.737895000000002</v>
      </c>
      <c r="H370" s="123"/>
      <c r="I370" s="123"/>
      <c r="J370" s="123"/>
      <c r="K370" s="123"/>
      <c r="L370" s="123"/>
      <c r="M370" s="108"/>
      <c r="N370" s="108"/>
      <c r="O370" s="108"/>
      <c r="P370" s="108"/>
      <c r="Q370" s="108"/>
      <c r="R370" s="108"/>
      <c r="S370" s="102"/>
      <c r="T370" s="108"/>
      <c r="U370" s="108"/>
      <c r="V370" s="108"/>
      <c r="W370" s="108"/>
      <c r="X370" s="108"/>
      <c r="Y370" s="108"/>
      <c r="Z370" s="108"/>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6"/>
      <c r="BK370" s="226"/>
    </row>
    <row r="371" spans="1:63" hidden="1" outlineLevel="1">
      <c r="A371" s="9"/>
      <c r="B371" s="46"/>
      <c r="C371" s="132" t="str">
        <f>Asset6</f>
        <v>Substation Bays</v>
      </c>
      <c r="D371" s="9"/>
      <c r="E371" s="9"/>
      <c r="F371" s="9"/>
      <c r="G371" s="201">
        <f>Input!M12</f>
        <v>99.001000000000005</v>
      </c>
      <c r="H371" s="123"/>
      <c r="I371" s="123"/>
      <c r="J371" s="123"/>
      <c r="K371" s="123"/>
      <c r="L371" s="123"/>
      <c r="M371" s="108"/>
      <c r="N371" s="108"/>
      <c r="O371" s="108"/>
      <c r="P371" s="108"/>
      <c r="Q371" s="108"/>
      <c r="R371" s="108"/>
      <c r="S371" s="102"/>
      <c r="T371" s="108"/>
      <c r="U371" s="108"/>
      <c r="V371" s="108"/>
      <c r="W371" s="108"/>
      <c r="X371" s="108"/>
      <c r="Y371" s="108"/>
      <c r="Z371" s="108"/>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226"/>
      <c r="BK371" s="226"/>
    </row>
    <row r="372" spans="1:63" hidden="1" outlineLevel="1">
      <c r="A372" s="9"/>
      <c r="B372" s="46"/>
      <c r="C372" s="132" t="str">
        <f>Asset7</f>
        <v>Substation Establishment</v>
      </c>
      <c r="D372" s="9"/>
      <c r="E372" s="9"/>
      <c r="F372" s="9"/>
      <c r="G372" s="201">
        <f>Input!M13</f>
        <v>29.065453000000002</v>
      </c>
      <c r="H372" s="123"/>
      <c r="I372" s="123"/>
      <c r="J372" s="123"/>
      <c r="K372" s="123"/>
      <c r="L372" s="123"/>
      <c r="M372" s="108"/>
      <c r="N372" s="108"/>
      <c r="O372" s="108"/>
      <c r="P372" s="108"/>
      <c r="Q372" s="108"/>
      <c r="R372" s="108"/>
      <c r="S372" s="102"/>
      <c r="T372" s="108"/>
      <c r="U372" s="108"/>
      <c r="V372" s="108"/>
      <c r="W372" s="108"/>
      <c r="X372" s="108"/>
      <c r="Y372" s="108"/>
      <c r="Z372" s="108"/>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226"/>
      <c r="BK372" s="226"/>
    </row>
    <row r="373" spans="1:63" hidden="1" outlineLevel="1">
      <c r="A373" s="9"/>
      <c r="B373" s="46"/>
      <c r="C373" s="132" t="str">
        <f>Asset8</f>
        <v>Distribution Substation Switchgear</v>
      </c>
      <c r="D373" s="9"/>
      <c r="E373" s="9"/>
      <c r="F373" s="9"/>
      <c r="G373" s="201">
        <f>Input!M14</f>
        <v>6.8010479999999998</v>
      </c>
      <c r="H373" s="123"/>
      <c r="I373" s="123"/>
      <c r="J373" s="123"/>
      <c r="K373" s="123"/>
      <c r="L373" s="123"/>
      <c r="M373" s="108"/>
      <c r="N373" s="108"/>
      <c r="O373" s="108"/>
      <c r="P373" s="108"/>
      <c r="Q373" s="108"/>
      <c r="R373" s="108"/>
      <c r="S373" s="102"/>
      <c r="T373" s="108"/>
      <c r="U373" s="108"/>
      <c r="V373" s="108"/>
      <c r="W373" s="108"/>
      <c r="X373" s="108"/>
      <c r="Y373" s="108"/>
      <c r="Z373" s="108"/>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226"/>
      <c r="BK373" s="226"/>
    </row>
    <row r="374" spans="1:63" hidden="1" outlineLevel="1">
      <c r="A374" s="9"/>
      <c r="B374" s="46"/>
      <c r="C374" s="132" t="str">
        <f>Asset9</f>
        <v>Zone Transformers</v>
      </c>
      <c r="D374" s="9"/>
      <c r="E374" s="9"/>
      <c r="F374" s="9"/>
      <c r="G374" s="201">
        <f>Input!M15</f>
        <v>24.550484000000001</v>
      </c>
      <c r="H374" s="123"/>
      <c r="I374" s="123"/>
      <c r="J374" s="123"/>
      <c r="K374" s="123"/>
      <c r="L374" s="123"/>
      <c r="M374" s="108"/>
      <c r="N374" s="108"/>
      <c r="O374" s="108"/>
      <c r="P374" s="108"/>
      <c r="Q374" s="108"/>
      <c r="R374" s="108"/>
      <c r="S374" s="102"/>
      <c r="T374" s="108"/>
      <c r="U374" s="108"/>
      <c r="V374" s="108"/>
      <c r="W374" s="108"/>
      <c r="X374" s="108"/>
      <c r="Y374" s="108"/>
      <c r="Z374" s="108"/>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226"/>
      <c r="BK374" s="226"/>
    </row>
    <row r="375" spans="1:63" hidden="1" outlineLevel="1">
      <c r="A375" s="9"/>
      <c r="B375" s="46"/>
      <c r="C375" s="132" t="str">
        <f>Asset10</f>
        <v>Distribution Transformers</v>
      </c>
      <c r="D375" s="9"/>
      <c r="E375" s="9"/>
      <c r="F375" s="9"/>
      <c r="G375" s="201">
        <f>Input!M16</f>
        <v>98.858818999999997</v>
      </c>
      <c r="H375" s="123"/>
      <c r="I375" s="123"/>
      <c r="J375" s="123"/>
      <c r="K375" s="123"/>
      <c r="L375" s="123"/>
      <c r="M375" s="108"/>
      <c r="N375" s="108"/>
      <c r="O375" s="108"/>
      <c r="P375" s="108"/>
      <c r="Q375" s="108"/>
      <c r="R375" s="108"/>
      <c r="S375" s="102"/>
      <c r="T375" s="108"/>
      <c r="U375" s="108"/>
      <c r="V375" s="108"/>
      <c r="W375" s="108"/>
      <c r="X375" s="108"/>
      <c r="Y375" s="108"/>
      <c r="Z375" s="108"/>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6"/>
      <c r="BK375" s="226"/>
    </row>
    <row r="376" spans="1:63" hidden="1" outlineLevel="1">
      <c r="A376" s="9"/>
      <c r="B376" s="46"/>
      <c r="C376" s="132" t="str">
        <f>Asset11</f>
        <v>Low Voltage Services</v>
      </c>
      <c r="D376" s="9"/>
      <c r="E376" s="9"/>
      <c r="F376" s="9"/>
      <c r="G376" s="201">
        <f>Input!M17</f>
        <v>10.628287</v>
      </c>
      <c r="H376" s="123"/>
      <c r="I376" s="123"/>
      <c r="J376" s="123"/>
      <c r="K376" s="123"/>
      <c r="L376" s="123"/>
      <c r="M376" s="108"/>
      <c r="N376" s="108"/>
      <c r="O376" s="108"/>
      <c r="P376" s="108"/>
      <c r="Q376" s="108"/>
      <c r="R376" s="108"/>
      <c r="S376" s="102"/>
      <c r="T376" s="108"/>
      <c r="U376" s="108"/>
      <c r="V376" s="108"/>
      <c r="W376" s="108"/>
      <c r="X376" s="108"/>
      <c r="Y376" s="108"/>
      <c r="Z376" s="108"/>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226"/>
      <c r="BK376" s="226"/>
    </row>
    <row r="377" spans="1:63" hidden="1" outlineLevel="1">
      <c r="A377" s="9"/>
      <c r="B377" s="46"/>
      <c r="C377" s="132" t="str">
        <f>Asset12</f>
        <v>Metering</v>
      </c>
      <c r="D377" s="9"/>
      <c r="E377" s="9"/>
      <c r="F377" s="9"/>
      <c r="G377" s="201">
        <f>Input!M18</f>
        <v>13.107884</v>
      </c>
      <c r="H377" s="123"/>
      <c r="I377" s="123"/>
      <c r="J377" s="123"/>
      <c r="K377" s="123"/>
      <c r="L377" s="123"/>
      <c r="M377" s="108"/>
      <c r="N377" s="108"/>
      <c r="O377" s="108"/>
      <c r="P377" s="108"/>
      <c r="Q377" s="108"/>
      <c r="R377" s="108"/>
      <c r="S377" s="102"/>
      <c r="T377" s="108"/>
      <c r="U377" s="108"/>
      <c r="V377" s="108"/>
      <c r="W377" s="108"/>
      <c r="X377" s="108"/>
      <c r="Y377" s="108"/>
      <c r="Z377" s="108"/>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226"/>
      <c r="BK377" s="226"/>
    </row>
    <row r="378" spans="1:63" hidden="1" outlineLevel="1">
      <c r="A378" s="9"/>
      <c r="B378" s="46"/>
      <c r="C378" s="132" t="str">
        <f>Asset13</f>
        <v xml:space="preserve">Communications – Pilot Wires </v>
      </c>
      <c r="D378" s="9"/>
      <c r="E378" s="9"/>
      <c r="F378" s="9"/>
      <c r="G378" s="201">
        <f>Input!M19</f>
        <v>38.635668000000003</v>
      </c>
      <c r="H378" s="123"/>
      <c r="I378" s="123"/>
      <c r="J378" s="123"/>
      <c r="K378" s="123"/>
      <c r="L378" s="123"/>
      <c r="M378" s="108"/>
      <c r="N378" s="108"/>
      <c r="O378" s="108"/>
      <c r="P378" s="108"/>
      <c r="Q378" s="108"/>
      <c r="R378" s="108"/>
      <c r="S378" s="102"/>
      <c r="T378" s="108"/>
      <c r="U378" s="108"/>
      <c r="V378" s="108"/>
      <c r="W378" s="108"/>
      <c r="X378" s="108"/>
      <c r="Y378" s="108"/>
      <c r="Z378" s="108"/>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6"/>
      <c r="BK378" s="226"/>
    </row>
    <row r="379" spans="1:63" hidden="1" outlineLevel="1">
      <c r="A379" s="9"/>
      <c r="B379" s="46"/>
      <c r="C379" s="132" t="str">
        <f>Asset14</f>
        <v>Generation Assets</v>
      </c>
      <c r="D379" s="9"/>
      <c r="E379" s="9"/>
      <c r="F379" s="9"/>
      <c r="G379" s="201">
        <f>Input!M20</f>
        <v>6.9191000000000003E-2</v>
      </c>
      <c r="H379" s="123"/>
      <c r="I379" s="123"/>
      <c r="J379" s="123"/>
      <c r="K379" s="123"/>
      <c r="L379" s="123"/>
      <c r="M379" s="108"/>
      <c r="N379" s="108"/>
      <c r="O379" s="108"/>
      <c r="P379" s="108"/>
      <c r="Q379" s="108"/>
      <c r="R379" s="108"/>
      <c r="S379" s="102"/>
      <c r="T379" s="108"/>
      <c r="U379" s="108"/>
      <c r="V379" s="108"/>
      <c r="W379" s="108"/>
      <c r="X379" s="108"/>
      <c r="Y379" s="108"/>
      <c r="Z379" s="108"/>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226"/>
      <c r="BK379" s="226"/>
    </row>
    <row r="380" spans="1:63" hidden="1" outlineLevel="1">
      <c r="A380" s="9"/>
      <c r="B380" s="46"/>
      <c r="C380" s="132" t="str">
        <f>Asset15</f>
        <v>Street Lighting</v>
      </c>
      <c r="D380" s="9"/>
      <c r="E380" s="9"/>
      <c r="F380" s="9"/>
      <c r="G380" s="201">
        <f>Input!M21</f>
        <v>0</v>
      </c>
      <c r="H380" s="123"/>
      <c r="I380" s="123"/>
      <c r="J380" s="123"/>
      <c r="K380" s="123"/>
      <c r="L380" s="123"/>
      <c r="M380" s="108"/>
      <c r="N380" s="108"/>
      <c r="O380" s="108"/>
      <c r="P380" s="108"/>
      <c r="Q380" s="108"/>
      <c r="R380" s="108"/>
      <c r="S380" s="102"/>
      <c r="T380" s="108"/>
      <c r="U380" s="108"/>
      <c r="V380" s="108"/>
      <c r="W380" s="108"/>
      <c r="X380" s="108"/>
      <c r="Y380" s="108"/>
      <c r="Z380" s="108"/>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226"/>
      <c r="BK380" s="226"/>
    </row>
    <row r="381" spans="1:63" hidden="1" outlineLevel="1">
      <c r="A381" s="9"/>
      <c r="B381" s="46"/>
      <c r="C381" s="132" t="str">
        <f>Asset16</f>
        <v>Other Equipment</v>
      </c>
      <c r="D381" s="9"/>
      <c r="E381" s="9"/>
      <c r="F381" s="9"/>
      <c r="G381" s="201">
        <f>Input!M22</f>
        <v>0.14513599999999999</v>
      </c>
      <c r="H381" s="123"/>
      <c r="I381" s="123"/>
      <c r="J381" s="123"/>
      <c r="K381" s="123"/>
      <c r="L381" s="123"/>
      <c r="M381" s="108"/>
      <c r="N381" s="108"/>
      <c r="O381" s="108"/>
      <c r="P381" s="108"/>
      <c r="Q381" s="108"/>
      <c r="R381" s="108"/>
      <c r="S381" s="102"/>
      <c r="T381" s="108"/>
      <c r="U381" s="108"/>
      <c r="V381" s="108"/>
      <c r="W381" s="108"/>
      <c r="X381" s="108"/>
      <c r="Y381" s="108"/>
      <c r="Z381" s="108"/>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226"/>
      <c r="BK381" s="226"/>
    </row>
    <row r="382" spans="1:63" hidden="1" outlineLevel="1">
      <c r="A382" s="9"/>
      <c r="B382" s="46"/>
      <c r="C382" s="132" t="str">
        <f>Asset17</f>
        <v>Control Centre - SCADA</v>
      </c>
      <c r="D382" s="9"/>
      <c r="E382" s="9"/>
      <c r="F382" s="9"/>
      <c r="G382" s="201">
        <f>Input!M23</f>
        <v>10.50159</v>
      </c>
      <c r="H382" s="123"/>
      <c r="I382" s="123"/>
      <c r="J382" s="123"/>
      <c r="K382" s="123"/>
      <c r="L382" s="123"/>
      <c r="M382" s="108"/>
      <c r="N382" s="108"/>
      <c r="O382" s="108"/>
      <c r="P382" s="108"/>
      <c r="Q382" s="108"/>
      <c r="R382" s="108"/>
      <c r="S382" s="102"/>
      <c r="T382" s="108"/>
      <c r="U382" s="108"/>
      <c r="V382" s="108"/>
      <c r="W382" s="108"/>
      <c r="X382" s="108"/>
      <c r="Y382" s="108"/>
      <c r="Z382" s="108"/>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226"/>
      <c r="BK382" s="226"/>
    </row>
    <row r="383" spans="1:63" hidden="1" outlineLevel="1">
      <c r="A383" s="9"/>
      <c r="B383" s="46"/>
      <c r="C383" s="132" t="str">
        <f>Asset18</f>
        <v>Land &amp; Easements (System)</v>
      </c>
      <c r="D383" s="9"/>
      <c r="E383" s="9"/>
      <c r="F383" s="9"/>
      <c r="G383" s="201">
        <f>Input!M24</f>
        <v>17.834067000000001</v>
      </c>
      <c r="H383" s="123"/>
      <c r="I383" s="123"/>
      <c r="J383" s="123"/>
      <c r="K383" s="123"/>
      <c r="L383" s="123"/>
      <c r="M383" s="108"/>
      <c r="N383" s="108"/>
      <c r="O383" s="108"/>
      <c r="P383" s="108"/>
      <c r="Q383" s="108"/>
      <c r="R383" s="108"/>
      <c r="S383" s="102"/>
      <c r="T383" s="108"/>
      <c r="U383" s="108"/>
      <c r="V383" s="108"/>
      <c r="W383" s="108"/>
      <c r="X383" s="108"/>
      <c r="Y383" s="108"/>
      <c r="Z383" s="108"/>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226"/>
      <c r="BK383" s="226"/>
    </row>
    <row r="384" spans="1:63" hidden="1" outlineLevel="1">
      <c r="A384" s="9"/>
      <c r="B384" s="46"/>
      <c r="C384" s="132" t="str">
        <f>Asset19</f>
        <v>Metering Type 5-6</v>
      </c>
      <c r="D384" s="9"/>
      <c r="E384" s="9"/>
      <c r="F384" s="9"/>
      <c r="G384" s="201">
        <f>Input!M25</f>
        <v>0</v>
      </c>
      <c r="H384" s="123"/>
      <c r="I384" s="123"/>
      <c r="J384" s="123"/>
      <c r="K384" s="123"/>
      <c r="L384" s="123"/>
      <c r="M384" s="108"/>
      <c r="N384" s="108"/>
      <c r="O384" s="108"/>
      <c r="P384" s="108"/>
      <c r="Q384" s="108"/>
      <c r="R384" s="108"/>
      <c r="S384" s="102"/>
      <c r="T384" s="108"/>
      <c r="U384" s="108"/>
      <c r="V384" s="108"/>
      <c r="W384" s="108"/>
      <c r="X384" s="108"/>
      <c r="Y384" s="108"/>
      <c r="Z384" s="108"/>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6"/>
      <c r="BK384" s="226"/>
    </row>
    <row r="385" spans="1:63" hidden="1" outlineLevel="1">
      <c r="A385" s="9"/>
      <c r="B385" s="46"/>
      <c r="C385" s="132" t="str">
        <f>Asset20</f>
        <v>Communications</v>
      </c>
      <c r="D385" s="9"/>
      <c r="E385" s="9"/>
      <c r="F385" s="9"/>
      <c r="G385" s="201">
        <f>Input!M26</f>
        <v>-4.1692E-2</v>
      </c>
      <c r="H385" s="123"/>
      <c r="I385" s="123"/>
      <c r="J385" s="123"/>
      <c r="K385" s="123"/>
      <c r="L385" s="123"/>
      <c r="M385" s="108"/>
      <c r="N385" s="108"/>
      <c r="O385" s="108"/>
      <c r="P385" s="108"/>
      <c r="Q385" s="108"/>
      <c r="R385" s="108"/>
      <c r="S385" s="102"/>
      <c r="T385" s="108"/>
      <c r="U385" s="108"/>
      <c r="V385" s="108"/>
      <c r="W385" s="108"/>
      <c r="X385" s="108"/>
      <c r="Y385" s="108"/>
      <c r="Z385" s="108"/>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6"/>
      <c r="BK385" s="226"/>
    </row>
    <row r="386" spans="1:63" hidden="1" outlineLevel="1">
      <c r="A386" s="9"/>
      <c r="B386" s="46"/>
      <c r="C386" s="132" t="str">
        <f>Asset21</f>
        <v>IT Systems</v>
      </c>
      <c r="D386" s="9"/>
      <c r="E386" s="9"/>
      <c r="F386" s="9"/>
      <c r="G386" s="201">
        <f>Input!M27</f>
        <v>13.518427000000001</v>
      </c>
      <c r="H386" s="123"/>
      <c r="I386" s="123"/>
      <c r="J386" s="123"/>
      <c r="K386" s="123"/>
      <c r="L386" s="123"/>
      <c r="M386" s="108"/>
      <c r="N386" s="108"/>
      <c r="O386" s="108"/>
      <c r="P386" s="108"/>
      <c r="Q386" s="108"/>
      <c r="R386" s="108"/>
      <c r="S386" s="102"/>
      <c r="T386" s="108"/>
      <c r="U386" s="108"/>
      <c r="V386" s="108"/>
      <c r="W386" s="108"/>
      <c r="X386" s="108"/>
      <c r="Y386" s="108"/>
      <c r="Z386" s="108"/>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226"/>
      <c r="BK386" s="226"/>
    </row>
    <row r="387" spans="1:63" hidden="1" outlineLevel="1">
      <c r="A387" s="9"/>
      <c r="B387" s="46"/>
      <c r="C387" s="132" t="str">
        <f>Asset22</f>
        <v>Office Equipment &amp; Furniture</v>
      </c>
      <c r="D387" s="9"/>
      <c r="E387" s="9"/>
      <c r="F387" s="9"/>
      <c r="G387" s="201">
        <f>Input!M28</f>
        <v>0.31394100000000003</v>
      </c>
      <c r="H387" s="123"/>
      <c r="I387" s="123"/>
      <c r="J387" s="123"/>
      <c r="K387" s="123"/>
      <c r="L387" s="123"/>
      <c r="M387" s="108"/>
      <c r="N387" s="108"/>
      <c r="O387" s="108"/>
      <c r="P387" s="108"/>
      <c r="Q387" s="108"/>
      <c r="R387" s="108"/>
      <c r="S387" s="102"/>
      <c r="T387" s="108"/>
      <c r="U387" s="108"/>
      <c r="V387" s="108"/>
      <c r="W387" s="108"/>
      <c r="X387" s="108"/>
      <c r="Y387" s="108"/>
      <c r="Z387" s="108"/>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226"/>
      <c r="BK387" s="226"/>
    </row>
    <row r="388" spans="1:63" hidden="1" outlineLevel="1">
      <c r="A388" s="9"/>
      <c r="B388" s="46"/>
      <c r="C388" s="132" t="str">
        <f>Asset23</f>
        <v>Motor Vehicles</v>
      </c>
      <c r="D388" s="9"/>
      <c r="E388" s="9"/>
      <c r="F388" s="9"/>
      <c r="G388" s="201">
        <f>Input!M29</f>
        <v>25.332986999999999</v>
      </c>
      <c r="H388" s="123"/>
      <c r="I388" s="123"/>
      <c r="J388" s="123"/>
      <c r="K388" s="123"/>
      <c r="L388" s="123"/>
      <c r="M388" s="108"/>
      <c r="N388" s="108"/>
      <c r="O388" s="108"/>
      <c r="P388" s="108"/>
      <c r="Q388" s="108"/>
      <c r="R388" s="108"/>
      <c r="S388" s="102"/>
      <c r="T388" s="108"/>
      <c r="U388" s="108"/>
      <c r="V388" s="108"/>
      <c r="W388" s="108"/>
      <c r="X388" s="108"/>
      <c r="Y388" s="108"/>
      <c r="Z388" s="108"/>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226"/>
      <c r="BK388" s="226"/>
    </row>
    <row r="389" spans="1:63" hidden="1" outlineLevel="1">
      <c r="A389" s="9"/>
      <c r="B389" s="46"/>
      <c r="C389" s="132" t="str">
        <f>Asset24</f>
        <v>Plant &amp; Equipment</v>
      </c>
      <c r="D389" s="9"/>
      <c r="E389" s="9"/>
      <c r="F389" s="9"/>
      <c r="G389" s="201">
        <f>Input!M30</f>
        <v>7.2461000000000002</v>
      </c>
      <c r="H389" s="123"/>
      <c r="I389" s="123"/>
      <c r="J389" s="123"/>
      <c r="K389" s="123"/>
      <c r="L389" s="123"/>
      <c r="M389" s="108"/>
      <c r="N389" s="108"/>
      <c r="O389" s="108"/>
      <c r="P389" s="108"/>
      <c r="Q389" s="108"/>
      <c r="R389" s="108"/>
      <c r="S389" s="102"/>
      <c r="T389" s="108"/>
      <c r="U389" s="108"/>
      <c r="V389" s="108"/>
      <c r="W389" s="108"/>
      <c r="X389" s="108"/>
      <c r="Y389" s="108"/>
      <c r="Z389" s="108"/>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226"/>
      <c r="BK389" s="226"/>
    </row>
    <row r="390" spans="1:63" hidden="1" outlineLevel="1">
      <c r="A390" s="9"/>
      <c r="B390" s="46"/>
      <c r="C390" s="132" t="str">
        <f>Asset25</f>
        <v>Buildings</v>
      </c>
      <c r="D390" s="9"/>
      <c r="E390" s="9"/>
      <c r="F390" s="9"/>
      <c r="G390" s="201">
        <f>Input!M31</f>
        <v>87.450374999999994</v>
      </c>
      <c r="H390" s="123"/>
      <c r="I390" s="123"/>
      <c r="J390" s="123"/>
      <c r="K390" s="123"/>
      <c r="L390" s="123"/>
      <c r="M390" s="108"/>
      <c r="N390" s="108"/>
      <c r="O390" s="108"/>
      <c r="P390" s="108"/>
      <c r="Q390" s="108"/>
      <c r="R390" s="108"/>
      <c r="S390" s="102"/>
      <c r="T390" s="108"/>
      <c r="U390" s="108"/>
      <c r="V390" s="108"/>
      <c r="W390" s="108"/>
      <c r="X390" s="108"/>
      <c r="Y390" s="108"/>
      <c r="Z390" s="108"/>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226"/>
      <c r="BK390" s="226"/>
    </row>
    <row r="391" spans="1:63" hidden="1" outlineLevel="1">
      <c r="A391" s="9"/>
      <c r="B391" s="46"/>
      <c r="C391" s="132" t="str">
        <f>Asset26</f>
        <v>Land &amp; Easements</v>
      </c>
      <c r="D391" s="9"/>
      <c r="E391" s="9"/>
      <c r="F391" s="9"/>
      <c r="G391" s="201">
        <f>Input!M32</f>
        <v>1.7092080000000001</v>
      </c>
      <c r="H391" s="123"/>
      <c r="I391" s="123"/>
      <c r="J391" s="123"/>
      <c r="K391" s="123"/>
      <c r="L391" s="123"/>
      <c r="M391" s="108"/>
      <c r="N391" s="108"/>
      <c r="O391" s="108"/>
      <c r="P391" s="108"/>
      <c r="Q391" s="108"/>
      <c r="R391" s="108"/>
      <c r="S391" s="102"/>
      <c r="T391" s="108"/>
      <c r="U391" s="108"/>
      <c r="V391" s="108"/>
      <c r="W391" s="108"/>
      <c r="X391" s="108"/>
      <c r="Y391" s="108"/>
      <c r="Z391" s="108"/>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226"/>
      <c r="BK391" s="226"/>
    </row>
    <row r="392" spans="1:63" hidden="1" outlineLevel="1">
      <c r="A392" s="9"/>
      <c r="B392" s="46"/>
      <c r="C392" s="132" t="str">
        <f>Asset27</f>
        <v>Land Improvements</v>
      </c>
      <c r="D392" s="9"/>
      <c r="E392" s="9"/>
      <c r="F392" s="9"/>
      <c r="G392" s="201">
        <f>Input!M33</f>
        <v>0</v>
      </c>
      <c r="H392" s="123"/>
      <c r="I392" s="123"/>
      <c r="J392" s="123"/>
      <c r="K392" s="123"/>
      <c r="L392" s="123"/>
      <c r="M392" s="108"/>
      <c r="N392" s="108"/>
      <c r="O392" s="108"/>
      <c r="P392" s="108"/>
      <c r="Q392" s="108"/>
      <c r="R392" s="108"/>
      <c r="S392" s="102"/>
      <c r="T392" s="108"/>
      <c r="U392" s="108"/>
      <c r="V392" s="108"/>
      <c r="W392" s="108"/>
      <c r="X392" s="108"/>
      <c r="Y392" s="108"/>
      <c r="Z392" s="108"/>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6"/>
      <c r="BK392" s="226"/>
    </row>
    <row r="393" spans="1:63" hidden="1" outlineLevel="1">
      <c r="A393" s="9"/>
      <c r="B393" s="46"/>
      <c r="C393" s="132" t="str">
        <f>Asset28</f>
        <v>Equity Raising Costs</v>
      </c>
      <c r="D393" s="9"/>
      <c r="E393" s="9"/>
      <c r="F393" s="9"/>
      <c r="G393" s="201">
        <f>Input!M34</f>
        <v>0</v>
      </c>
      <c r="H393" s="123"/>
      <c r="I393" s="123"/>
      <c r="J393" s="123"/>
      <c r="K393" s="123"/>
      <c r="L393" s="123"/>
      <c r="M393" s="108"/>
      <c r="N393" s="108"/>
      <c r="O393" s="108"/>
      <c r="P393" s="108"/>
      <c r="Q393" s="108"/>
      <c r="R393" s="108"/>
      <c r="S393" s="102"/>
      <c r="T393" s="108"/>
      <c r="U393" s="108"/>
      <c r="V393" s="108"/>
      <c r="W393" s="108"/>
      <c r="X393" s="108"/>
      <c r="Y393" s="108"/>
      <c r="Z393" s="108"/>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226"/>
      <c r="BK393" s="226"/>
    </row>
    <row r="394" spans="1:63" hidden="1" outlineLevel="1">
      <c r="A394" s="9"/>
      <c r="B394" s="46"/>
      <c r="C394" s="132" t="str">
        <f>Asset29</f>
        <v>Not Used</v>
      </c>
      <c r="D394" s="9"/>
      <c r="E394" s="9"/>
      <c r="F394" s="9"/>
      <c r="G394" s="201">
        <f>Input!M35</f>
        <v>0</v>
      </c>
      <c r="H394" s="123"/>
      <c r="I394" s="123"/>
      <c r="J394" s="123"/>
      <c r="K394" s="123"/>
      <c r="L394" s="123"/>
      <c r="M394" s="108"/>
      <c r="N394" s="108"/>
      <c r="O394" s="108"/>
      <c r="P394" s="108"/>
      <c r="Q394" s="108"/>
      <c r="R394" s="108"/>
      <c r="S394" s="102"/>
      <c r="T394" s="108"/>
      <c r="U394" s="108"/>
      <c r="V394" s="108"/>
      <c r="W394" s="108"/>
      <c r="X394" s="108"/>
      <c r="Y394" s="108"/>
      <c r="Z394" s="108"/>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6"/>
      <c r="BK394" s="226"/>
    </row>
    <row r="395" spans="1:63" hidden="1" outlineLevel="1">
      <c r="A395" s="9"/>
      <c r="B395" s="46"/>
      <c r="C395" s="132" t="str">
        <f>Asset30</f>
        <v>Not Used</v>
      </c>
      <c r="D395" s="9"/>
      <c r="E395" s="9"/>
      <c r="F395" s="9"/>
      <c r="G395" s="201">
        <f>Input!M36</f>
        <v>0</v>
      </c>
      <c r="H395" s="123"/>
      <c r="I395" s="123"/>
      <c r="J395" s="123"/>
      <c r="K395" s="123"/>
      <c r="L395" s="123"/>
      <c r="M395" s="108"/>
      <c r="N395" s="108"/>
      <c r="O395" s="108"/>
      <c r="P395" s="108"/>
      <c r="Q395" s="108"/>
      <c r="R395" s="108"/>
      <c r="S395" s="102"/>
      <c r="T395" s="108"/>
      <c r="U395" s="108"/>
      <c r="V395" s="108"/>
      <c r="W395" s="108"/>
      <c r="X395" s="108"/>
      <c r="Y395" s="108"/>
      <c r="Z395" s="108"/>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226"/>
      <c r="BK395" s="226"/>
    </row>
    <row r="396" spans="1:63" collapsed="1">
      <c r="A396" s="9"/>
      <c r="B396" s="46"/>
      <c r="C396" s="116"/>
      <c r="D396" s="9"/>
      <c r="E396" s="9"/>
      <c r="F396" s="28"/>
      <c r="G396" s="202"/>
      <c r="H396" s="123"/>
      <c r="I396" s="123"/>
      <c r="J396" s="123"/>
      <c r="K396" s="123"/>
      <c r="L396" s="123"/>
      <c r="M396" s="108"/>
      <c r="N396" s="108"/>
      <c r="O396" s="108"/>
      <c r="P396" s="108"/>
      <c r="Q396" s="108"/>
      <c r="R396" s="108"/>
      <c r="S396" s="108"/>
      <c r="T396" s="108"/>
      <c r="U396" s="108"/>
      <c r="V396" s="108"/>
      <c r="W396" s="108"/>
      <c r="X396" s="108"/>
      <c r="Y396" s="108"/>
      <c r="Z396" s="108"/>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226"/>
      <c r="BK396" s="226"/>
    </row>
    <row r="397" spans="1:63">
      <c r="A397" s="9"/>
      <c r="B397" s="91" t="s">
        <v>74</v>
      </c>
      <c r="C397" s="12"/>
      <c r="D397" s="9"/>
      <c r="E397" s="9"/>
      <c r="F397" s="9"/>
      <c r="G397" s="199">
        <f>SUM(G398:G427)</f>
        <v>-123.15428200000001</v>
      </c>
      <c r="H397" s="123"/>
      <c r="I397" s="123"/>
      <c r="J397" s="123"/>
      <c r="K397" s="123"/>
      <c r="L397" s="123"/>
      <c r="M397" s="108"/>
      <c r="N397" s="108"/>
      <c r="O397" s="108"/>
      <c r="P397" s="108"/>
      <c r="Q397" s="108"/>
      <c r="R397" s="108"/>
      <c r="S397" s="108"/>
      <c r="T397" s="108"/>
      <c r="U397" s="108"/>
      <c r="V397" s="108"/>
      <c r="W397" s="108"/>
      <c r="X397" s="108"/>
      <c r="Y397" s="108"/>
      <c r="Z397" s="108"/>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226"/>
      <c r="BK397" s="226"/>
    </row>
    <row r="398" spans="1:63" ht="12.75" hidden="1" customHeight="1" outlineLevel="1">
      <c r="A398" s="9"/>
      <c r="B398" s="46"/>
      <c r="C398" s="132" t="str">
        <f>Asset1</f>
        <v>Overhead Sub-Transmission Lines</v>
      </c>
      <c r="D398" s="9"/>
      <c r="E398" s="9"/>
      <c r="F398" s="28"/>
      <c r="G398" s="201">
        <f>-Input!N7</f>
        <v>0.62614300000000001</v>
      </c>
      <c r="H398" s="123"/>
      <c r="I398" s="123"/>
      <c r="J398" s="123"/>
      <c r="K398" s="123"/>
      <c r="L398" s="123"/>
      <c r="M398" s="108"/>
      <c r="N398" s="108"/>
      <c r="O398" s="108"/>
      <c r="P398" s="108"/>
      <c r="Q398" s="108"/>
      <c r="R398" s="108"/>
      <c r="S398" s="108"/>
      <c r="T398" s="108"/>
      <c r="U398" s="108"/>
      <c r="V398" s="108"/>
      <c r="W398" s="108"/>
      <c r="X398" s="108"/>
      <c r="Y398" s="108"/>
      <c r="Z398" s="108"/>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6"/>
      <c r="BK398" s="226"/>
    </row>
    <row r="399" spans="1:63" ht="12.75" hidden="1" customHeight="1" outlineLevel="1">
      <c r="A399" s="9"/>
      <c r="B399" s="46"/>
      <c r="C399" s="132" t="str">
        <f>Asset2</f>
        <v>Underground Sub-Transmission Cables</v>
      </c>
      <c r="D399" s="9"/>
      <c r="E399" s="9"/>
      <c r="F399" s="28"/>
      <c r="G399" s="201">
        <f>-Input!N8</f>
        <v>-0.75538400000000006</v>
      </c>
      <c r="H399" s="123"/>
      <c r="I399" s="123"/>
      <c r="J399" s="123"/>
      <c r="K399" s="123"/>
      <c r="L399" s="123"/>
      <c r="M399" s="108"/>
      <c r="N399" s="108"/>
      <c r="O399" s="108"/>
      <c r="P399" s="108"/>
      <c r="Q399" s="108"/>
      <c r="R399" s="108"/>
      <c r="S399" s="108"/>
      <c r="T399" s="108"/>
      <c r="U399" s="108"/>
      <c r="V399" s="108"/>
      <c r="W399" s="108"/>
      <c r="X399" s="108"/>
      <c r="Y399" s="108"/>
      <c r="Z399" s="108"/>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226"/>
      <c r="BK399" s="226"/>
    </row>
    <row r="400" spans="1:63" ht="12.75" hidden="1" customHeight="1" outlineLevel="1">
      <c r="A400" s="9"/>
      <c r="B400" s="46"/>
      <c r="C400" s="132" t="str">
        <f>Asset3</f>
        <v>Overhead Distribution Lines</v>
      </c>
      <c r="D400" s="9"/>
      <c r="E400" s="9"/>
      <c r="F400" s="28"/>
      <c r="G400" s="201">
        <f>-Input!N9</f>
        <v>0.99518300000000004</v>
      </c>
      <c r="H400" s="123"/>
      <c r="I400" s="123"/>
      <c r="J400" s="123"/>
      <c r="K400" s="123"/>
      <c r="L400" s="123"/>
      <c r="M400" s="108"/>
      <c r="N400" s="108"/>
      <c r="O400" s="108"/>
      <c r="P400" s="108"/>
      <c r="Q400" s="108"/>
      <c r="R400" s="108"/>
      <c r="S400" s="108"/>
      <c r="T400" s="108"/>
      <c r="U400" s="108"/>
      <c r="V400" s="108"/>
      <c r="W400" s="108"/>
      <c r="X400" s="108"/>
      <c r="Y400" s="108"/>
      <c r="Z400" s="108"/>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226"/>
      <c r="BK400" s="226"/>
    </row>
    <row r="401" spans="1:63" ht="12.75" hidden="1" customHeight="1" outlineLevel="1">
      <c r="A401" s="9"/>
      <c r="B401" s="46"/>
      <c r="C401" s="132" t="str">
        <f>Asset4</f>
        <v>Underground Distribution Cables</v>
      </c>
      <c r="D401" s="9"/>
      <c r="E401" s="9"/>
      <c r="F401" s="28"/>
      <c r="G401" s="201">
        <f>-Input!N10</f>
        <v>3.878371</v>
      </c>
      <c r="H401" s="123"/>
      <c r="I401" s="123"/>
      <c r="J401" s="123"/>
      <c r="K401" s="123"/>
      <c r="L401" s="123"/>
      <c r="M401" s="108"/>
      <c r="N401" s="108"/>
      <c r="O401" s="108"/>
      <c r="P401" s="108"/>
      <c r="Q401" s="108"/>
      <c r="R401" s="108"/>
      <c r="S401" s="108"/>
      <c r="T401" s="108"/>
      <c r="U401" s="108"/>
      <c r="V401" s="108"/>
      <c r="W401" s="108"/>
      <c r="X401" s="108"/>
      <c r="Y401" s="108"/>
      <c r="Z401" s="108"/>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6"/>
      <c r="BK401" s="226"/>
    </row>
    <row r="402" spans="1:63" ht="12.75" hidden="1" customHeight="1" outlineLevel="1">
      <c r="A402" s="9"/>
      <c r="B402" s="46"/>
      <c r="C402" s="132" t="str">
        <f>Asset5</f>
        <v xml:space="preserve">Distribution Equipment  </v>
      </c>
      <c r="D402" s="9"/>
      <c r="E402" s="9"/>
      <c r="F402" s="28"/>
      <c r="G402" s="201">
        <f>-Input!N11</f>
        <v>-1.4445380000000001</v>
      </c>
      <c r="H402" s="123"/>
      <c r="I402" s="123"/>
      <c r="J402" s="123"/>
      <c r="K402" s="123"/>
      <c r="L402" s="123"/>
      <c r="M402" s="108"/>
      <c r="N402" s="108"/>
      <c r="O402" s="108"/>
      <c r="P402" s="108"/>
      <c r="Q402" s="108"/>
      <c r="R402" s="108"/>
      <c r="S402" s="108"/>
      <c r="T402" s="108"/>
      <c r="U402" s="108"/>
      <c r="V402" s="108"/>
      <c r="W402" s="108"/>
      <c r="X402" s="108"/>
      <c r="Y402" s="108"/>
      <c r="Z402" s="108"/>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226"/>
      <c r="BK402" s="226"/>
    </row>
    <row r="403" spans="1:63" ht="12.75" hidden="1" customHeight="1" outlineLevel="1">
      <c r="A403" s="9"/>
      <c r="B403" s="46"/>
      <c r="C403" s="132" t="str">
        <f>Asset6</f>
        <v>Substation Bays</v>
      </c>
      <c r="D403" s="9"/>
      <c r="E403" s="9"/>
      <c r="F403" s="28"/>
      <c r="G403" s="201">
        <f>-Input!N12</f>
        <v>-1.326967</v>
      </c>
      <c r="H403" s="123"/>
      <c r="I403" s="123"/>
      <c r="J403" s="123"/>
      <c r="K403" s="123"/>
      <c r="L403" s="123"/>
      <c r="M403" s="108"/>
      <c r="N403" s="108"/>
      <c r="O403" s="108"/>
      <c r="P403" s="108"/>
      <c r="Q403" s="108"/>
      <c r="R403" s="108"/>
      <c r="S403" s="108"/>
      <c r="T403" s="108"/>
      <c r="U403" s="108"/>
      <c r="V403" s="108"/>
      <c r="W403" s="108"/>
      <c r="X403" s="108"/>
      <c r="Y403" s="108"/>
      <c r="Z403" s="108"/>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226"/>
      <c r="BK403" s="226"/>
    </row>
    <row r="404" spans="1:63" ht="12.75" hidden="1" customHeight="1" outlineLevel="1">
      <c r="A404" s="9"/>
      <c r="B404" s="46"/>
      <c r="C404" s="132" t="str">
        <f>Asset7</f>
        <v>Substation Establishment</v>
      </c>
      <c r="D404" s="9"/>
      <c r="E404" s="9"/>
      <c r="F404" s="28"/>
      <c r="G404" s="201">
        <f>-Input!N13</f>
        <v>-0.96549200000000002</v>
      </c>
      <c r="H404" s="123"/>
      <c r="I404" s="123"/>
      <c r="J404" s="123"/>
      <c r="K404" s="123"/>
      <c r="L404" s="123"/>
      <c r="M404" s="108"/>
      <c r="N404" s="108"/>
      <c r="O404" s="108"/>
      <c r="P404" s="108"/>
      <c r="Q404" s="108"/>
      <c r="R404" s="108"/>
      <c r="S404" s="108"/>
      <c r="T404" s="108"/>
      <c r="U404" s="108"/>
      <c r="V404" s="108"/>
      <c r="W404" s="108"/>
      <c r="X404" s="108"/>
      <c r="Y404" s="108"/>
      <c r="Z404" s="108"/>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226"/>
      <c r="BK404" s="226"/>
    </row>
    <row r="405" spans="1:63" ht="12.75" hidden="1" customHeight="1" outlineLevel="1">
      <c r="A405" s="9"/>
      <c r="B405" s="46"/>
      <c r="C405" s="132" t="str">
        <f>Asset8</f>
        <v>Distribution Substation Switchgear</v>
      </c>
      <c r="D405" s="9"/>
      <c r="E405" s="9"/>
      <c r="F405" s="28"/>
      <c r="G405" s="201">
        <f>-Input!N14</f>
        <v>8.4524000000000002E-2</v>
      </c>
      <c r="H405" s="123"/>
      <c r="I405" s="123"/>
      <c r="J405" s="123"/>
      <c r="K405" s="123"/>
      <c r="L405" s="123"/>
      <c r="M405" s="108"/>
      <c r="N405" s="108"/>
      <c r="O405" s="108"/>
      <c r="P405" s="108"/>
      <c r="Q405" s="108"/>
      <c r="R405" s="108"/>
      <c r="S405" s="108"/>
      <c r="T405" s="108"/>
      <c r="U405" s="108"/>
      <c r="V405" s="108"/>
      <c r="W405" s="108"/>
      <c r="X405" s="108"/>
      <c r="Y405" s="108"/>
      <c r="Z405" s="108"/>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6"/>
      <c r="BK405" s="226"/>
    </row>
    <row r="406" spans="1:63" ht="12.75" hidden="1" customHeight="1" outlineLevel="1">
      <c r="A406" s="9"/>
      <c r="B406" s="46"/>
      <c r="C406" s="132" t="str">
        <f>Asset9</f>
        <v>Zone Transformers</v>
      </c>
      <c r="D406" s="9"/>
      <c r="E406" s="9"/>
      <c r="F406" s="28"/>
      <c r="G406" s="201">
        <f>-Input!N15</f>
        <v>-1.7081459999999999</v>
      </c>
      <c r="H406" s="123"/>
      <c r="I406" s="123"/>
      <c r="J406" s="123"/>
      <c r="K406" s="123"/>
      <c r="L406" s="123"/>
      <c r="M406" s="108"/>
      <c r="N406" s="108"/>
      <c r="O406" s="108"/>
      <c r="P406" s="108"/>
      <c r="Q406" s="108"/>
      <c r="R406" s="108"/>
      <c r="S406" s="108"/>
      <c r="T406" s="108"/>
      <c r="U406" s="108"/>
      <c r="V406" s="108"/>
      <c r="W406" s="108"/>
      <c r="X406" s="108"/>
      <c r="Y406" s="108"/>
      <c r="Z406" s="108"/>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226"/>
      <c r="BK406" s="226"/>
    </row>
    <row r="407" spans="1:63" ht="12.75" hidden="1" customHeight="1" outlineLevel="1">
      <c r="A407" s="9"/>
      <c r="B407" s="46"/>
      <c r="C407" s="132" t="str">
        <f>Asset10</f>
        <v>Distribution Transformers</v>
      </c>
      <c r="D407" s="9"/>
      <c r="E407" s="9"/>
      <c r="F407" s="28"/>
      <c r="G407" s="201">
        <f>-Input!N16</f>
        <v>-12.470083000000001</v>
      </c>
      <c r="H407" s="123"/>
      <c r="I407" s="123"/>
      <c r="J407" s="123"/>
      <c r="K407" s="123"/>
      <c r="L407" s="123"/>
      <c r="M407" s="108"/>
      <c r="N407" s="108"/>
      <c r="O407" s="108"/>
      <c r="P407" s="108"/>
      <c r="Q407" s="108"/>
      <c r="R407" s="108"/>
      <c r="S407" s="108"/>
      <c r="T407" s="108"/>
      <c r="U407" s="108"/>
      <c r="V407" s="108"/>
      <c r="W407" s="108"/>
      <c r="X407" s="108"/>
      <c r="Y407" s="108"/>
      <c r="Z407" s="108"/>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226"/>
      <c r="BK407" s="226"/>
    </row>
    <row r="408" spans="1:63" ht="12.75" hidden="1" customHeight="1" outlineLevel="1">
      <c r="A408" s="9"/>
      <c r="B408" s="46"/>
      <c r="C408" s="132" t="str">
        <f>Asset11</f>
        <v>Low Voltage Services</v>
      </c>
      <c r="D408" s="9"/>
      <c r="E408" s="9"/>
      <c r="F408" s="28"/>
      <c r="G408" s="201">
        <f>-Input!N17</f>
        <v>-21.383807000000001</v>
      </c>
      <c r="H408" s="123"/>
      <c r="I408" s="123"/>
      <c r="J408" s="123"/>
      <c r="K408" s="123"/>
      <c r="L408" s="123"/>
      <c r="M408" s="108"/>
      <c r="N408" s="108"/>
      <c r="O408" s="108"/>
      <c r="P408" s="108"/>
      <c r="Q408" s="108"/>
      <c r="R408" s="108"/>
      <c r="S408" s="108"/>
      <c r="T408" s="108"/>
      <c r="U408" s="108"/>
      <c r="V408" s="108"/>
      <c r="W408" s="108"/>
      <c r="X408" s="108"/>
      <c r="Y408" s="108"/>
      <c r="Z408" s="108"/>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226"/>
      <c r="BK408" s="226"/>
    </row>
    <row r="409" spans="1:63" ht="12.75" hidden="1" customHeight="1" outlineLevel="1">
      <c r="A409" s="9"/>
      <c r="B409" s="46"/>
      <c r="C409" s="132" t="str">
        <f>Asset12</f>
        <v>Metering</v>
      </c>
      <c r="D409" s="9"/>
      <c r="E409" s="9"/>
      <c r="F409" s="28"/>
      <c r="G409" s="201">
        <f>-Input!N18</f>
        <v>-10.447558000000001</v>
      </c>
      <c r="H409" s="123"/>
      <c r="I409" s="123"/>
      <c r="J409" s="123"/>
      <c r="K409" s="123"/>
      <c r="L409" s="123"/>
      <c r="M409" s="108"/>
      <c r="N409" s="108"/>
      <c r="O409" s="108"/>
      <c r="P409" s="108"/>
      <c r="Q409" s="108"/>
      <c r="R409" s="108"/>
      <c r="S409" s="108"/>
      <c r="T409" s="108"/>
      <c r="U409" s="108"/>
      <c r="V409" s="108"/>
      <c r="W409" s="108"/>
      <c r="X409" s="108"/>
      <c r="Y409" s="108"/>
      <c r="Z409" s="108"/>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226"/>
      <c r="BK409" s="226"/>
    </row>
    <row r="410" spans="1:63" ht="12.75" hidden="1" customHeight="1" outlineLevel="1">
      <c r="A410" s="9"/>
      <c r="B410" s="46"/>
      <c r="C410" s="132" t="str">
        <f>Asset13</f>
        <v xml:space="preserve">Communications – Pilot Wires </v>
      </c>
      <c r="D410" s="9"/>
      <c r="E410" s="9"/>
      <c r="F410" s="28"/>
      <c r="G410" s="201">
        <f>-Input!N19</f>
        <v>-1.5611219999999999</v>
      </c>
      <c r="H410" s="123"/>
      <c r="I410" s="123"/>
      <c r="J410" s="123"/>
      <c r="K410" s="123"/>
      <c r="L410" s="123"/>
      <c r="M410" s="108"/>
      <c r="N410" s="108"/>
      <c r="O410" s="108"/>
      <c r="P410" s="108"/>
      <c r="Q410" s="108"/>
      <c r="R410" s="108"/>
      <c r="S410" s="108"/>
      <c r="T410" s="108"/>
      <c r="U410" s="108"/>
      <c r="V410" s="108"/>
      <c r="W410" s="108"/>
      <c r="X410" s="108"/>
      <c r="Y410" s="108"/>
      <c r="Z410" s="108"/>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6"/>
      <c r="BK410" s="226"/>
    </row>
    <row r="411" spans="1:63" ht="12.75" hidden="1" customHeight="1" outlineLevel="1">
      <c r="A411" s="9"/>
      <c r="B411" s="46"/>
      <c r="C411" s="132" t="str">
        <f>Asset14</f>
        <v>Generation Assets</v>
      </c>
      <c r="D411" s="9"/>
      <c r="E411" s="9"/>
      <c r="F411" s="28"/>
      <c r="G411" s="201">
        <f>-Input!N20</f>
        <v>-0.48629899999999998</v>
      </c>
      <c r="H411" s="123"/>
      <c r="I411" s="123"/>
      <c r="J411" s="123"/>
      <c r="K411" s="123"/>
      <c r="L411" s="123"/>
      <c r="M411" s="108"/>
      <c r="N411" s="108"/>
      <c r="O411" s="108"/>
      <c r="P411" s="108"/>
      <c r="Q411" s="108"/>
      <c r="R411" s="108"/>
      <c r="S411" s="108"/>
      <c r="T411" s="108"/>
      <c r="U411" s="108"/>
      <c r="V411" s="108"/>
      <c r="W411" s="108"/>
      <c r="X411" s="108"/>
      <c r="Y411" s="108"/>
      <c r="Z411" s="108"/>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226"/>
      <c r="BK411" s="226"/>
    </row>
    <row r="412" spans="1:63" ht="12.75" hidden="1" customHeight="1" outlineLevel="1">
      <c r="A412" s="9"/>
      <c r="B412" s="46"/>
      <c r="C412" s="132" t="str">
        <f>Asset15</f>
        <v>Street Lighting</v>
      </c>
      <c r="D412" s="9"/>
      <c r="E412" s="9"/>
      <c r="F412" s="28"/>
      <c r="G412" s="201">
        <f>-Input!N21</f>
        <v>0</v>
      </c>
      <c r="H412" s="123"/>
      <c r="I412" s="123"/>
      <c r="J412" s="123"/>
      <c r="K412" s="123"/>
      <c r="L412" s="123"/>
      <c r="M412" s="108"/>
      <c r="N412" s="108"/>
      <c r="O412" s="108"/>
      <c r="P412" s="108"/>
      <c r="Q412" s="108"/>
      <c r="R412" s="108"/>
      <c r="S412" s="108"/>
      <c r="T412" s="108"/>
      <c r="U412" s="108"/>
      <c r="V412" s="108"/>
      <c r="W412" s="108"/>
      <c r="X412" s="108"/>
      <c r="Y412" s="108"/>
      <c r="Z412" s="108"/>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6"/>
      <c r="BK412" s="226"/>
    </row>
    <row r="413" spans="1:63" ht="12.75" hidden="1" customHeight="1" outlineLevel="1">
      <c r="A413" s="9"/>
      <c r="B413" s="46"/>
      <c r="C413" s="132" t="str">
        <f>Asset16</f>
        <v>Other Equipment</v>
      </c>
      <c r="D413" s="9"/>
      <c r="E413" s="9"/>
      <c r="F413" s="28"/>
      <c r="G413" s="201">
        <f>-Input!N22</f>
        <v>4.3449000000000002E-2</v>
      </c>
      <c r="H413" s="123"/>
      <c r="I413" s="123"/>
      <c r="J413" s="123"/>
      <c r="K413" s="123"/>
      <c r="L413" s="123"/>
      <c r="M413" s="108"/>
      <c r="N413" s="108"/>
      <c r="O413" s="108"/>
      <c r="P413" s="108"/>
      <c r="Q413" s="108"/>
      <c r="R413" s="108"/>
      <c r="S413" s="108"/>
      <c r="T413" s="108"/>
      <c r="U413" s="108"/>
      <c r="V413" s="108"/>
      <c r="W413" s="108"/>
      <c r="X413" s="108"/>
      <c r="Y413" s="108"/>
      <c r="Z413" s="108"/>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226"/>
      <c r="BK413" s="226"/>
    </row>
    <row r="414" spans="1:63" ht="12.75" hidden="1" customHeight="1" outlineLevel="1">
      <c r="A414" s="9"/>
      <c r="B414" s="46"/>
      <c r="C414" s="132" t="str">
        <f>Asset17</f>
        <v>Control Centre - SCADA</v>
      </c>
      <c r="D414" s="9"/>
      <c r="E414" s="9"/>
      <c r="F414" s="28"/>
      <c r="G414" s="201">
        <f>-Input!N23</f>
        <v>-8.2991620000000008</v>
      </c>
      <c r="H414" s="123"/>
      <c r="I414" s="123"/>
      <c r="J414" s="123"/>
      <c r="K414" s="123"/>
      <c r="L414" s="123"/>
      <c r="M414" s="108"/>
      <c r="N414" s="108"/>
      <c r="O414" s="108"/>
      <c r="P414" s="108"/>
      <c r="Q414" s="108"/>
      <c r="R414" s="108"/>
      <c r="S414" s="108"/>
      <c r="T414" s="108"/>
      <c r="U414" s="108"/>
      <c r="V414" s="108"/>
      <c r="W414" s="108"/>
      <c r="X414" s="108"/>
      <c r="Y414" s="108"/>
      <c r="Z414" s="108"/>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226"/>
      <c r="BK414" s="226"/>
    </row>
    <row r="415" spans="1:63" ht="12.75" hidden="1" customHeight="1" outlineLevel="1">
      <c r="A415" s="9"/>
      <c r="B415" s="46"/>
      <c r="C415" s="132" t="str">
        <f>Asset18</f>
        <v>Land &amp; Easements (System)</v>
      </c>
      <c r="D415" s="9"/>
      <c r="E415" s="9"/>
      <c r="F415" s="28"/>
      <c r="G415" s="201">
        <f>-Input!N24</f>
        <v>1.7665649999999999</v>
      </c>
      <c r="H415" s="123"/>
      <c r="I415" s="123"/>
      <c r="J415" s="123"/>
      <c r="K415" s="123"/>
      <c r="L415" s="123"/>
      <c r="M415" s="108"/>
      <c r="N415" s="108"/>
      <c r="O415" s="108"/>
      <c r="P415" s="108"/>
      <c r="Q415" s="108"/>
      <c r="R415" s="108"/>
      <c r="S415" s="108"/>
      <c r="T415" s="108"/>
      <c r="U415" s="108"/>
      <c r="V415" s="108"/>
      <c r="W415" s="108"/>
      <c r="X415" s="108"/>
      <c r="Y415" s="108"/>
      <c r="Z415" s="108"/>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226"/>
      <c r="BK415" s="226"/>
    </row>
    <row r="416" spans="1:63" ht="12.75" hidden="1" customHeight="1" outlineLevel="1">
      <c r="A416" s="9"/>
      <c r="B416" s="46"/>
      <c r="C416" s="132" t="str">
        <f>Asset19</f>
        <v>Metering Type 5-6</v>
      </c>
      <c r="D416" s="9"/>
      <c r="E416" s="9"/>
      <c r="F416" s="28"/>
      <c r="G416" s="201">
        <f>-Input!N25</f>
        <v>0</v>
      </c>
      <c r="H416" s="123"/>
      <c r="I416" s="123"/>
      <c r="J416" s="123"/>
      <c r="K416" s="123"/>
      <c r="L416" s="123"/>
      <c r="M416" s="108"/>
      <c r="N416" s="108"/>
      <c r="O416" s="108"/>
      <c r="P416" s="108"/>
      <c r="Q416" s="108"/>
      <c r="R416" s="108"/>
      <c r="S416" s="108"/>
      <c r="T416" s="108"/>
      <c r="U416" s="108"/>
      <c r="V416" s="108"/>
      <c r="W416" s="108"/>
      <c r="X416" s="108"/>
      <c r="Y416" s="108"/>
      <c r="Z416" s="108"/>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226"/>
      <c r="BK416" s="226"/>
    </row>
    <row r="417" spans="1:63" ht="12.75" hidden="1" customHeight="1" outlineLevel="1">
      <c r="A417" s="9"/>
      <c r="B417" s="46"/>
      <c r="C417" s="132" t="str">
        <f>Asset20</f>
        <v>Communications</v>
      </c>
      <c r="D417" s="9"/>
      <c r="E417" s="9"/>
      <c r="F417" s="28"/>
      <c r="G417" s="201">
        <f>-Input!N26</f>
        <v>-0.93209299999999995</v>
      </c>
      <c r="H417" s="123"/>
      <c r="I417" s="123"/>
      <c r="J417" s="123"/>
      <c r="K417" s="123"/>
      <c r="L417" s="123"/>
      <c r="M417" s="108"/>
      <c r="N417" s="108"/>
      <c r="O417" s="108"/>
      <c r="P417" s="108"/>
      <c r="Q417" s="108"/>
      <c r="R417" s="108"/>
      <c r="S417" s="108"/>
      <c r="T417" s="108"/>
      <c r="U417" s="108"/>
      <c r="V417" s="108"/>
      <c r="W417" s="108"/>
      <c r="X417" s="108"/>
      <c r="Y417" s="108"/>
      <c r="Z417" s="108"/>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226"/>
      <c r="BK417" s="226"/>
    </row>
    <row r="418" spans="1:63" ht="12.75" hidden="1" customHeight="1" outlineLevel="1">
      <c r="A418" s="9"/>
      <c r="B418" s="46"/>
      <c r="C418" s="132" t="str">
        <f>Asset21</f>
        <v>IT Systems</v>
      </c>
      <c r="D418" s="9"/>
      <c r="E418" s="9"/>
      <c r="F418" s="28"/>
      <c r="G418" s="201">
        <f>-Input!N27</f>
        <v>-18.215378999999999</v>
      </c>
      <c r="H418" s="123"/>
      <c r="I418" s="123"/>
      <c r="J418" s="123"/>
      <c r="K418" s="123"/>
      <c r="L418" s="123"/>
      <c r="M418" s="108"/>
      <c r="N418" s="108"/>
      <c r="O418" s="108"/>
      <c r="P418" s="108"/>
      <c r="Q418" s="108"/>
      <c r="R418" s="108"/>
      <c r="S418" s="108"/>
      <c r="T418" s="108"/>
      <c r="U418" s="108"/>
      <c r="V418" s="108"/>
      <c r="W418" s="108"/>
      <c r="X418" s="108"/>
      <c r="Y418" s="108"/>
      <c r="Z418" s="108"/>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226"/>
      <c r="BK418" s="226"/>
    </row>
    <row r="419" spans="1:63" ht="12.75" hidden="1" customHeight="1" outlineLevel="1">
      <c r="A419" s="9"/>
      <c r="B419" s="46"/>
      <c r="C419" s="132" t="str">
        <f>Asset22</f>
        <v>Office Equipment &amp; Furniture</v>
      </c>
      <c r="D419" s="9"/>
      <c r="E419" s="9"/>
      <c r="F419" s="28"/>
      <c r="G419" s="201">
        <f>-Input!N28</f>
        <v>-3.4139110000000001</v>
      </c>
      <c r="H419" s="123"/>
      <c r="I419" s="123"/>
      <c r="J419" s="123"/>
      <c r="K419" s="123"/>
      <c r="L419" s="123"/>
      <c r="M419" s="108"/>
      <c r="N419" s="108"/>
      <c r="O419" s="108"/>
      <c r="P419" s="108"/>
      <c r="Q419" s="108"/>
      <c r="R419" s="108"/>
      <c r="S419" s="108"/>
      <c r="T419" s="108"/>
      <c r="U419" s="108"/>
      <c r="V419" s="108"/>
      <c r="W419" s="108"/>
      <c r="X419" s="108"/>
      <c r="Y419" s="108"/>
      <c r="Z419" s="108"/>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226"/>
      <c r="BK419" s="226"/>
    </row>
    <row r="420" spans="1:63" ht="12.75" hidden="1" customHeight="1" outlineLevel="1">
      <c r="A420" s="9"/>
      <c r="B420" s="46"/>
      <c r="C420" s="132" t="str">
        <f>Asset23</f>
        <v>Motor Vehicles</v>
      </c>
      <c r="D420" s="9"/>
      <c r="E420" s="9"/>
      <c r="F420" s="28"/>
      <c r="G420" s="201">
        <f>-Input!N29</f>
        <v>-25.809996999999999</v>
      </c>
      <c r="H420" s="123"/>
      <c r="I420" s="123"/>
      <c r="J420" s="123"/>
      <c r="K420" s="123"/>
      <c r="L420" s="123"/>
      <c r="M420" s="108"/>
      <c r="N420" s="108"/>
      <c r="O420" s="108"/>
      <c r="P420" s="108"/>
      <c r="Q420" s="108"/>
      <c r="R420" s="108"/>
      <c r="S420" s="108"/>
      <c r="T420" s="108"/>
      <c r="U420" s="108"/>
      <c r="V420" s="108"/>
      <c r="W420" s="108"/>
      <c r="X420" s="108"/>
      <c r="Y420" s="108"/>
      <c r="Z420" s="108"/>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226"/>
      <c r="BK420" s="226"/>
    </row>
    <row r="421" spans="1:63" ht="12.75" hidden="1" customHeight="1" outlineLevel="1">
      <c r="A421" s="9"/>
      <c r="B421" s="46"/>
      <c r="C421" s="132" t="str">
        <f>Asset24</f>
        <v>Plant &amp; Equipment</v>
      </c>
      <c r="D421" s="9"/>
      <c r="E421" s="9"/>
      <c r="F421" s="28"/>
      <c r="G421" s="201">
        <f>-Input!N30</f>
        <v>-12.271597</v>
      </c>
      <c r="H421" s="123"/>
      <c r="I421" s="123"/>
      <c r="J421" s="123"/>
      <c r="K421" s="123"/>
      <c r="L421" s="123"/>
      <c r="M421" s="108"/>
      <c r="N421" s="108"/>
      <c r="O421" s="108"/>
      <c r="P421" s="108"/>
      <c r="Q421" s="108"/>
      <c r="R421" s="108"/>
      <c r="S421" s="108"/>
      <c r="T421" s="108"/>
      <c r="U421" s="108"/>
      <c r="V421" s="108"/>
      <c r="W421" s="108"/>
      <c r="X421" s="108"/>
      <c r="Y421" s="108"/>
      <c r="Z421" s="108"/>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6"/>
      <c r="BK421" s="226"/>
    </row>
    <row r="422" spans="1:63" ht="12.75" hidden="1" customHeight="1" outlineLevel="1">
      <c r="A422" s="9"/>
      <c r="B422" s="46"/>
      <c r="C422" s="132" t="str">
        <f>Asset25</f>
        <v>Buildings</v>
      </c>
      <c r="D422" s="9"/>
      <c r="E422" s="9"/>
      <c r="F422" s="28"/>
      <c r="G422" s="201">
        <f>-Input!N31</f>
        <v>-9.4653039999999997</v>
      </c>
      <c r="H422" s="123"/>
      <c r="I422" s="123"/>
      <c r="J422" s="123"/>
      <c r="K422" s="123"/>
      <c r="L422" s="123"/>
      <c r="M422" s="108"/>
      <c r="N422" s="108"/>
      <c r="O422" s="108"/>
      <c r="P422" s="108"/>
      <c r="Q422" s="108"/>
      <c r="R422" s="108"/>
      <c r="S422" s="108"/>
      <c r="T422" s="108"/>
      <c r="U422" s="108"/>
      <c r="V422" s="108"/>
      <c r="W422" s="108"/>
      <c r="X422" s="108"/>
      <c r="Y422" s="108"/>
      <c r="Z422" s="108"/>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6"/>
      <c r="BK422" s="226"/>
    </row>
    <row r="423" spans="1:63" ht="12.75" hidden="1" customHeight="1" outlineLevel="1">
      <c r="A423" s="9"/>
      <c r="B423" s="46"/>
      <c r="C423" s="132" t="str">
        <f>Asset26</f>
        <v>Land &amp; Easements</v>
      </c>
      <c r="D423" s="9"/>
      <c r="E423" s="9"/>
      <c r="F423" s="28"/>
      <c r="G423" s="201">
        <f>-Input!N32</f>
        <v>0.37503799999999998</v>
      </c>
      <c r="H423" s="123"/>
      <c r="I423" s="123"/>
      <c r="J423" s="123"/>
      <c r="K423" s="123"/>
      <c r="L423" s="123"/>
      <c r="M423" s="108"/>
      <c r="N423" s="108"/>
      <c r="O423" s="108"/>
      <c r="P423" s="108"/>
      <c r="Q423" s="108"/>
      <c r="R423" s="108"/>
      <c r="S423" s="108"/>
      <c r="T423" s="108"/>
      <c r="U423" s="108"/>
      <c r="V423" s="108"/>
      <c r="W423" s="108"/>
      <c r="X423" s="108"/>
      <c r="Y423" s="108"/>
      <c r="Z423" s="108"/>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6"/>
      <c r="BK423" s="226"/>
    </row>
    <row r="424" spans="1:63" ht="12.75" hidden="1" customHeight="1" outlineLevel="1">
      <c r="A424" s="9"/>
      <c r="B424" s="46"/>
      <c r="C424" s="132" t="str">
        <f>Asset27</f>
        <v>Land Improvements</v>
      </c>
      <c r="D424" s="9"/>
      <c r="E424" s="9"/>
      <c r="F424" s="28"/>
      <c r="G424" s="201">
        <f>-Input!N33</f>
        <v>3.3284000000000001E-2</v>
      </c>
      <c r="H424" s="123"/>
      <c r="I424" s="123"/>
      <c r="J424" s="123"/>
      <c r="K424" s="123"/>
      <c r="L424" s="123"/>
      <c r="M424" s="108"/>
      <c r="N424" s="108"/>
      <c r="O424" s="108"/>
      <c r="P424" s="108"/>
      <c r="Q424" s="108"/>
      <c r="R424" s="108"/>
      <c r="S424" s="108"/>
      <c r="T424" s="108"/>
      <c r="U424" s="108"/>
      <c r="V424" s="108"/>
      <c r="W424" s="108"/>
      <c r="X424" s="108"/>
      <c r="Y424" s="108"/>
      <c r="Z424" s="108"/>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6"/>
      <c r="BK424" s="226"/>
    </row>
    <row r="425" spans="1:63" ht="12.75" hidden="1" customHeight="1" outlineLevel="1">
      <c r="A425" s="9"/>
      <c r="B425" s="46"/>
      <c r="C425" s="132" t="str">
        <f>Asset28</f>
        <v>Equity Raising Costs</v>
      </c>
      <c r="D425" s="9"/>
      <c r="E425" s="9"/>
      <c r="F425" s="28"/>
      <c r="G425" s="201">
        <f>-Input!N34</f>
        <v>0</v>
      </c>
      <c r="H425" s="123"/>
      <c r="I425" s="123"/>
      <c r="J425" s="123"/>
      <c r="K425" s="123"/>
      <c r="L425" s="123"/>
      <c r="M425" s="108"/>
      <c r="N425" s="108"/>
      <c r="O425" s="108"/>
      <c r="P425" s="108"/>
      <c r="Q425" s="108"/>
      <c r="R425" s="108"/>
      <c r="S425" s="108"/>
      <c r="T425" s="108"/>
      <c r="U425" s="108"/>
      <c r="V425" s="108"/>
      <c r="W425" s="108"/>
      <c r="X425" s="108"/>
      <c r="Y425" s="108"/>
      <c r="Z425" s="108"/>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226"/>
      <c r="BK425" s="226"/>
    </row>
    <row r="426" spans="1:63" ht="12.75" hidden="1" customHeight="1" outlineLevel="1">
      <c r="A426" s="9"/>
      <c r="B426" s="46"/>
      <c r="C426" s="132" t="str">
        <f>Asset29</f>
        <v>Not Used</v>
      </c>
      <c r="D426" s="9"/>
      <c r="E426" s="9"/>
      <c r="F426" s="28"/>
      <c r="G426" s="201">
        <f>-Input!N35</f>
        <v>0</v>
      </c>
      <c r="H426" s="123"/>
      <c r="I426" s="123"/>
      <c r="J426" s="123"/>
      <c r="K426" s="123"/>
      <c r="L426" s="123"/>
      <c r="M426" s="108"/>
      <c r="N426" s="108"/>
      <c r="O426" s="108"/>
      <c r="P426" s="108"/>
      <c r="Q426" s="108"/>
      <c r="R426" s="108"/>
      <c r="S426" s="108"/>
      <c r="T426" s="108"/>
      <c r="U426" s="108"/>
      <c r="V426" s="108"/>
      <c r="W426" s="108"/>
      <c r="X426" s="108"/>
      <c r="Y426" s="108"/>
      <c r="Z426" s="108"/>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6"/>
      <c r="BK426" s="226"/>
    </row>
    <row r="427" spans="1:63" ht="12.75" hidden="1" customHeight="1" outlineLevel="1">
      <c r="A427" s="9"/>
      <c r="B427" s="46"/>
      <c r="C427" s="132" t="str">
        <f>Asset30</f>
        <v>Not Used</v>
      </c>
      <c r="D427" s="9"/>
      <c r="E427" s="9"/>
      <c r="F427" s="28"/>
      <c r="G427" s="201">
        <f>-Input!N36</f>
        <v>0</v>
      </c>
      <c r="H427" s="123"/>
      <c r="I427" s="123"/>
      <c r="J427" s="123"/>
      <c r="K427" s="123"/>
      <c r="L427" s="123"/>
      <c r="M427" s="108"/>
      <c r="N427" s="108"/>
      <c r="O427" s="108"/>
      <c r="P427" s="108"/>
      <c r="Q427" s="108"/>
      <c r="R427" s="108"/>
      <c r="S427" s="108"/>
      <c r="T427" s="108"/>
      <c r="U427" s="108"/>
      <c r="V427" s="108"/>
      <c r="W427" s="108"/>
      <c r="X427" s="108"/>
      <c r="Y427" s="108"/>
      <c r="Z427" s="108"/>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226"/>
      <c r="BK427" s="226"/>
    </row>
    <row r="428" spans="1:63" collapsed="1">
      <c r="A428" s="9"/>
      <c r="B428" s="46"/>
      <c r="C428" s="132"/>
      <c r="D428" s="9"/>
      <c r="E428" s="9"/>
      <c r="F428" s="28"/>
      <c r="G428" s="202"/>
      <c r="H428" s="123"/>
      <c r="I428" s="123"/>
      <c r="J428" s="123"/>
      <c r="K428" s="123"/>
      <c r="L428" s="123"/>
      <c r="M428" s="108"/>
      <c r="N428" s="108"/>
      <c r="O428" s="108"/>
      <c r="P428" s="108"/>
      <c r="Q428" s="108"/>
      <c r="R428" s="108"/>
      <c r="S428" s="108"/>
      <c r="T428" s="108"/>
      <c r="U428" s="108"/>
      <c r="V428" s="108"/>
      <c r="W428" s="108"/>
      <c r="X428" s="108"/>
      <c r="Y428" s="108"/>
      <c r="Z428" s="108"/>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226"/>
      <c r="BK428" s="226"/>
    </row>
    <row r="429" spans="1:63">
      <c r="A429" s="9"/>
      <c r="B429" s="46" t="s">
        <v>53</v>
      </c>
      <c r="C429" s="132"/>
      <c r="D429" s="9"/>
      <c r="E429" s="9"/>
      <c r="F429" s="144"/>
      <c r="G429" s="200">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226"/>
      <c r="BK429" s="226"/>
    </row>
    <row r="430" spans="1:63" hidden="1" outlineLevel="1">
      <c r="A430" s="9"/>
      <c r="B430" s="9"/>
      <c r="C430" s="132" t="str">
        <f>Asset1</f>
        <v>Overhead Sub-Transmission Lines</v>
      </c>
      <c r="D430" s="9"/>
      <c r="E430" s="9"/>
      <c r="F430" s="144"/>
      <c r="G430" s="198">
        <f>Input!O7</f>
        <v>0</v>
      </c>
      <c r="H430" s="123"/>
      <c r="I430" s="123"/>
      <c r="J430" s="123"/>
      <c r="K430" s="123"/>
      <c r="L430" s="123"/>
      <c r="M430" s="108"/>
      <c r="N430" s="108"/>
      <c r="O430" s="108"/>
      <c r="P430" s="108"/>
      <c r="Q430" s="108"/>
      <c r="R430" s="108"/>
      <c r="S430" s="108"/>
      <c r="T430" s="108"/>
      <c r="U430" s="108"/>
      <c r="V430" s="108"/>
      <c r="W430" s="108"/>
      <c r="X430" s="108"/>
      <c r="Y430" s="108"/>
      <c r="Z430" s="108"/>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226"/>
      <c r="BK430" s="226"/>
    </row>
    <row r="431" spans="1:63" hidden="1" outlineLevel="1">
      <c r="A431" s="9"/>
      <c r="B431" s="46"/>
      <c r="C431" s="132" t="str">
        <f>Asset2</f>
        <v>Underground Sub-Transmission Cables</v>
      </c>
      <c r="D431" s="9"/>
      <c r="E431" s="9"/>
      <c r="F431" s="144"/>
      <c r="G431" s="198">
        <f>Input!O8</f>
        <v>0</v>
      </c>
      <c r="H431" s="123"/>
      <c r="I431" s="123"/>
      <c r="J431" s="123"/>
      <c r="K431" s="123"/>
      <c r="L431" s="123"/>
      <c r="M431" s="108"/>
      <c r="N431" s="108"/>
      <c r="O431" s="108"/>
      <c r="P431" s="108"/>
      <c r="Q431" s="108"/>
      <c r="R431" s="108"/>
      <c r="S431" s="108"/>
      <c r="T431" s="108"/>
      <c r="U431" s="108"/>
      <c r="V431" s="108"/>
      <c r="W431" s="108"/>
      <c r="X431" s="108"/>
      <c r="Y431" s="108"/>
      <c r="Z431" s="108"/>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226"/>
      <c r="BK431" s="226"/>
    </row>
    <row r="432" spans="1:63" hidden="1" outlineLevel="1">
      <c r="A432" s="9"/>
      <c r="B432" s="46"/>
      <c r="C432" s="132" t="str">
        <f>Asset3</f>
        <v>Overhead Distribution Lines</v>
      </c>
      <c r="D432" s="9"/>
      <c r="E432" s="9"/>
      <c r="F432" s="144"/>
      <c r="G432" s="198">
        <f>Input!O9</f>
        <v>0</v>
      </c>
      <c r="H432" s="123"/>
      <c r="I432" s="123"/>
      <c r="J432" s="123"/>
      <c r="K432" s="123"/>
      <c r="L432" s="123"/>
      <c r="M432" s="108"/>
      <c r="N432" s="108"/>
      <c r="O432" s="108"/>
      <c r="P432" s="108"/>
      <c r="Q432" s="108"/>
      <c r="R432" s="108"/>
      <c r="S432" s="108"/>
      <c r="T432" s="108"/>
      <c r="U432" s="108"/>
      <c r="V432" s="108"/>
      <c r="W432" s="108"/>
      <c r="X432" s="108"/>
      <c r="Y432" s="108"/>
      <c r="Z432" s="108"/>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6"/>
      <c r="BK432" s="226"/>
    </row>
    <row r="433" spans="1:63" hidden="1" outlineLevel="1">
      <c r="A433" s="9"/>
      <c r="B433" s="46"/>
      <c r="C433" s="132" t="str">
        <f>Asset4</f>
        <v>Underground Distribution Cables</v>
      </c>
      <c r="D433" s="9"/>
      <c r="E433" s="9"/>
      <c r="F433" s="144"/>
      <c r="G433" s="198">
        <f>Input!O10</f>
        <v>0</v>
      </c>
      <c r="H433" s="123"/>
      <c r="I433" s="123"/>
      <c r="J433" s="123"/>
      <c r="K433" s="123"/>
      <c r="L433" s="123"/>
      <c r="M433" s="108"/>
      <c r="N433" s="108"/>
      <c r="O433" s="108"/>
      <c r="P433" s="108"/>
      <c r="Q433" s="108"/>
      <c r="R433" s="108"/>
      <c r="S433" s="108"/>
      <c r="T433" s="108"/>
      <c r="U433" s="108"/>
      <c r="V433" s="108"/>
      <c r="W433" s="108"/>
      <c r="X433" s="108"/>
      <c r="Y433" s="108"/>
      <c r="Z433" s="108"/>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226"/>
      <c r="BK433" s="226"/>
    </row>
    <row r="434" spans="1:63" hidden="1" outlineLevel="1">
      <c r="A434" s="9"/>
      <c r="B434" s="46"/>
      <c r="C434" s="132" t="str">
        <f>Asset5</f>
        <v xml:space="preserve">Distribution Equipment  </v>
      </c>
      <c r="D434" s="9"/>
      <c r="E434" s="9"/>
      <c r="F434" s="144"/>
      <c r="G434" s="198">
        <f>Input!O11</f>
        <v>0</v>
      </c>
      <c r="H434" s="123"/>
      <c r="I434" s="123"/>
      <c r="J434" s="123"/>
      <c r="K434" s="123"/>
      <c r="L434" s="123"/>
      <c r="M434" s="108"/>
      <c r="N434" s="108"/>
      <c r="O434" s="108"/>
      <c r="P434" s="108"/>
      <c r="Q434" s="108"/>
      <c r="R434" s="108"/>
      <c r="S434" s="108"/>
      <c r="T434" s="108"/>
      <c r="U434" s="108"/>
      <c r="V434" s="108"/>
      <c r="W434" s="108"/>
      <c r="X434" s="108"/>
      <c r="Y434" s="108"/>
      <c r="Z434" s="108"/>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226"/>
      <c r="BK434" s="226"/>
    </row>
    <row r="435" spans="1:63" hidden="1" outlineLevel="1">
      <c r="A435" s="9"/>
      <c r="B435" s="46"/>
      <c r="C435" s="132" t="str">
        <f>Asset6</f>
        <v>Substation Bays</v>
      </c>
      <c r="D435" s="9"/>
      <c r="E435" s="9"/>
      <c r="F435" s="144"/>
      <c r="G435" s="198">
        <f>Input!O12</f>
        <v>0</v>
      </c>
      <c r="H435" s="123"/>
      <c r="I435" s="123"/>
      <c r="J435" s="123"/>
      <c r="K435" s="123"/>
      <c r="L435" s="123"/>
      <c r="M435" s="108"/>
      <c r="N435" s="108"/>
      <c r="O435" s="108"/>
      <c r="P435" s="108"/>
      <c r="Q435" s="108"/>
      <c r="R435" s="108"/>
      <c r="S435" s="108"/>
      <c r="T435" s="108"/>
      <c r="U435" s="108"/>
      <c r="V435" s="108"/>
      <c r="W435" s="108"/>
      <c r="X435" s="108"/>
      <c r="Y435" s="108"/>
      <c r="Z435" s="108"/>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6"/>
      <c r="BK435" s="226"/>
    </row>
    <row r="436" spans="1:63" hidden="1" outlineLevel="1">
      <c r="A436" s="9"/>
      <c r="B436" s="46"/>
      <c r="C436" s="132" t="str">
        <f>Asset7</f>
        <v>Substation Establishment</v>
      </c>
      <c r="D436" s="9"/>
      <c r="E436" s="9"/>
      <c r="F436" s="144"/>
      <c r="G436" s="198">
        <f>Input!O13</f>
        <v>0</v>
      </c>
      <c r="H436" s="123"/>
      <c r="I436" s="123"/>
      <c r="J436" s="123"/>
      <c r="K436" s="123"/>
      <c r="L436" s="123"/>
      <c r="M436" s="108"/>
      <c r="N436" s="108"/>
      <c r="O436" s="108"/>
      <c r="P436" s="108"/>
      <c r="Q436" s="108"/>
      <c r="R436" s="108"/>
      <c r="S436" s="108"/>
      <c r="T436" s="108"/>
      <c r="U436" s="108"/>
      <c r="V436" s="108"/>
      <c r="W436" s="108"/>
      <c r="X436" s="108"/>
      <c r="Y436" s="108"/>
      <c r="Z436" s="108"/>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6"/>
      <c r="BK436" s="226"/>
    </row>
    <row r="437" spans="1:63" hidden="1" outlineLevel="1">
      <c r="A437" s="9"/>
      <c r="B437" s="46"/>
      <c r="C437" s="132" t="str">
        <f>Asset8</f>
        <v>Distribution Substation Switchgear</v>
      </c>
      <c r="D437" s="9"/>
      <c r="E437" s="9"/>
      <c r="F437" s="144"/>
      <c r="G437" s="198">
        <f>Input!O14</f>
        <v>0</v>
      </c>
      <c r="H437" s="123"/>
      <c r="I437" s="123"/>
      <c r="J437" s="123"/>
      <c r="K437" s="123"/>
      <c r="L437" s="123"/>
      <c r="M437" s="108"/>
      <c r="N437" s="108"/>
      <c r="O437" s="108"/>
      <c r="P437" s="108"/>
      <c r="Q437" s="108"/>
      <c r="R437" s="108"/>
      <c r="S437" s="108"/>
      <c r="T437" s="108"/>
      <c r="U437" s="108"/>
      <c r="V437" s="108"/>
      <c r="W437" s="108"/>
      <c r="X437" s="108"/>
      <c r="Y437" s="108"/>
      <c r="Z437" s="108"/>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226"/>
      <c r="BK437" s="226"/>
    </row>
    <row r="438" spans="1:63" hidden="1" outlineLevel="1">
      <c r="A438" s="9"/>
      <c r="B438" s="46"/>
      <c r="C438" s="132" t="str">
        <f>Asset9</f>
        <v>Zone Transformers</v>
      </c>
      <c r="D438" s="9"/>
      <c r="E438" s="9"/>
      <c r="F438" s="144"/>
      <c r="G438" s="198">
        <f>Input!O15</f>
        <v>0</v>
      </c>
      <c r="H438" s="123"/>
      <c r="I438" s="123"/>
      <c r="J438" s="123"/>
      <c r="K438" s="123"/>
      <c r="L438" s="123"/>
      <c r="M438" s="108"/>
      <c r="N438" s="108"/>
      <c r="O438" s="108"/>
      <c r="P438" s="108"/>
      <c r="Q438" s="108"/>
      <c r="R438" s="108"/>
      <c r="S438" s="108"/>
      <c r="T438" s="108"/>
      <c r="U438" s="108"/>
      <c r="V438" s="108"/>
      <c r="W438" s="108"/>
      <c r="X438" s="108"/>
      <c r="Y438" s="108"/>
      <c r="Z438" s="108"/>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6"/>
      <c r="BK438" s="226"/>
    </row>
    <row r="439" spans="1:63" hidden="1" outlineLevel="1">
      <c r="A439" s="9"/>
      <c r="B439" s="46"/>
      <c r="C439" s="132" t="str">
        <f>Asset10</f>
        <v>Distribution Transformers</v>
      </c>
      <c r="D439" s="9"/>
      <c r="E439" s="9"/>
      <c r="F439" s="144"/>
      <c r="G439" s="198">
        <f>Input!O16</f>
        <v>0</v>
      </c>
      <c r="H439" s="123"/>
      <c r="I439" s="123"/>
      <c r="J439" s="123"/>
      <c r="K439" s="123"/>
      <c r="L439" s="123"/>
      <c r="M439" s="108"/>
      <c r="N439" s="108"/>
      <c r="O439" s="108"/>
      <c r="P439" s="108"/>
      <c r="Q439" s="108"/>
      <c r="R439" s="108"/>
      <c r="S439" s="108"/>
      <c r="T439" s="108"/>
      <c r="U439" s="108"/>
      <c r="V439" s="108"/>
      <c r="W439" s="108"/>
      <c r="X439" s="108"/>
      <c r="Y439" s="108"/>
      <c r="Z439" s="108"/>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226"/>
      <c r="BK439" s="226"/>
    </row>
    <row r="440" spans="1:63" hidden="1" outlineLevel="1">
      <c r="A440" s="9"/>
      <c r="B440" s="46"/>
      <c r="C440" s="132" t="str">
        <f>Asset11</f>
        <v>Low Voltage Services</v>
      </c>
      <c r="D440" s="9"/>
      <c r="E440" s="9"/>
      <c r="F440" s="144"/>
      <c r="G440" s="198">
        <f>Input!O17</f>
        <v>0</v>
      </c>
      <c r="H440" s="123"/>
      <c r="I440" s="123"/>
      <c r="J440" s="123"/>
      <c r="K440" s="123"/>
      <c r="L440" s="123"/>
      <c r="M440" s="108"/>
      <c r="N440" s="108"/>
      <c r="O440" s="108"/>
      <c r="P440" s="108"/>
      <c r="Q440" s="108"/>
      <c r="R440" s="108"/>
      <c r="S440" s="108"/>
      <c r="T440" s="108"/>
      <c r="U440" s="108"/>
      <c r="V440" s="108"/>
      <c r="W440" s="108"/>
      <c r="X440" s="108"/>
      <c r="Y440" s="108"/>
      <c r="Z440" s="108"/>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6"/>
      <c r="BK440" s="226"/>
    </row>
    <row r="441" spans="1:63" hidden="1" outlineLevel="1">
      <c r="A441" s="9"/>
      <c r="B441" s="46"/>
      <c r="C441" s="132" t="str">
        <f>Asset12</f>
        <v>Metering</v>
      </c>
      <c r="D441" s="9"/>
      <c r="E441" s="9"/>
      <c r="F441" s="144"/>
      <c r="G441" s="198">
        <f>Input!O18</f>
        <v>0</v>
      </c>
      <c r="H441" s="123"/>
      <c r="I441" s="123"/>
      <c r="J441" s="123"/>
      <c r="K441" s="123"/>
      <c r="L441" s="123"/>
      <c r="M441" s="108"/>
      <c r="N441" s="108"/>
      <c r="O441" s="108"/>
      <c r="P441" s="108"/>
      <c r="Q441" s="108"/>
      <c r="R441" s="108"/>
      <c r="S441" s="108"/>
      <c r="T441" s="108"/>
      <c r="U441" s="108"/>
      <c r="V441" s="108"/>
      <c r="W441" s="108"/>
      <c r="X441" s="108"/>
      <c r="Y441" s="108"/>
      <c r="Z441" s="108"/>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226"/>
      <c r="BK441" s="226"/>
    </row>
    <row r="442" spans="1:63" hidden="1" outlineLevel="1">
      <c r="A442" s="9"/>
      <c r="B442" s="46"/>
      <c r="C442" s="132" t="str">
        <f>Asset13</f>
        <v xml:space="preserve">Communications – Pilot Wires </v>
      </c>
      <c r="D442" s="9"/>
      <c r="E442" s="9"/>
      <c r="F442" s="144"/>
      <c r="G442" s="198">
        <f>Input!O19</f>
        <v>0</v>
      </c>
      <c r="H442" s="123"/>
      <c r="I442" s="123"/>
      <c r="J442" s="123"/>
      <c r="K442" s="123"/>
      <c r="L442" s="123"/>
      <c r="M442" s="108"/>
      <c r="N442" s="108"/>
      <c r="O442" s="108"/>
      <c r="P442" s="108"/>
      <c r="Q442" s="108"/>
      <c r="R442" s="108"/>
      <c r="S442" s="108"/>
      <c r="T442" s="108"/>
      <c r="U442" s="108"/>
      <c r="V442" s="108"/>
      <c r="W442" s="108"/>
      <c r="X442" s="108"/>
      <c r="Y442" s="108"/>
      <c r="Z442" s="108"/>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6"/>
      <c r="BK442" s="226"/>
    </row>
    <row r="443" spans="1:63" hidden="1" outlineLevel="1">
      <c r="A443" s="9"/>
      <c r="B443" s="46"/>
      <c r="C443" s="132" t="str">
        <f>Asset14</f>
        <v>Generation Assets</v>
      </c>
      <c r="D443" s="9"/>
      <c r="E443" s="9"/>
      <c r="F443" s="144"/>
      <c r="G443" s="198">
        <f>Input!O20</f>
        <v>0</v>
      </c>
      <c r="H443" s="123"/>
      <c r="I443" s="123"/>
      <c r="J443" s="123"/>
      <c r="K443" s="123"/>
      <c r="L443" s="123"/>
      <c r="M443" s="108"/>
      <c r="N443" s="108"/>
      <c r="O443" s="108"/>
      <c r="P443" s="108"/>
      <c r="Q443" s="108"/>
      <c r="R443" s="108"/>
      <c r="S443" s="108"/>
      <c r="T443" s="108"/>
      <c r="U443" s="108"/>
      <c r="V443" s="108"/>
      <c r="W443" s="108"/>
      <c r="X443" s="108"/>
      <c r="Y443" s="108"/>
      <c r="Z443" s="108"/>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6"/>
      <c r="BK443" s="226"/>
    </row>
    <row r="444" spans="1:63" hidden="1" outlineLevel="1">
      <c r="A444" s="9"/>
      <c r="B444" s="46"/>
      <c r="C444" s="132" t="str">
        <f>Asset15</f>
        <v>Street Lighting</v>
      </c>
      <c r="D444" s="9"/>
      <c r="E444" s="9"/>
      <c r="F444" s="144"/>
      <c r="G444" s="198">
        <f>Input!O21</f>
        <v>0</v>
      </c>
      <c r="H444" s="123"/>
      <c r="I444" s="123"/>
      <c r="J444" s="123"/>
      <c r="K444" s="123"/>
      <c r="L444" s="123"/>
      <c r="M444" s="108"/>
      <c r="N444" s="108"/>
      <c r="O444" s="108"/>
      <c r="P444" s="108"/>
      <c r="Q444" s="108"/>
      <c r="R444" s="108"/>
      <c r="S444" s="108"/>
      <c r="T444" s="108"/>
      <c r="U444" s="108"/>
      <c r="V444" s="108"/>
      <c r="W444" s="108"/>
      <c r="X444" s="108"/>
      <c r="Y444" s="108"/>
      <c r="Z444" s="108"/>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6"/>
      <c r="BK444" s="226"/>
    </row>
    <row r="445" spans="1:63" hidden="1" outlineLevel="1">
      <c r="A445" s="9"/>
      <c r="B445" s="46"/>
      <c r="C445" s="132" t="str">
        <f>Asset16</f>
        <v>Other Equipment</v>
      </c>
      <c r="D445" s="9"/>
      <c r="E445" s="9"/>
      <c r="F445" s="144"/>
      <c r="G445" s="198">
        <f>Input!O22</f>
        <v>0</v>
      </c>
      <c r="H445" s="123"/>
      <c r="I445" s="123"/>
      <c r="J445" s="123"/>
      <c r="K445" s="123"/>
      <c r="L445" s="123"/>
      <c r="M445" s="108"/>
      <c r="N445" s="108"/>
      <c r="O445" s="108"/>
      <c r="P445" s="108"/>
      <c r="Q445" s="108"/>
      <c r="R445" s="108"/>
      <c r="S445" s="108"/>
      <c r="T445" s="108"/>
      <c r="U445" s="108"/>
      <c r="V445" s="108"/>
      <c r="W445" s="108"/>
      <c r="X445" s="108"/>
      <c r="Y445" s="108"/>
      <c r="Z445" s="108"/>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226"/>
      <c r="BK445" s="226"/>
    </row>
    <row r="446" spans="1:63" hidden="1" outlineLevel="1">
      <c r="A446" s="9"/>
      <c r="B446" s="46"/>
      <c r="C446" s="132" t="str">
        <f>Asset17</f>
        <v>Control Centre - SCADA</v>
      </c>
      <c r="D446" s="9"/>
      <c r="E446" s="9"/>
      <c r="F446" s="144"/>
      <c r="G446" s="198">
        <f>Input!O23</f>
        <v>0</v>
      </c>
      <c r="H446" s="123"/>
      <c r="I446" s="123"/>
      <c r="J446" s="123"/>
      <c r="K446" s="123"/>
      <c r="L446" s="123"/>
      <c r="M446" s="108"/>
      <c r="N446" s="108"/>
      <c r="O446" s="108"/>
      <c r="P446" s="108"/>
      <c r="Q446" s="108"/>
      <c r="R446" s="108"/>
      <c r="S446" s="108"/>
      <c r="T446" s="108"/>
      <c r="U446" s="108"/>
      <c r="V446" s="108"/>
      <c r="W446" s="108"/>
      <c r="X446" s="108"/>
      <c r="Y446" s="108"/>
      <c r="Z446" s="108"/>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226"/>
      <c r="BK446" s="226"/>
    </row>
    <row r="447" spans="1:63" hidden="1" outlineLevel="1">
      <c r="A447" s="9"/>
      <c r="B447" s="46"/>
      <c r="C447" s="132" t="str">
        <f>Asset18</f>
        <v>Land &amp; Easements (System)</v>
      </c>
      <c r="D447" s="9"/>
      <c r="E447" s="9"/>
      <c r="F447" s="144"/>
      <c r="G447" s="198">
        <f>Input!O24</f>
        <v>0</v>
      </c>
      <c r="H447" s="123"/>
      <c r="I447" s="123"/>
      <c r="J447" s="123"/>
      <c r="K447" s="123"/>
      <c r="L447" s="123"/>
      <c r="M447" s="108"/>
      <c r="N447" s="108"/>
      <c r="O447" s="108"/>
      <c r="P447" s="108"/>
      <c r="Q447" s="108"/>
      <c r="R447" s="108"/>
      <c r="S447" s="108"/>
      <c r="T447" s="108"/>
      <c r="U447" s="108"/>
      <c r="V447" s="108"/>
      <c r="W447" s="108"/>
      <c r="X447" s="108"/>
      <c r="Y447" s="108"/>
      <c r="Z447" s="108"/>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226"/>
      <c r="BK447" s="226"/>
    </row>
    <row r="448" spans="1:63" hidden="1" outlineLevel="1">
      <c r="A448" s="9"/>
      <c r="B448" s="46"/>
      <c r="C448" s="132" t="str">
        <f>Asset19</f>
        <v>Metering Type 5-6</v>
      </c>
      <c r="D448" s="9"/>
      <c r="E448" s="9"/>
      <c r="F448" s="144"/>
      <c r="G448" s="198">
        <f>Input!O25</f>
        <v>0</v>
      </c>
      <c r="H448" s="123"/>
      <c r="I448" s="123"/>
      <c r="J448" s="123"/>
      <c r="K448" s="123"/>
      <c r="L448" s="123"/>
      <c r="M448" s="108"/>
      <c r="N448" s="108"/>
      <c r="O448" s="108"/>
      <c r="P448" s="108"/>
      <c r="Q448" s="108"/>
      <c r="R448" s="108"/>
      <c r="S448" s="108"/>
      <c r="T448" s="108"/>
      <c r="U448" s="108"/>
      <c r="V448" s="108"/>
      <c r="W448" s="108"/>
      <c r="X448" s="108"/>
      <c r="Y448" s="108"/>
      <c r="Z448" s="108"/>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226"/>
      <c r="BK448" s="226"/>
    </row>
    <row r="449" spans="1:63" hidden="1" outlineLevel="1">
      <c r="A449" s="9"/>
      <c r="B449" s="46"/>
      <c r="C449" s="132" t="str">
        <f>Asset20</f>
        <v>Communications</v>
      </c>
      <c r="D449" s="9"/>
      <c r="E449" s="9"/>
      <c r="F449" s="144"/>
      <c r="G449" s="198">
        <f>Input!O26</f>
        <v>0</v>
      </c>
      <c r="H449" s="123"/>
      <c r="I449" s="123"/>
      <c r="J449" s="123"/>
      <c r="K449" s="123"/>
      <c r="L449" s="123"/>
      <c r="M449" s="108"/>
      <c r="N449" s="108"/>
      <c r="O449" s="108"/>
      <c r="P449" s="108"/>
      <c r="Q449" s="108"/>
      <c r="R449" s="108"/>
      <c r="S449" s="108"/>
      <c r="T449" s="108"/>
      <c r="U449" s="108"/>
      <c r="V449" s="108"/>
      <c r="W449" s="108"/>
      <c r="X449" s="108"/>
      <c r="Y449" s="108"/>
      <c r="Z449" s="108"/>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6"/>
      <c r="BK449" s="226"/>
    </row>
    <row r="450" spans="1:63" hidden="1" outlineLevel="1">
      <c r="A450" s="9"/>
      <c r="B450" s="46"/>
      <c r="C450" s="132" t="str">
        <f>Asset21</f>
        <v>IT Systems</v>
      </c>
      <c r="D450" s="9"/>
      <c r="E450" s="9"/>
      <c r="F450" s="144"/>
      <c r="G450" s="198">
        <f>Input!O27</f>
        <v>0</v>
      </c>
      <c r="H450" s="123"/>
      <c r="I450" s="123"/>
      <c r="J450" s="123"/>
      <c r="K450" s="123"/>
      <c r="L450" s="123"/>
      <c r="M450" s="108"/>
      <c r="N450" s="108"/>
      <c r="O450" s="108"/>
      <c r="P450" s="108"/>
      <c r="Q450" s="108"/>
      <c r="R450" s="108"/>
      <c r="S450" s="108"/>
      <c r="T450" s="108"/>
      <c r="U450" s="108"/>
      <c r="V450" s="108"/>
      <c r="W450" s="108"/>
      <c r="X450" s="108"/>
      <c r="Y450" s="108"/>
      <c r="Z450" s="108"/>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226"/>
      <c r="BK450" s="226"/>
    </row>
    <row r="451" spans="1:63" hidden="1" outlineLevel="1">
      <c r="A451" s="9"/>
      <c r="B451" s="46"/>
      <c r="C451" s="132" t="str">
        <f>Asset22</f>
        <v>Office Equipment &amp; Furniture</v>
      </c>
      <c r="D451" s="9"/>
      <c r="E451" s="9"/>
      <c r="F451" s="144"/>
      <c r="G451" s="198">
        <f>Input!O28</f>
        <v>0</v>
      </c>
      <c r="H451" s="123"/>
      <c r="I451" s="123"/>
      <c r="J451" s="123"/>
      <c r="K451" s="123"/>
      <c r="L451" s="123"/>
      <c r="M451" s="108"/>
      <c r="N451" s="108"/>
      <c r="O451" s="108"/>
      <c r="P451" s="108"/>
      <c r="Q451" s="108"/>
      <c r="R451" s="108"/>
      <c r="S451" s="108"/>
      <c r="T451" s="108"/>
      <c r="U451" s="108"/>
      <c r="V451" s="108"/>
      <c r="W451" s="108"/>
      <c r="X451" s="108"/>
      <c r="Y451" s="108"/>
      <c r="Z451" s="108"/>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226"/>
      <c r="BK451" s="226"/>
    </row>
    <row r="452" spans="1:63" hidden="1" outlineLevel="1">
      <c r="A452" s="9"/>
      <c r="B452" s="46"/>
      <c r="C452" s="132" t="str">
        <f>Asset23</f>
        <v>Motor Vehicles</v>
      </c>
      <c r="D452" s="9"/>
      <c r="E452" s="9"/>
      <c r="F452" s="144"/>
      <c r="G452" s="198">
        <f>Input!O29</f>
        <v>0</v>
      </c>
      <c r="H452" s="123"/>
      <c r="I452" s="123"/>
      <c r="J452" s="123"/>
      <c r="K452" s="123"/>
      <c r="L452" s="123"/>
      <c r="M452" s="108"/>
      <c r="N452" s="108"/>
      <c r="O452" s="108"/>
      <c r="P452" s="108"/>
      <c r="Q452" s="108"/>
      <c r="R452" s="108"/>
      <c r="S452" s="108"/>
      <c r="T452" s="108"/>
      <c r="U452" s="108"/>
      <c r="V452" s="108"/>
      <c r="W452" s="108"/>
      <c r="X452" s="108"/>
      <c r="Y452" s="108"/>
      <c r="Z452" s="108"/>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226"/>
      <c r="BK452" s="226"/>
    </row>
    <row r="453" spans="1:63" hidden="1" outlineLevel="1">
      <c r="A453" s="9"/>
      <c r="B453" s="46"/>
      <c r="C453" s="132" t="str">
        <f>Asset24</f>
        <v>Plant &amp; Equipment</v>
      </c>
      <c r="D453" s="9"/>
      <c r="E453" s="9"/>
      <c r="F453" s="144"/>
      <c r="G453" s="198">
        <f>Input!O30</f>
        <v>0</v>
      </c>
      <c r="H453" s="123"/>
      <c r="I453" s="123"/>
      <c r="J453" s="123"/>
      <c r="K453" s="123"/>
      <c r="L453" s="123"/>
      <c r="M453" s="108"/>
      <c r="N453" s="108"/>
      <c r="O453" s="108"/>
      <c r="P453" s="108"/>
      <c r="Q453" s="108"/>
      <c r="R453" s="108"/>
      <c r="S453" s="108"/>
      <c r="T453" s="108"/>
      <c r="U453" s="108"/>
      <c r="V453" s="108"/>
      <c r="W453" s="108"/>
      <c r="X453" s="108"/>
      <c r="Y453" s="108"/>
      <c r="Z453" s="108"/>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226"/>
      <c r="BK453" s="226"/>
    </row>
    <row r="454" spans="1:63" hidden="1" outlineLevel="1">
      <c r="A454" s="9"/>
      <c r="B454" s="46"/>
      <c r="C454" s="132" t="str">
        <f>Asset25</f>
        <v>Buildings</v>
      </c>
      <c r="D454" s="9"/>
      <c r="E454" s="9"/>
      <c r="F454" s="144"/>
      <c r="G454" s="198">
        <f>Input!O31</f>
        <v>0</v>
      </c>
      <c r="H454" s="123"/>
      <c r="I454" s="123"/>
      <c r="J454" s="123"/>
      <c r="K454" s="123"/>
      <c r="L454" s="123"/>
      <c r="M454" s="108"/>
      <c r="N454" s="108"/>
      <c r="O454" s="108"/>
      <c r="P454" s="108"/>
      <c r="Q454" s="108"/>
      <c r="R454" s="108"/>
      <c r="S454" s="108"/>
      <c r="T454" s="108"/>
      <c r="U454" s="108"/>
      <c r="V454" s="108"/>
      <c r="W454" s="108"/>
      <c r="X454" s="108"/>
      <c r="Y454" s="108"/>
      <c r="Z454" s="108"/>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6"/>
      <c r="BK454" s="226"/>
    </row>
    <row r="455" spans="1:63" hidden="1" outlineLevel="1">
      <c r="A455" s="9"/>
      <c r="B455" s="46"/>
      <c r="C455" s="132" t="str">
        <f>Asset26</f>
        <v>Land &amp; Easements</v>
      </c>
      <c r="D455" s="9"/>
      <c r="E455" s="9"/>
      <c r="F455" s="144"/>
      <c r="G455" s="198">
        <f>Input!O32</f>
        <v>0</v>
      </c>
      <c r="H455" s="123"/>
      <c r="I455" s="123"/>
      <c r="J455" s="123"/>
      <c r="K455" s="123"/>
      <c r="L455" s="123"/>
      <c r="M455" s="108"/>
      <c r="N455" s="108"/>
      <c r="O455" s="108"/>
      <c r="P455" s="108"/>
      <c r="Q455" s="108"/>
      <c r="R455" s="108"/>
      <c r="S455" s="108"/>
      <c r="T455" s="108"/>
      <c r="U455" s="108"/>
      <c r="V455" s="108"/>
      <c r="W455" s="108"/>
      <c r="X455" s="108"/>
      <c r="Y455" s="108"/>
      <c r="Z455" s="108"/>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226"/>
      <c r="BK455" s="226"/>
    </row>
    <row r="456" spans="1:63" hidden="1" outlineLevel="1">
      <c r="A456" s="9"/>
      <c r="B456" s="46"/>
      <c r="C456" s="132" t="str">
        <f>Asset27</f>
        <v>Land Improvements</v>
      </c>
      <c r="D456" s="9"/>
      <c r="E456" s="9"/>
      <c r="F456" s="144"/>
      <c r="G456" s="198">
        <f>Input!O33</f>
        <v>0</v>
      </c>
      <c r="H456" s="123"/>
      <c r="I456" s="123"/>
      <c r="J456" s="123"/>
      <c r="K456" s="123"/>
      <c r="L456" s="123"/>
      <c r="M456" s="108"/>
      <c r="N456" s="108"/>
      <c r="O456" s="108"/>
      <c r="P456" s="108"/>
      <c r="Q456" s="108"/>
      <c r="R456" s="108"/>
      <c r="S456" s="108"/>
      <c r="T456" s="108"/>
      <c r="U456" s="108"/>
      <c r="V456" s="108"/>
      <c r="W456" s="108"/>
      <c r="X456" s="108"/>
      <c r="Y456" s="108"/>
      <c r="Z456" s="108"/>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226"/>
      <c r="BK456" s="226"/>
    </row>
    <row r="457" spans="1:63" hidden="1" outlineLevel="1">
      <c r="A457" s="9"/>
      <c r="B457" s="46"/>
      <c r="C457" s="132" t="str">
        <f>Asset28</f>
        <v>Equity Raising Costs</v>
      </c>
      <c r="D457" s="9"/>
      <c r="E457" s="9"/>
      <c r="F457" s="144"/>
      <c r="G457" s="198">
        <f>Input!O34</f>
        <v>0</v>
      </c>
      <c r="H457" s="123"/>
      <c r="I457" s="123"/>
      <c r="J457" s="123"/>
      <c r="K457" s="123"/>
      <c r="L457" s="123"/>
      <c r="M457" s="108"/>
      <c r="N457" s="108"/>
      <c r="O457" s="108"/>
      <c r="P457" s="108"/>
      <c r="Q457" s="108"/>
      <c r="R457" s="108"/>
      <c r="S457" s="108"/>
      <c r="T457" s="108"/>
      <c r="U457" s="108"/>
      <c r="V457" s="108"/>
      <c r="W457" s="108"/>
      <c r="X457" s="108"/>
      <c r="Y457" s="108"/>
      <c r="Z457" s="108"/>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226"/>
      <c r="BK457" s="226"/>
    </row>
    <row r="458" spans="1:63" hidden="1" outlineLevel="1">
      <c r="A458" s="9"/>
      <c r="B458" s="46"/>
      <c r="C458" s="132" t="str">
        <f>Asset29</f>
        <v>Not Used</v>
      </c>
      <c r="D458" s="9"/>
      <c r="E458" s="9"/>
      <c r="F458" s="144"/>
      <c r="G458" s="198">
        <f>Input!O35</f>
        <v>0</v>
      </c>
      <c r="H458" s="123"/>
      <c r="I458" s="123"/>
      <c r="J458" s="123"/>
      <c r="K458" s="123"/>
      <c r="L458" s="123"/>
      <c r="M458" s="108"/>
      <c r="N458" s="108"/>
      <c r="O458" s="108"/>
      <c r="P458" s="108"/>
      <c r="Q458" s="108"/>
      <c r="R458" s="108"/>
      <c r="S458" s="108"/>
      <c r="T458" s="108"/>
      <c r="U458" s="108"/>
      <c r="V458" s="108"/>
      <c r="W458" s="108"/>
      <c r="X458" s="108"/>
      <c r="Y458" s="108"/>
      <c r="Z458" s="108"/>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226"/>
      <c r="BK458" s="226"/>
    </row>
    <row r="459" spans="1:63" hidden="1" outlineLevel="1">
      <c r="A459" s="9"/>
      <c r="B459" s="46"/>
      <c r="C459" s="132" t="str">
        <f>Asset30</f>
        <v>Not Used</v>
      </c>
      <c r="D459" s="9"/>
      <c r="E459" s="9"/>
      <c r="F459" s="144"/>
      <c r="G459" s="198">
        <f>Input!O36</f>
        <v>0</v>
      </c>
      <c r="H459" s="123"/>
      <c r="I459" s="123"/>
      <c r="J459" s="123"/>
      <c r="K459" s="123"/>
      <c r="L459" s="123"/>
      <c r="M459" s="108"/>
      <c r="N459" s="108"/>
      <c r="O459" s="108"/>
      <c r="P459" s="108"/>
      <c r="Q459" s="108"/>
      <c r="R459" s="108"/>
      <c r="S459" s="108"/>
      <c r="T459" s="108"/>
      <c r="U459" s="108"/>
      <c r="V459" s="108"/>
      <c r="W459" s="108"/>
      <c r="X459" s="108"/>
      <c r="Y459" s="108"/>
      <c r="Z459" s="108"/>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226"/>
      <c r="BK459" s="226"/>
    </row>
    <row r="460" spans="1:63" collapsed="1">
      <c r="A460" s="9"/>
      <c r="B460" s="46"/>
      <c r="C460" s="132"/>
      <c r="D460" s="9"/>
      <c r="E460" s="9"/>
      <c r="F460" s="144"/>
      <c r="G460" s="198"/>
      <c r="H460" s="123"/>
      <c r="I460" s="123"/>
      <c r="J460" s="123"/>
      <c r="K460" s="123"/>
      <c r="L460" s="123"/>
      <c r="M460" s="108"/>
      <c r="N460" s="108"/>
      <c r="O460" s="108"/>
      <c r="P460" s="108"/>
      <c r="Q460" s="108"/>
      <c r="R460" s="108"/>
      <c r="S460" s="108"/>
      <c r="T460" s="108"/>
      <c r="U460" s="108"/>
      <c r="V460" s="108"/>
      <c r="W460" s="108"/>
      <c r="X460" s="108"/>
      <c r="Y460" s="108"/>
      <c r="Z460" s="108"/>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6"/>
      <c r="BK460" s="226"/>
    </row>
    <row r="461" spans="1:63">
      <c r="A461" s="9"/>
      <c r="B461" s="46" t="s">
        <v>65</v>
      </c>
      <c r="C461" s="132"/>
      <c r="D461" s="9"/>
      <c r="E461" s="9"/>
      <c r="F461" s="144"/>
      <c r="G461" s="200">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226"/>
      <c r="BK461" s="226"/>
    </row>
    <row r="462" spans="1:63" ht="12.75" hidden="1" customHeight="1" outlineLevel="1">
      <c r="A462" s="9"/>
      <c r="B462" s="9"/>
      <c r="C462" s="132" t="str">
        <f>Asset1</f>
        <v>Overhead Sub-Transmission Lines</v>
      </c>
      <c r="D462" s="9"/>
      <c r="E462" s="9"/>
      <c r="F462" s="144"/>
      <c r="G462" s="198">
        <f>Input!P7</f>
        <v>0</v>
      </c>
      <c r="H462" s="123"/>
      <c r="I462" s="123"/>
      <c r="J462" s="123"/>
      <c r="K462" s="123"/>
      <c r="L462" s="123"/>
      <c r="M462" s="108"/>
      <c r="N462" s="108"/>
      <c r="O462" s="108"/>
      <c r="P462" s="108"/>
      <c r="Q462" s="108"/>
      <c r="R462" s="108"/>
      <c r="S462" s="108"/>
      <c r="T462" s="108"/>
      <c r="U462" s="108"/>
      <c r="V462" s="108"/>
      <c r="W462" s="108"/>
      <c r="X462" s="108"/>
      <c r="Y462" s="108"/>
      <c r="Z462" s="108"/>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226"/>
      <c r="BK462" s="226"/>
    </row>
    <row r="463" spans="1:63" ht="12.75" hidden="1" customHeight="1" outlineLevel="1">
      <c r="A463" s="9"/>
      <c r="B463" s="46"/>
      <c r="C463" s="132" t="str">
        <f>Asset2</f>
        <v>Underground Sub-Transmission Cables</v>
      </c>
      <c r="D463" s="9"/>
      <c r="E463" s="9"/>
      <c r="F463" s="144"/>
      <c r="G463" s="198">
        <f>Input!P8</f>
        <v>0</v>
      </c>
      <c r="H463" s="123"/>
      <c r="I463" s="123"/>
      <c r="J463" s="123"/>
      <c r="K463" s="123"/>
      <c r="L463" s="123"/>
      <c r="M463" s="108"/>
      <c r="N463" s="108"/>
      <c r="O463" s="108"/>
      <c r="P463" s="108"/>
      <c r="Q463" s="108"/>
      <c r="R463" s="108"/>
      <c r="S463" s="108"/>
      <c r="T463" s="108"/>
      <c r="U463" s="108"/>
      <c r="V463" s="108"/>
      <c r="W463" s="108"/>
      <c r="X463" s="108"/>
      <c r="Y463" s="108"/>
      <c r="Z463" s="108"/>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c r="BG463" s="220"/>
      <c r="BH463" s="220"/>
      <c r="BI463" s="220"/>
      <c r="BJ463" s="226"/>
      <c r="BK463" s="226"/>
    </row>
    <row r="464" spans="1:63" ht="12.75" hidden="1" customHeight="1" outlineLevel="1">
      <c r="A464" s="9"/>
      <c r="B464" s="46"/>
      <c r="C464" s="132" t="str">
        <f>Asset3</f>
        <v>Overhead Distribution Lines</v>
      </c>
      <c r="D464" s="9"/>
      <c r="E464" s="9"/>
      <c r="F464" s="144"/>
      <c r="G464" s="198">
        <f>Input!P9</f>
        <v>0</v>
      </c>
      <c r="H464" s="123"/>
      <c r="I464" s="123"/>
      <c r="J464" s="123"/>
      <c r="K464" s="123"/>
      <c r="L464" s="123"/>
      <c r="M464" s="108"/>
      <c r="N464" s="108"/>
      <c r="O464" s="108"/>
      <c r="P464" s="108"/>
      <c r="Q464" s="108"/>
      <c r="R464" s="108"/>
      <c r="S464" s="108"/>
      <c r="T464" s="108"/>
      <c r="U464" s="108"/>
      <c r="V464" s="108"/>
      <c r="W464" s="108"/>
      <c r="X464" s="108"/>
      <c r="Y464" s="108"/>
      <c r="Z464" s="108"/>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226"/>
      <c r="BK464" s="226"/>
    </row>
    <row r="465" spans="1:63" ht="12.75" hidden="1" customHeight="1" outlineLevel="1">
      <c r="A465" s="9"/>
      <c r="B465" s="46"/>
      <c r="C465" s="132" t="str">
        <f>Asset4</f>
        <v>Underground Distribution Cables</v>
      </c>
      <c r="D465" s="9"/>
      <c r="E465" s="9"/>
      <c r="F465" s="144"/>
      <c r="G465" s="198">
        <f>Input!P10</f>
        <v>0</v>
      </c>
      <c r="H465" s="123"/>
      <c r="I465" s="123"/>
      <c r="J465" s="123"/>
      <c r="K465" s="123"/>
      <c r="L465" s="123"/>
      <c r="M465" s="108"/>
      <c r="N465" s="108"/>
      <c r="O465" s="108"/>
      <c r="P465" s="108"/>
      <c r="Q465" s="108"/>
      <c r="R465" s="108"/>
      <c r="S465" s="108"/>
      <c r="T465" s="108"/>
      <c r="U465" s="108"/>
      <c r="V465" s="108"/>
      <c r="W465" s="108"/>
      <c r="X465" s="108"/>
      <c r="Y465" s="108"/>
      <c r="Z465" s="108"/>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226"/>
      <c r="BK465" s="226"/>
    </row>
    <row r="466" spans="1:63" ht="12.75" hidden="1" customHeight="1" outlineLevel="1">
      <c r="A466" s="9"/>
      <c r="B466" s="46"/>
      <c r="C466" s="132" t="str">
        <f>Asset5</f>
        <v xml:space="preserve">Distribution Equipment  </v>
      </c>
      <c r="D466" s="9"/>
      <c r="E466" s="9"/>
      <c r="F466" s="144"/>
      <c r="G466" s="198">
        <f>Input!P11</f>
        <v>0</v>
      </c>
      <c r="H466" s="123"/>
      <c r="I466" s="123"/>
      <c r="J466" s="123"/>
      <c r="K466" s="123"/>
      <c r="L466" s="123"/>
      <c r="M466" s="108"/>
      <c r="N466" s="108"/>
      <c r="O466" s="108"/>
      <c r="P466" s="108"/>
      <c r="Q466" s="108"/>
      <c r="R466" s="108"/>
      <c r="S466" s="108"/>
      <c r="T466" s="108"/>
      <c r="U466" s="108"/>
      <c r="V466" s="108"/>
      <c r="W466" s="108"/>
      <c r="X466" s="108"/>
      <c r="Y466" s="108"/>
      <c r="Z466" s="108"/>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226"/>
      <c r="BK466" s="226"/>
    </row>
    <row r="467" spans="1:63" ht="12.75" hidden="1" customHeight="1" outlineLevel="1">
      <c r="A467" s="9"/>
      <c r="B467" s="46"/>
      <c r="C467" s="132" t="str">
        <f>Asset6</f>
        <v>Substation Bays</v>
      </c>
      <c r="D467" s="9"/>
      <c r="E467" s="9"/>
      <c r="F467" s="144"/>
      <c r="G467" s="198">
        <f>Input!P12</f>
        <v>0</v>
      </c>
      <c r="H467" s="123"/>
      <c r="I467" s="123"/>
      <c r="J467" s="123"/>
      <c r="K467" s="123"/>
      <c r="L467" s="123"/>
      <c r="M467" s="108"/>
      <c r="N467" s="108"/>
      <c r="O467" s="108"/>
      <c r="P467" s="108"/>
      <c r="Q467" s="108"/>
      <c r="R467" s="108"/>
      <c r="S467" s="108"/>
      <c r="T467" s="108"/>
      <c r="U467" s="108"/>
      <c r="V467" s="108"/>
      <c r="W467" s="108"/>
      <c r="X467" s="108"/>
      <c r="Y467" s="108"/>
      <c r="Z467" s="108"/>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226"/>
      <c r="BK467" s="226"/>
    </row>
    <row r="468" spans="1:63" ht="12.75" hidden="1" customHeight="1" outlineLevel="1">
      <c r="A468" s="9"/>
      <c r="B468" s="46"/>
      <c r="C468" s="132" t="str">
        <f>Asset7</f>
        <v>Substation Establishment</v>
      </c>
      <c r="D468" s="9"/>
      <c r="E468" s="9"/>
      <c r="F468" s="144"/>
      <c r="G468" s="198">
        <f>Input!P13</f>
        <v>0</v>
      </c>
      <c r="H468" s="123"/>
      <c r="I468" s="123"/>
      <c r="J468" s="123"/>
      <c r="K468" s="123"/>
      <c r="L468" s="123"/>
      <c r="M468" s="108"/>
      <c r="N468" s="108"/>
      <c r="O468" s="108"/>
      <c r="P468" s="108"/>
      <c r="Q468" s="108"/>
      <c r="R468" s="108"/>
      <c r="S468" s="108"/>
      <c r="T468" s="108"/>
      <c r="U468" s="108"/>
      <c r="V468" s="108"/>
      <c r="W468" s="108"/>
      <c r="X468" s="108"/>
      <c r="Y468" s="108"/>
      <c r="Z468" s="108"/>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6"/>
      <c r="BK468" s="226"/>
    </row>
    <row r="469" spans="1:63" ht="12.75" hidden="1" customHeight="1" outlineLevel="1">
      <c r="A469" s="9"/>
      <c r="B469" s="46"/>
      <c r="C469" s="132" t="str">
        <f>Asset8</f>
        <v>Distribution Substation Switchgear</v>
      </c>
      <c r="D469" s="9"/>
      <c r="E469" s="9"/>
      <c r="F469" s="144"/>
      <c r="G469" s="198">
        <f>Input!P14</f>
        <v>0</v>
      </c>
      <c r="H469" s="123"/>
      <c r="I469" s="123"/>
      <c r="J469" s="123"/>
      <c r="K469" s="123"/>
      <c r="L469" s="123"/>
      <c r="M469" s="108"/>
      <c r="N469" s="108"/>
      <c r="O469" s="108"/>
      <c r="P469" s="108"/>
      <c r="Q469" s="108"/>
      <c r="R469" s="108"/>
      <c r="S469" s="108"/>
      <c r="T469" s="108"/>
      <c r="U469" s="108"/>
      <c r="V469" s="108"/>
      <c r="W469" s="108"/>
      <c r="X469" s="108"/>
      <c r="Y469" s="108"/>
      <c r="Z469" s="108"/>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226"/>
      <c r="BK469" s="226"/>
    </row>
    <row r="470" spans="1:63" ht="12.75" hidden="1" customHeight="1" outlineLevel="1">
      <c r="A470" s="9"/>
      <c r="B470" s="46"/>
      <c r="C470" s="132" t="str">
        <f>Asset9</f>
        <v>Zone Transformers</v>
      </c>
      <c r="D470" s="9"/>
      <c r="E470" s="9"/>
      <c r="F470" s="144"/>
      <c r="G470" s="198">
        <f>Input!P15</f>
        <v>0</v>
      </c>
      <c r="H470" s="123"/>
      <c r="I470" s="123"/>
      <c r="J470" s="123"/>
      <c r="K470" s="123"/>
      <c r="L470" s="123"/>
      <c r="M470" s="108"/>
      <c r="N470" s="108"/>
      <c r="O470" s="108"/>
      <c r="P470" s="108"/>
      <c r="Q470" s="108"/>
      <c r="R470" s="108"/>
      <c r="S470" s="108"/>
      <c r="T470" s="108"/>
      <c r="U470" s="108"/>
      <c r="V470" s="108"/>
      <c r="W470" s="108"/>
      <c r="X470" s="108"/>
      <c r="Y470" s="108"/>
      <c r="Z470" s="108"/>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226"/>
      <c r="BK470" s="226"/>
    </row>
    <row r="471" spans="1:63" ht="12.75" hidden="1" customHeight="1" outlineLevel="1">
      <c r="A471" s="9"/>
      <c r="B471" s="46"/>
      <c r="C471" s="132" t="str">
        <f>Asset10</f>
        <v>Distribution Transformers</v>
      </c>
      <c r="D471" s="9"/>
      <c r="E471" s="9"/>
      <c r="F471" s="144"/>
      <c r="G471" s="198">
        <f>Input!P16</f>
        <v>0</v>
      </c>
      <c r="H471" s="123"/>
      <c r="I471" s="123"/>
      <c r="J471" s="123"/>
      <c r="K471" s="123"/>
      <c r="L471" s="123"/>
      <c r="M471" s="108"/>
      <c r="N471" s="108"/>
      <c r="O471" s="108"/>
      <c r="P471" s="108"/>
      <c r="Q471" s="108"/>
      <c r="R471" s="108"/>
      <c r="S471" s="108"/>
      <c r="T471" s="108"/>
      <c r="U471" s="108"/>
      <c r="V471" s="108"/>
      <c r="W471" s="108"/>
      <c r="X471" s="108"/>
      <c r="Y471" s="108"/>
      <c r="Z471" s="108"/>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226"/>
      <c r="BK471" s="226"/>
    </row>
    <row r="472" spans="1:63" ht="12.75" hidden="1" customHeight="1" outlineLevel="1">
      <c r="A472" s="9"/>
      <c r="B472" s="46"/>
      <c r="C472" s="132" t="str">
        <f>Asset11</f>
        <v>Low Voltage Services</v>
      </c>
      <c r="D472" s="9"/>
      <c r="E472" s="9"/>
      <c r="F472" s="144"/>
      <c r="G472" s="198">
        <f>Input!P17</f>
        <v>0</v>
      </c>
      <c r="H472" s="123"/>
      <c r="I472" s="123"/>
      <c r="J472" s="123"/>
      <c r="K472" s="123"/>
      <c r="L472" s="123"/>
      <c r="M472" s="108"/>
      <c r="N472" s="108"/>
      <c r="O472" s="108"/>
      <c r="P472" s="108"/>
      <c r="Q472" s="108"/>
      <c r="R472" s="108"/>
      <c r="S472" s="108"/>
      <c r="T472" s="108"/>
      <c r="U472" s="108"/>
      <c r="V472" s="108"/>
      <c r="W472" s="108"/>
      <c r="X472" s="108"/>
      <c r="Y472" s="108"/>
      <c r="Z472" s="108"/>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226"/>
      <c r="BK472" s="226"/>
    </row>
    <row r="473" spans="1:63" ht="12.75" hidden="1" customHeight="1" outlineLevel="1">
      <c r="A473" s="9"/>
      <c r="B473" s="46"/>
      <c r="C473" s="132" t="str">
        <f>Asset12</f>
        <v>Metering</v>
      </c>
      <c r="D473" s="9"/>
      <c r="E473" s="9"/>
      <c r="F473" s="144"/>
      <c r="G473" s="198">
        <f>Input!P18</f>
        <v>0</v>
      </c>
      <c r="H473" s="123"/>
      <c r="I473" s="123"/>
      <c r="J473" s="123"/>
      <c r="K473" s="123"/>
      <c r="L473" s="123"/>
      <c r="M473" s="108"/>
      <c r="N473" s="108"/>
      <c r="O473" s="108"/>
      <c r="P473" s="108"/>
      <c r="Q473" s="108"/>
      <c r="R473" s="108"/>
      <c r="S473" s="108"/>
      <c r="T473" s="108"/>
      <c r="U473" s="108"/>
      <c r="V473" s="108"/>
      <c r="W473" s="108"/>
      <c r="X473" s="108"/>
      <c r="Y473" s="108"/>
      <c r="Z473" s="108"/>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226"/>
      <c r="BK473" s="226"/>
    </row>
    <row r="474" spans="1:63" ht="12.75" hidden="1" customHeight="1" outlineLevel="1">
      <c r="A474" s="9"/>
      <c r="B474" s="46"/>
      <c r="C474" s="132" t="str">
        <f>Asset13</f>
        <v xml:space="preserve">Communications – Pilot Wires </v>
      </c>
      <c r="D474" s="9"/>
      <c r="E474" s="9"/>
      <c r="F474" s="144"/>
      <c r="G474" s="198">
        <f>Input!P19</f>
        <v>0</v>
      </c>
      <c r="H474" s="123"/>
      <c r="I474" s="123"/>
      <c r="J474" s="123"/>
      <c r="K474" s="123"/>
      <c r="L474" s="123"/>
      <c r="M474" s="108"/>
      <c r="N474" s="108"/>
      <c r="O474" s="108"/>
      <c r="P474" s="108"/>
      <c r="Q474" s="108"/>
      <c r="R474" s="108"/>
      <c r="S474" s="108"/>
      <c r="T474" s="108"/>
      <c r="U474" s="108"/>
      <c r="V474" s="108"/>
      <c r="W474" s="108"/>
      <c r="X474" s="108"/>
      <c r="Y474" s="108"/>
      <c r="Z474" s="108"/>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6"/>
      <c r="BK474" s="226"/>
    </row>
    <row r="475" spans="1:63" ht="12.75" hidden="1" customHeight="1" outlineLevel="1">
      <c r="A475" s="9"/>
      <c r="B475" s="46"/>
      <c r="C475" s="132" t="str">
        <f>Asset14</f>
        <v>Generation Assets</v>
      </c>
      <c r="D475" s="9"/>
      <c r="E475" s="9"/>
      <c r="F475" s="144"/>
      <c r="G475" s="198">
        <f>Input!P20</f>
        <v>0</v>
      </c>
      <c r="H475" s="123"/>
      <c r="I475" s="123"/>
      <c r="J475" s="123"/>
      <c r="K475" s="123"/>
      <c r="L475" s="123"/>
      <c r="M475" s="108"/>
      <c r="N475" s="108"/>
      <c r="O475" s="108"/>
      <c r="P475" s="108"/>
      <c r="Q475" s="108"/>
      <c r="R475" s="108"/>
      <c r="S475" s="108"/>
      <c r="T475" s="108"/>
      <c r="U475" s="108"/>
      <c r="V475" s="108"/>
      <c r="W475" s="108"/>
      <c r="X475" s="108"/>
      <c r="Y475" s="108"/>
      <c r="Z475" s="108"/>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6"/>
      <c r="BK475" s="226"/>
    </row>
    <row r="476" spans="1:63" ht="12.75" hidden="1" customHeight="1" outlineLevel="1">
      <c r="A476" s="9"/>
      <c r="B476" s="46"/>
      <c r="C476" s="132" t="str">
        <f>Asset15</f>
        <v>Street Lighting</v>
      </c>
      <c r="D476" s="9"/>
      <c r="E476" s="9"/>
      <c r="F476" s="144"/>
      <c r="G476" s="198">
        <f>Input!P21</f>
        <v>0</v>
      </c>
      <c r="H476" s="123"/>
      <c r="I476" s="123"/>
      <c r="J476" s="123"/>
      <c r="K476" s="123"/>
      <c r="L476" s="123"/>
      <c r="M476" s="108"/>
      <c r="N476" s="108"/>
      <c r="O476" s="108"/>
      <c r="P476" s="108"/>
      <c r="Q476" s="108"/>
      <c r="R476" s="108"/>
      <c r="S476" s="108"/>
      <c r="T476" s="108"/>
      <c r="U476" s="108"/>
      <c r="V476" s="108"/>
      <c r="W476" s="108"/>
      <c r="X476" s="108"/>
      <c r="Y476" s="108"/>
      <c r="Z476" s="108"/>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226"/>
      <c r="BK476" s="226"/>
    </row>
    <row r="477" spans="1:63" ht="12.75" hidden="1" customHeight="1" outlineLevel="1">
      <c r="A477" s="9"/>
      <c r="B477" s="46"/>
      <c r="C477" s="132" t="str">
        <f>Asset16</f>
        <v>Other Equipment</v>
      </c>
      <c r="D477" s="9"/>
      <c r="E477" s="9"/>
      <c r="F477" s="144"/>
      <c r="G477" s="198">
        <f>Input!P22</f>
        <v>0</v>
      </c>
      <c r="H477" s="123"/>
      <c r="I477" s="123"/>
      <c r="J477" s="123"/>
      <c r="K477" s="123"/>
      <c r="L477" s="123"/>
      <c r="M477" s="108"/>
      <c r="N477" s="108"/>
      <c r="O477" s="108"/>
      <c r="P477" s="108"/>
      <c r="Q477" s="108"/>
      <c r="R477" s="108"/>
      <c r="S477" s="108"/>
      <c r="T477" s="108"/>
      <c r="U477" s="108"/>
      <c r="V477" s="108"/>
      <c r="W477" s="108"/>
      <c r="X477" s="108"/>
      <c r="Y477" s="108"/>
      <c r="Z477" s="108"/>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c r="BG477" s="220"/>
      <c r="BH477" s="220"/>
      <c r="BI477" s="220"/>
      <c r="BJ477" s="226"/>
      <c r="BK477" s="226"/>
    </row>
    <row r="478" spans="1:63" ht="12.75" hidden="1" customHeight="1" outlineLevel="1">
      <c r="A478" s="9"/>
      <c r="B478" s="46"/>
      <c r="C478" s="132" t="str">
        <f>Asset17</f>
        <v>Control Centre - SCADA</v>
      </c>
      <c r="D478" s="9"/>
      <c r="E478" s="9"/>
      <c r="F478" s="144"/>
      <c r="G478" s="198">
        <f>Input!P23</f>
        <v>0</v>
      </c>
      <c r="H478" s="123"/>
      <c r="I478" s="123"/>
      <c r="J478" s="123"/>
      <c r="K478" s="123"/>
      <c r="L478" s="123"/>
      <c r="M478" s="108"/>
      <c r="N478" s="108"/>
      <c r="O478" s="108"/>
      <c r="P478" s="108"/>
      <c r="Q478" s="108"/>
      <c r="R478" s="108"/>
      <c r="S478" s="108"/>
      <c r="T478" s="108"/>
      <c r="U478" s="108"/>
      <c r="V478" s="108"/>
      <c r="W478" s="108"/>
      <c r="X478" s="108"/>
      <c r="Y478" s="108"/>
      <c r="Z478" s="108"/>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226"/>
      <c r="BK478" s="226"/>
    </row>
    <row r="479" spans="1:63" ht="12.75" hidden="1" customHeight="1" outlineLevel="1">
      <c r="A479" s="9"/>
      <c r="B479" s="46"/>
      <c r="C479" s="132" t="str">
        <f>Asset18</f>
        <v>Land &amp; Easements (System)</v>
      </c>
      <c r="D479" s="9"/>
      <c r="E479" s="9"/>
      <c r="F479" s="144"/>
      <c r="G479" s="198">
        <f>Input!P24</f>
        <v>0</v>
      </c>
      <c r="H479" s="123"/>
      <c r="I479" s="123"/>
      <c r="J479" s="123"/>
      <c r="K479" s="123"/>
      <c r="L479" s="123"/>
      <c r="M479" s="108"/>
      <c r="N479" s="108"/>
      <c r="O479" s="108"/>
      <c r="P479" s="108"/>
      <c r="Q479" s="108"/>
      <c r="R479" s="108"/>
      <c r="S479" s="108"/>
      <c r="T479" s="108"/>
      <c r="U479" s="108"/>
      <c r="V479" s="108"/>
      <c r="W479" s="108"/>
      <c r="X479" s="108"/>
      <c r="Y479" s="108"/>
      <c r="Z479" s="108"/>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226"/>
      <c r="BK479" s="226"/>
    </row>
    <row r="480" spans="1:63" ht="12.75" hidden="1" customHeight="1" outlineLevel="1">
      <c r="A480" s="9"/>
      <c r="B480" s="46"/>
      <c r="C480" s="132" t="str">
        <f>Asset19</f>
        <v>Metering Type 5-6</v>
      </c>
      <c r="D480" s="9"/>
      <c r="E480" s="9"/>
      <c r="F480" s="144"/>
      <c r="G480" s="198">
        <f>Input!P25</f>
        <v>0</v>
      </c>
      <c r="H480" s="123"/>
      <c r="I480" s="123"/>
      <c r="J480" s="123"/>
      <c r="K480" s="123"/>
      <c r="L480" s="123"/>
      <c r="M480" s="108"/>
      <c r="N480" s="108"/>
      <c r="O480" s="108"/>
      <c r="P480" s="108"/>
      <c r="Q480" s="108"/>
      <c r="R480" s="108"/>
      <c r="S480" s="108"/>
      <c r="T480" s="108"/>
      <c r="U480" s="108"/>
      <c r="V480" s="108"/>
      <c r="W480" s="108"/>
      <c r="X480" s="108"/>
      <c r="Y480" s="108"/>
      <c r="Z480" s="108"/>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226"/>
      <c r="BK480" s="226"/>
    </row>
    <row r="481" spans="1:63" ht="12.75" hidden="1" customHeight="1" outlineLevel="1">
      <c r="A481" s="9"/>
      <c r="B481" s="46"/>
      <c r="C481" s="132" t="str">
        <f>Asset20</f>
        <v>Communications</v>
      </c>
      <c r="D481" s="9"/>
      <c r="E481" s="9"/>
      <c r="F481" s="144"/>
      <c r="G481" s="198">
        <f>Input!P26</f>
        <v>0</v>
      </c>
      <c r="H481" s="123"/>
      <c r="I481" s="123"/>
      <c r="J481" s="123"/>
      <c r="K481" s="123"/>
      <c r="L481" s="123"/>
      <c r="M481" s="108"/>
      <c r="N481" s="108"/>
      <c r="O481" s="108"/>
      <c r="P481" s="108"/>
      <c r="Q481" s="108"/>
      <c r="R481" s="108"/>
      <c r="S481" s="108"/>
      <c r="T481" s="108"/>
      <c r="U481" s="108"/>
      <c r="V481" s="108"/>
      <c r="W481" s="108"/>
      <c r="X481" s="108"/>
      <c r="Y481" s="108"/>
      <c r="Z481" s="108"/>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226"/>
      <c r="BK481" s="226"/>
    </row>
    <row r="482" spans="1:63" ht="12.75" hidden="1" customHeight="1" outlineLevel="1">
      <c r="A482" s="9"/>
      <c r="B482" s="46"/>
      <c r="C482" s="132" t="str">
        <f>Asset21</f>
        <v>IT Systems</v>
      </c>
      <c r="D482" s="9"/>
      <c r="E482" s="9"/>
      <c r="F482" s="144"/>
      <c r="G482" s="198">
        <f>Input!P27</f>
        <v>0</v>
      </c>
      <c r="H482" s="123"/>
      <c r="I482" s="123"/>
      <c r="J482" s="123"/>
      <c r="K482" s="123"/>
      <c r="L482" s="123"/>
      <c r="M482" s="108"/>
      <c r="N482" s="108"/>
      <c r="O482" s="108"/>
      <c r="P482" s="108"/>
      <c r="Q482" s="108"/>
      <c r="R482" s="108"/>
      <c r="S482" s="108"/>
      <c r="T482" s="108"/>
      <c r="U482" s="108"/>
      <c r="V482" s="108"/>
      <c r="W482" s="108"/>
      <c r="X482" s="108"/>
      <c r="Y482" s="108"/>
      <c r="Z482" s="108"/>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6"/>
      <c r="BK482" s="226"/>
    </row>
    <row r="483" spans="1:63" ht="12.75" hidden="1" customHeight="1" outlineLevel="1">
      <c r="A483" s="9"/>
      <c r="B483" s="46"/>
      <c r="C483" s="132" t="str">
        <f>Asset22</f>
        <v>Office Equipment &amp; Furniture</v>
      </c>
      <c r="D483" s="9"/>
      <c r="E483" s="9"/>
      <c r="F483" s="144"/>
      <c r="G483" s="198">
        <f>Input!P28</f>
        <v>0</v>
      </c>
      <c r="H483" s="123"/>
      <c r="I483" s="123"/>
      <c r="J483" s="123"/>
      <c r="K483" s="123"/>
      <c r="L483" s="123"/>
      <c r="M483" s="108"/>
      <c r="N483" s="108"/>
      <c r="O483" s="108"/>
      <c r="P483" s="108"/>
      <c r="Q483" s="108"/>
      <c r="R483" s="108"/>
      <c r="S483" s="108"/>
      <c r="T483" s="108"/>
      <c r="U483" s="108"/>
      <c r="V483" s="108"/>
      <c r="W483" s="108"/>
      <c r="X483" s="108"/>
      <c r="Y483" s="108"/>
      <c r="Z483" s="108"/>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226"/>
      <c r="BK483" s="226"/>
    </row>
    <row r="484" spans="1:63" ht="12.75" hidden="1" customHeight="1" outlineLevel="1">
      <c r="A484" s="9"/>
      <c r="B484" s="46"/>
      <c r="C484" s="132" t="str">
        <f>Asset23</f>
        <v>Motor Vehicles</v>
      </c>
      <c r="D484" s="9"/>
      <c r="E484" s="9"/>
      <c r="F484" s="144"/>
      <c r="G484" s="198">
        <f>Input!P29</f>
        <v>0</v>
      </c>
      <c r="H484" s="123"/>
      <c r="I484" s="123"/>
      <c r="J484" s="123"/>
      <c r="K484" s="123"/>
      <c r="L484" s="123"/>
      <c r="M484" s="108"/>
      <c r="N484" s="108"/>
      <c r="O484" s="108"/>
      <c r="P484" s="108"/>
      <c r="Q484" s="108"/>
      <c r="R484" s="108"/>
      <c r="S484" s="108"/>
      <c r="T484" s="108"/>
      <c r="U484" s="108"/>
      <c r="V484" s="108"/>
      <c r="W484" s="108"/>
      <c r="X484" s="108"/>
      <c r="Y484" s="108"/>
      <c r="Z484" s="108"/>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226"/>
      <c r="BK484" s="226"/>
    </row>
    <row r="485" spans="1:63" ht="12.75" hidden="1" customHeight="1" outlineLevel="1">
      <c r="A485" s="9"/>
      <c r="B485" s="46"/>
      <c r="C485" s="132" t="str">
        <f>Asset24</f>
        <v>Plant &amp; Equipment</v>
      </c>
      <c r="D485" s="9"/>
      <c r="E485" s="9"/>
      <c r="F485" s="144"/>
      <c r="G485" s="198">
        <f>Input!P30</f>
        <v>0</v>
      </c>
      <c r="H485" s="123"/>
      <c r="I485" s="123"/>
      <c r="J485" s="123"/>
      <c r="K485" s="123"/>
      <c r="L485" s="123"/>
      <c r="M485" s="108"/>
      <c r="N485" s="108"/>
      <c r="O485" s="108"/>
      <c r="P485" s="108"/>
      <c r="Q485" s="108"/>
      <c r="R485" s="108"/>
      <c r="S485" s="108"/>
      <c r="T485" s="108"/>
      <c r="U485" s="108"/>
      <c r="V485" s="108"/>
      <c r="W485" s="108"/>
      <c r="X485" s="108"/>
      <c r="Y485" s="108"/>
      <c r="Z485" s="108"/>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226"/>
      <c r="BK485" s="226"/>
    </row>
    <row r="486" spans="1:63" ht="12.75" hidden="1" customHeight="1" outlineLevel="1">
      <c r="A486" s="9"/>
      <c r="B486" s="46"/>
      <c r="C486" s="132" t="str">
        <f>Asset25</f>
        <v>Buildings</v>
      </c>
      <c r="D486" s="9"/>
      <c r="E486" s="9"/>
      <c r="F486" s="144"/>
      <c r="G486" s="198">
        <f>Input!P31</f>
        <v>0</v>
      </c>
      <c r="H486" s="123"/>
      <c r="I486" s="123"/>
      <c r="J486" s="123"/>
      <c r="K486" s="123"/>
      <c r="L486" s="123"/>
      <c r="M486" s="108"/>
      <c r="N486" s="108"/>
      <c r="O486" s="108"/>
      <c r="P486" s="108"/>
      <c r="Q486" s="108"/>
      <c r="R486" s="108"/>
      <c r="S486" s="108"/>
      <c r="T486" s="108"/>
      <c r="U486" s="108"/>
      <c r="V486" s="108"/>
      <c r="W486" s="108"/>
      <c r="X486" s="108"/>
      <c r="Y486" s="108"/>
      <c r="Z486" s="108"/>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226"/>
      <c r="BK486" s="226"/>
    </row>
    <row r="487" spans="1:63" ht="12.75" hidden="1" customHeight="1" outlineLevel="1">
      <c r="A487" s="9"/>
      <c r="B487" s="46"/>
      <c r="C487" s="132" t="str">
        <f>Asset26</f>
        <v>Land &amp; Easements</v>
      </c>
      <c r="D487" s="9"/>
      <c r="E487" s="9"/>
      <c r="F487" s="144"/>
      <c r="G487" s="198">
        <f>Input!P32</f>
        <v>0</v>
      </c>
      <c r="H487" s="123"/>
      <c r="I487" s="123"/>
      <c r="J487" s="123"/>
      <c r="K487" s="123"/>
      <c r="L487" s="123"/>
      <c r="M487" s="108"/>
      <c r="N487" s="108"/>
      <c r="O487" s="108"/>
      <c r="P487" s="108"/>
      <c r="Q487" s="108"/>
      <c r="R487" s="108"/>
      <c r="S487" s="108"/>
      <c r="T487" s="108"/>
      <c r="U487" s="108"/>
      <c r="V487" s="108"/>
      <c r="W487" s="108"/>
      <c r="X487" s="108"/>
      <c r="Y487" s="108"/>
      <c r="Z487" s="108"/>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226"/>
      <c r="BK487" s="226"/>
    </row>
    <row r="488" spans="1:63" ht="12.75" hidden="1" customHeight="1" outlineLevel="1">
      <c r="A488" s="9"/>
      <c r="B488" s="46"/>
      <c r="C488" s="132" t="str">
        <f>Asset27</f>
        <v>Land Improvements</v>
      </c>
      <c r="D488" s="9"/>
      <c r="E488" s="9"/>
      <c r="F488" s="144"/>
      <c r="G488" s="198">
        <f>Input!P33</f>
        <v>0</v>
      </c>
      <c r="H488" s="123"/>
      <c r="I488" s="123"/>
      <c r="J488" s="123"/>
      <c r="K488" s="123"/>
      <c r="L488" s="123"/>
      <c r="M488" s="108"/>
      <c r="N488" s="108"/>
      <c r="O488" s="108"/>
      <c r="P488" s="108"/>
      <c r="Q488" s="108"/>
      <c r="R488" s="108"/>
      <c r="S488" s="108"/>
      <c r="T488" s="108"/>
      <c r="U488" s="108"/>
      <c r="V488" s="108"/>
      <c r="W488" s="108"/>
      <c r="X488" s="108"/>
      <c r="Y488" s="108"/>
      <c r="Z488" s="108"/>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226"/>
      <c r="BK488" s="226"/>
    </row>
    <row r="489" spans="1:63" ht="12.75" hidden="1" customHeight="1" outlineLevel="1">
      <c r="A489" s="9"/>
      <c r="B489" s="46"/>
      <c r="C489" s="132" t="str">
        <f>Asset28</f>
        <v>Equity Raising Costs</v>
      </c>
      <c r="D489" s="9"/>
      <c r="E489" s="9"/>
      <c r="F489" s="144"/>
      <c r="G489" s="198">
        <f>Input!P34</f>
        <v>0</v>
      </c>
      <c r="H489" s="123"/>
      <c r="I489" s="123"/>
      <c r="J489" s="123"/>
      <c r="K489" s="123"/>
      <c r="L489" s="123"/>
      <c r="M489" s="108"/>
      <c r="N489" s="108"/>
      <c r="O489" s="108"/>
      <c r="P489" s="108"/>
      <c r="Q489" s="108"/>
      <c r="R489" s="108"/>
      <c r="S489" s="108"/>
      <c r="T489" s="108"/>
      <c r="U489" s="108"/>
      <c r="V489" s="108"/>
      <c r="W489" s="108"/>
      <c r="X489" s="108"/>
      <c r="Y489" s="108"/>
      <c r="Z489" s="108"/>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6"/>
      <c r="BK489" s="226"/>
    </row>
    <row r="490" spans="1:63" ht="12.75" hidden="1" customHeight="1" outlineLevel="1">
      <c r="A490" s="9"/>
      <c r="B490" s="46"/>
      <c r="C490" s="132" t="str">
        <f>Asset29</f>
        <v>Not Used</v>
      </c>
      <c r="D490" s="9"/>
      <c r="E490" s="9"/>
      <c r="F490" s="144"/>
      <c r="G490" s="198">
        <f>Input!P35</f>
        <v>0</v>
      </c>
      <c r="H490" s="123"/>
      <c r="I490" s="123"/>
      <c r="J490" s="123"/>
      <c r="K490" s="123"/>
      <c r="L490" s="123"/>
      <c r="M490" s="108"/>
      <c r="N490" s="108"/>
      <c r="O490" s="108"/>
      <c r="P490" s="108"/>
      <c r="Q490" s="108"/>
      <c r="R490" s="108"/>
      <c r="S490" s="108"/>
      <c r="T490" s="108"/>
      <c r="U490" s="108"/>
      <c r="V490" s="108"/>
      <c r="W490" s="108"/>
      <c r="X490" s="108"/>
      <c r="Y490" s="108"/>
      <c r="Z490" s="108"/>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6"/>
      <c r="BK490" s="226"/>
    </row>
    <row r="491" spans="1:63" ht="12.75" hidden="1" customHeight="1" outlineLevel="1">
      <c r="A491" s="9"/>
      <c r="B491" s="46"/>
      <c r="C491" s="132" t="str">
        <f>Asset30</f>
        <v>Not Used</v>
      </c>
      <c r="D491" s="9"/>
      <c r="E491" s="9"/>
      <c r="F491" s="144"/>
      <c r="G491" s="198">
        <f>Input!P36</f>
        <v>0</v>
      </c>
      <c r="H491" s="123"/>
      <c r="I491" s="123"/>
      <c r="J491" s="123"/>
      <c r="K491" s="123"/>
      <c r="L491" s="123"/>
      <c r="M491" s="108"/>
      <c r="N491" s="108"/>
      <c r="O491" s="108"/>
      <c r="P491" s="108"/>
      <c r="Q491" s="108"/>
      <c r="R491" s="108"/>
      <c r="S491" s="108"/>
      <c r="T491" s="108"/>
      <c r="U491" s="108"/>
      <c r="V491" s="108"/>
      <c r="W491" s="108"/>
      <c r="X491" s="108"/>
      <c r="Y491" s="108"/>
      <c r="Z491" s="108"/>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c r="BG491" s="220"/>
      <c r="BH491" s="220"/>
      <c r="BI491" s="220"/>
      <c r="BJ491" s="226"/>
      <c r="BK491" s="226"/>
    </row>
    <row r="492" spans="1:63" collapsed="1">
      <c r="A492" s="9"/>
      <c r="B492" s="46"/>
      <c r="C492" s="132"/>
      <c r="D492" s="9"/>
      <c r="E492" s="9"/>
      <c r="F492" s="144"/>
      <c r="G492" s="198"/>
      <c r="H492" s="123"/>
      <c r="I492" s="123"/>
      <c r="J492" s="123"/>
      <c r="K492" s="123"/>
      <c r="L492" s="123"/>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c r="BJ492" s="226"/>
      <c r="BK492" s="226"/>
    </row>
    <row r="493" spans="1:63">
      <c r="A493" s="9"/>
      <c r="B493" s="46" t="s">
        <v>62</v>
      </c>
      <c r="C493" s="132"/>
      <c r="D493" s="9"/>
      <c r="E493" s="9"/>
      <c r="F493" s="28"/>
      <c r="G493" s="202">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c r="BJ493" s="226"/>
      <c r="BK493" s="226"/>
    </row>
    <row r="494" spans="1:63" ht="12.75" hidden="1" customHeight="1" outlineLevel="1">
      <c r="A494" s="9"/>
      <c r="B494" s="46"/>
      <c r="C494" s="132" t="str">
        <f>Asset1</f>
        <v>Overhead Sub-Transmission Lines</v>
      </c>
      <c r="D494" s="9"/>
      <c r="E494" s="9"/>
      <c r="F494" s="28"/>
      <c r="G494" s="201">
        <f>Input!Q7</f>
        <v>0</v>
      </c>
      <c r="H494" s="123"/>
      <c r="I494" s="123"/>
      <c r="J494" s="123"/>
      <c r="K494" s="123"/>
      <c r="L494" s="123"/>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c r="BJ494" s="226"/>
      <c r="BK494" s="226"/>
    </row>
    <row r="495" spans="1:63" ht="12.75" hidden="1" customHeight="1" outlineLevel="1">
      <c r="A495" s="9"/>
      <c r="B495" s="46"/>
      <c r="C495" s="132" t="str">
        <f>Asset2</f>
        <v>Underground Sub-Transmission Cables</v>
      </c>
      <c r="D495" s="9"/>
      <c r="E495" s="9"/>
      <c r="F495" s="28"/>
      <c r="G495" s="201">
        <f>Input!Q8</f>
        <v>0</v>
      </c>
      <c r="H495" s="123"/>
      <c r="I495" s="123"/>
      <c r="J495" s="123"/>
      <c r="K495" s="123"/>
      <c r="L495" s="123"/>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c r="BJ495" s="226"/>
      <c r="BK495" s="226"/>
    </row>
    <row r="496" spans="1:63" ht="12.75" hidden="1" customHeight="1" outlineLevel="1">
      <c r="A496" s="9"/>
      <c r="B496" s="46"/>
      <c r="C496" s="132" t="str">
        <f>Asset3</f>
        <v>Overhead Distribution Lines</v>
      </c>
      <c r="D496" s="9"/>
      <c r="E496" s="9"/>
      <c r="F496" s="28"/>
      <c r="G496" s="201">
        <f>Input!Q9</f>
        <v>0</v>
      </c>
      <c r="H496" s="123"/>
      <c r="I496" s="123"/>
      <c r="J496" s="123"/>
      <c r="K496" s="123"/>
      <c r="L496" s="123"/>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6"/>
      <c r="BK496" s="226"/>
    </row>
    <row r="497" spans="1:63" ht="12.75" hidden="1" customHeight="1" outlineLevel="1">
      <c r="A497" s="9"/>
      <c r="B497" s="46"/>
      <c r="C497" s="132" t="str">
        <f>Asset4</f>
        <v>Underground Distribution Cables</v>
      </c>
      <c r="D497" s="9"/>
      <c r="E497" s="9"/>
      <c r="F497" s="28"/>
      <c r="G497" s="201">
        <f>Input!Q10</f>
        <v>0</v>
      </c>
      <c r="H497" s="123"/>
      <c r="I497" s="123"/>
      <c r="J497" s="123"/>
      <c r="K497" s="123"/>
      <c r="L497" s="123"/>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6"/>
      <c r="BK497" s="226"/>
    </row>
    <row r="498" spans="1:63" ht="12.75" hidden="1" customHeight="1" outlineLevel="1">
      <c r="A498" s="9"/>
      <c r="B498" s="46"/>
      <c r="C498" s="132" t="str">
        <f>Asset5</f>
        <v xml:space="preserve">Distribution Equipment  </v>
      </c>
      <c r="D498" s="9"/>
      <c r="E498" s="9"/>
      <c r="F498" s="28"/>
      <c r="G498" s="201">
        <f>Input!Q11</f>
        <v>0</v>
      </c>
      <c r="H498" s="123"/>
      <c r="I498" s="123"/>
      <c r="J498" s="123"/>
      <c r="K498" s="123"/>
      <c r="L498" s="123"/>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c r="BJ498" s="226"/>
      <c r="BK498" s="226"/>
    </row>
    <row r="499" spans="1:63" ht="12.75" hidden="1" customHeight="1" outlineLevel="1">
      <c r="A499" s="9"/>
      <c r="B499" s="46"/>
      <c r="C499" s="132" t="str">
        <f>Asset6</f>
        <v>Substation Bays</v>
      </c>
      <c r="D499" s="9"/>
      <c r="E499" s="9"/>
      <c r="F499" s="28"/>
      <c r="G499" s="201">
        <f>Input!Q12</f>
        <v>0</v>
      </c>
      <c r="H499" s="123"/>
      <c r="I499" s="123"/>
      <c r="J499" s="123"/>
      <c r="K499" s="123"/>
      <c r="L499" s="123"/>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c r="BJ499" s="226"/>
      <c r="BK499" s="226"/>
    </row>
    <row r="500" spans="1:63" ht="12.75" hidden="1" customHeight="1" outlineLevel="1">
      <c r="A500" s="9"/>
      <c r="B500" s="46"/>
      <c r="C500" s="132" t="str">
        <f>Asset7</f>
        <v>Substation Establishment</v>
      </c>
      <c r="D500" s="9"/>
      <c r="E500" s="9"/>
      <c r="F500" s="28"/>
      <c r="G500" s="201">
        <f>Input!Q13</f>
        <v>0</v>
      </c>
      <c r="H500" s="123"/>
      <c r="I500" s="123"/>
      <c r="J500" s="123"/>
      <c r="K500" s="123"/>
      <c r="L500" s="123"/>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c r="BJ500" s="226"/>
      <c r="BK500" s="226"/>
    </row>
    <row r="501" spans="1:63" ht="12.75" hidden="1" customHeight="1" outlineLevel="1">
      <c r="A501" s="9"/>
      <c r="B501" s="46"/>
      <c r="C501" s="132" t="str">
        <f>Asset8</f>
        <v>Distribution Substation Switchgear</v>
      </c>
      <c r="D501" s="9"/>
      <c r="E501" s="9"/>
      <c r="F501" s="28"/>
      <c r="G501" s="201">
        <f>Input!Q14</f>
        <v>0</v>
      </c>
      <c r="H501" s="123"/>
      <c r="I501" s="123"/>
      <c r="J501" s="123"/>
      <c r="K501" s="123"/>
      <c r="L501" s="123"/>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c r="BJ501" s="226"/>
      <c r="BK501" s="226"/>
    </row>
    <row r="502" spans="1:63" ht="12.75" hidden="1" customHeight="1" outlineLevel="1">
      <c r="A502" s="9"/>
      <c r="B502" s="46"/>
      <c r="C502" s="132" t="str">
        <f>Asset9</f>
        <v>Zone Transformers</v>
      </c>
      <c r="D502" s="9"/>
      <c r="E502" s="9"/>
      <c r="F502" s="28"/>
      <c r="G502" s="201">
        <f>Input!Q15</f>
        <v>0</v>
      </c>
      <c r="H502" s="123"/>
      <c r="I502" s="123"/>
      <c r="J502" s="123"/>
      <c r="K502" s="123"/>
      <c r="L502" s="123"/>
      <c r="M502" s="108"/>
      <c r="N502" s="108"/>
      <c r="O502" s="108"/>
      <c r="P502" s="108"/>
      <c r="Q502" s="108"/>
      <c r="R502" s="108"/>
      <c r="S502" s="108"/>
      <c r="T502" s="108"/>
      <c r="U502" s="108"/>
      <c r="V502" s="108"/>
      <c r="W502" s="108"/>
      <c r="X502" s="108"/>
      <c r="Y502" s="108"/>
      <c r="Z502" s="108"/>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c r="BG502" s="220"/>
      <c r="BH502" s="220"/>
      <c r="BI502" s="220"/>
      <c r="BJ502" s="226"/>
      <c r="BK502" s="226"/>
    </row>
    <row r="503" spans="1:63" ht="12.75" hidden="1" customHeight="1" outlineLevel="1">
      <c r="A503" s="9"/>
      <c r="B503" s="46"/>
      <c r="C503" s="132" t="str">
        <f>Asset10</f>
        <v>Distribution Transformers</v>
      </c>
      <c r="D503" s="9"/>
      <c r="E503" s="9"/>
      <c r="F503" s="28"/>
      <c r="G503" s="201">
        <f>Input!Q16</f>
        <v>0</v>
      </c>
      <c r="H503" s="123"/>
      <c r="I503" s="123"/>
      <c r="J503" s="123"/>
      <c r="K503" s="123"/>
      <c r="L503" s="123"/>
      <c r="M503" s="108"/>
      <c r="N503" s="108"/>
      <c r="O503" s="108"/>
      <c r="P503" s="108"/>
      <c r="Q503" s="108"/>
      <c r="R503" s="108"/>
      <c r="S503" s="108"/>
      <c r="T503" s="108"/>
      <c r="U503" s="108"/>
      <c r="V503" s="108"/>
      <c r="W503" s="108"/>
      <c r="X503" s="108"/>
      <c r="Y503" s="108"/>
      <c r="Z503" s="108"/>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c r="BG503" s="220"/>
      <c r="BH503" s="220"/>
      <c r="BI503" s="220"/>
      <c r="BJ503" s="226"/>
      <c r="BK503" s="226"/>
    </row>
    <row r="504" spans="1:63" ht="12.75" hidden="1" customHeight="1" outlineLevel="1">
      <c r="A504" s="9"/>
      <c r="B504" s="46"/>
      <c r="C504" s="132" t="str">
        <f>Asset11</f>
        <v>Low Voltage Services</v>
      </c>
      <c r="D504" s="9"/>
      <c r="E504" s="9"/>
      <c r="F504" s="28"/>
      <c r="G504" s="201">
        <f>Input!Q17</f>
        <v>0</v>
      </c>
      <c r="H504" s="123"/>
      <c r="I504" s="123"/>
      <c r="J504" s="123"/>
      <c r="K504" s="123"/>
      <c r="L504" s="123"/>
      <c r="M504" s="108"/>
      <c r="N504" s="108"/>
      <c r="O504" s="108"/>
      <c r="P504" s="108"/>
      <c r="Q504" s="108"/>
      <c r="R504" s="108"/>
      <c r="S504" s="108"/>
      <c r="T504" s="108"/>
      <c r="U504" s="108"/>
      <c r="V504" s="108"/>
      <c r="W504" s="108"/>
      <c r="X504" s="108"/>
      <c r="Y504" s="108"/>
      <c r="Z504" s="108"/>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c r="BG504" s="220"/>
      <c r="BH504" s="220"/>
      <c r="BI504" s="220"/>
      <c r="BJ504" s="226"/>
      <c r="BK504" s="226"/>
    </row>
    <row r="505" spans="1:63" ht="12.75" hidden="1" customHeight="1" outlineLevel="1">
      <c r="A505" s="9"/>
      <c r="B505" s="46"/>
      <c r="C505" s="132" t="str">
        <f>Asset12</f>
        <v>Metering</v>
      </c>
      <c r="D505" s="9"/>
      <c r="E505" s="9"/>
      <c r="F505" s="28"/>
      <c r="G505" s="201">
        <f>Input!Q18</f>
        <v>0</v>
      </c>
      <c r="H505" s="123"/>
      <c r="I505" s="123"/>
      <c r="J505" s="123"/>
      <c r="K505" s="123"/>
      <c r="L505" s="123"/>
      <c r="M505" s="108"/>
      <c r="N505" s="108"/>
      <c r="O505" s="108"/>
      <c r="P505" s="108"/>
      <c r="Q505" s="108"/>
      <c r="R505" s="108"/>
      <c r="S505" s="108"/>
      <c r="T505" s="108"/>
      <c r="U505" s="108"/>
      <c r="V505" s="108"/>
      <c r="W505" s="108"/>
      <c r="X505" s="108"/>
      <c r="Y505" s="108"/>
      <c r="Z505" s="108"/>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c r="BF505" s="220"/>
      <c r="BG505" s="220"/>
      <c r="BH505" s="220"/>
      <c r="BI505" s="220"/>
      <c r="BJ505" s="226"/>
      <c r="BK505" s="226"/>
    </row>
    <row r="506" spans="1:63" ht="12.75" hidden="1" customHeight="1" outlineLevel="1">
      <c r="A506" s="9"/>
      <c r="B506" s="46"/>
      <c r="C506" s="132" t="str">
        <f>Asset13</f>
        <v xml:space="preserve">Communications – Pilot Wires </v>
      </c>
      <c r="D506" s="9"/>
      <c r="E506" s="9"/>
      <c r="F506" s="28"/>
      <c r="G506" s="201">
        <f>Input!Q19</f>
        <v>0</v>
      </c>
      <c r="H506" s="123"/>
      <c r="I506" s="123"/>
      <c r="J506" s="123"/>
      <c r="K506" s="123"/>
      <c r="L506" s="123"/>
      <c r="M506" s="108"/>
      <c r="N506" s="108"/>
      <c r="O506" s="108"/>
      <c r="P506" s="108"/>
      <c r="Q506" s="108"/>
      <c r="R506" s="108"/>
      <c r="S506" s="108"/>
      <c r="T506" s="108"/>
      <c r="U506" s="108"/>
      <c r="V506" s="108"/>
      <c r="W506" s="108"/>
      <c r="X506" s="108"/>
      <c r="Y506" s="108"/>
      <c r="Z506" s="108"/>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c r="BG506" s="220"/>
      <c r="BH506" s="220"/>
      <c r="BI506" s="220"/>
      <c r="BJ506" s="226"/>
      <c r="BK506" s="226"/>
    </row>
    <row r="507" spans="1:63" ht="12.75" hidden="1" customHeight="1" outlineLevel="1">
      <c r="A507" s="9"/>
      <c r="B507" s="46"/>
      <c r="C507" s="132" t="str">
        <f>Asset14</f>
        <v>Generation Assets</v>
      </c>
      <c r="D507" s="9"/>
      <c r="E507" s="9"/>
      <c r="F507" s="28"/>
      <c r="G507" s="201">
        <f>Input!Q20</f>
        <v>0</v>
      </c>
      <c r="H507" s="123"/>
      <c r="I507" s="123"/>
      <c r="J507" s="123"/>
      <c r="K507" s="123"/>
      <c r="L507" s="123"/>
      <c r="M507" s="108"/>
      <c r="N507" s="108"/>
      <c r="O507" s="108"/>
      <c r="P507" s="108"/>
      <c r="Q507" s="108"/>
      <c r="R507" s="108"/>
      <c r="S507" s="108"/>
      <c r="T507" s="108"/>
      <c r="U507" s="108"/>
      <c r="V507" s="108"/>
      <c r="W507" s="108"/>
      <c r="X507" s="108"/>
      <c r="Y507" s="108"/>
      <c r="Z507" s="108"/>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c r="BG507" s="220"/>
      <c r="BH507" s="220"/>
      <c r="BI507" s="220"/>
      <c r="BJ507" s="226"/>
      <c r="BK507" s="226"/>
    </row>
    <row r="508" spans="1:63" ht="12.75" hidden="1" customHeight="1" outlineLevel="1">
      <c r="A508" s="9"/>
      <c r="B508" s="46"/>
      <c r="C508" s="132" t="str">
        <f>Asset15</f>
        <v>Street Lighting</v>
      </c>
      <c r="D508" s="9"/>
      <c r="E508" s="9"/>
      <c r="F508" s="28"/>
      <c r="G508" s="201">
        <f>Input!Q21</f>
        <v>0</v>
      </c>
      <c r="H508" s="123"/>
      <c r="I508" s="123"/>
      <c r="J508" s="123"/>
      <c r="K508" s="123"/>
      <c r="L508" s="123"/>
      <c r="M508" s="108"/>
      <c r="N508" s="108"/>
      <c r="O508" s="108"/>
      <c r="P508" s="108"/>
      <c r="Q508" s="108"/>
      <c r="R508" s="108"/>
      <c r="S508" s="108"/>
      <c r="T508" s="108"/>
      <c r="U508" s="108"/>
      <c r="V508" s="108"/>
      <c r="W508" s="108"/>
      <c r="X508" s="108"/>
      <c r="Y508" s="108"/>
      <c r="Z508" s="108"/>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c r="BG508" s="220"/>
      <c r="BH508" s="220"/>
      <c r="BI508" s="220"/>
      <c r="BJ508" s="226"/>
      <c r="BK508" s="226"/>
    </row>
    <row r="509" spans="1:63" ht="12.75" hidden="1" customHeight="1" outlineLevel="1">
      <c r="A509" s="9"/>
      <c r="B509" s="46"/>
      <c r="C509" s="132" t="str">
        <f>Asset16</f>
        <v>Other Equipment</v>
      </c>
      <c r="D509" s="9"/>
      <c r="E509" s="9"/>
      <c r="F509" s="28"/>
      <c r="G509" s="201">
        <f>Input!Q22</f>
        <v>0</v>
      </c>
      <c r="H509" s="123"/>
      <c r="I509" s="123"/>
      <c r="J509" s="123"/>
      <c r="K509" s="123"/>
      <c r="L509" s="123"/>
      <c r="M509" s="108"/>
      <c r="N509" s="108"/>
      <c r="O509" s="108"/>
      <c r="P509" s="108"/>
      <c r="Q509" s="108"/>
      <c r="R509" s="108"/>
      <c r="S509" s="108"/>
      <c r="T509" s="108"/>
      <c r="U509" s="108"/>
      <c r="V509" s="108"/>
      <c r="W509" s="108"/>
      <c r="X509" s="108"/>
      <c r="Y509" s="108"/>
      <c r="Z509" s="108"/>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c r="BG509" s="220"/>
      <c r="BH509" s="220"/>
      <c r="BI509" s="220"/>
      <c r="BJ509" s="226"/>
      <c r="BK509" s="226"/>
    </row>
    <row r="510" spans="1:63" ht="12.75" hidden="1" customHeight="1" outlineLevel="1">
      <c r="A510" s="9"/>
      <c r="B510" s="46"/>
      <c r="C510" s="132" t="str">
        <f>Asset17</f>
        <v>Control Centre - SCADA</v>
      </c>
      <c r="D510" s="9"/>
      <c r="E510" s="9"/>
      <c r="F510" s="28"/>
      <c r="G510" s="201">
        <f>Input!Q23</f>
        <v>0</v>
      </c>
      <c r="H510" s="123"/>
      <c r="I510" s="123"/>
      <c r="J510" s="123"/>
      <c r="K510" s="123"/>
      <c r="L510" s="123"/>
      <c r="M510" s="108"/>
      <c r="N510" s="108"/>
      <c r="O510" s="108"/>
      <c r="P510" s="108"/>
      <c r="Q510" s="108"/>
      <c r="R510" s="108"/>
      <c r="S510" s="108"/>
      <c r="T510" s="108"/>
      <c r="U510" s="108"/>
      <c r="V510" s="108"/>
      <c r="W510" s="108"/>
      <c r="X510" s="108"/>
      <c r="Y510" s="108"/>
      <c r="Z510" s="108"/>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6"/>
      <c r="BK510" s="226"/>
    </row>
    <row r="511" spans="1:63" ht="12.75" hidden="1" customHeight="1" outlineLevel="1">
      <c r="A511" s="9"/>
      <c r="B511" s="46"/>
      <c r="C511" s="132" t="str">
        <f>Asset18</f>
        <v>Land &amp; Easements (System)</v>
      </c>
      <c r="D511" s="9"/>
      <c r="E511" s="9"/>
      <c r="F511" s="28"/>
      <c r="G511" s="201">
        <f>Input!Q24</f>
        <v>0</v>
      </c>
      <c r="H511" s="123"/>
      <c r="I511" s="123"/>
      <c r="J511" s="123"/>
      <c r="K511" s="123"/>
      <c r="L511" s="123"/>
      <c r="M511" s="108"/>
      <c r="N511" s="108"/>
      <c r="O511" s="108"/>
      <c r="P511" s="108"/>
      <c r="Q511" s="108"/>
      <c r="R511" s="108"/>
      <c r="S511" s="108"/>
      <c r="T511" s="108"/>
      <c r="U511" s="108"/>
      <c r="V511" s="108"/>
      <c r="W511" s="108"/>
      <c r="X511" s="108"/>
      <c r="Y511" s="108"/>
      <c r="Z511" s="108"/>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6"/>
      <c r="BK511" s="226"/>
    </row>
    <row r="512" spans="1:63" ht="12.75" hidden="1" customHeight="1" outlineLevel="1">
      <c r="A512" s="9"/>
      <c r="B512" s="46"/>
      <c r="C512" s="132" t="str">
        <f>Asset19</f>
        <v>Metering Type 5-6</v>
      </c>
      <c r="D512" s="9"/>
      <c r="E512" s="9"/>
      <c r="F512" s="28"/>
      <c r="G512" s="201">
        <f>Input!Q25</f>
        <v>0</v>
      </c>
      <c r="H512" s="123"/>
      <c r="I512" s="123"/>
      <c r="J512" s="123"/>
      <c r="K512" s="123"/>
      <c r="L512" s="123"/>
      <c r="M512" s="108"/>
      <c r="N512" s="108"/>
      <c r="O512" s="108"/>
      <c r="P512" s="108"/>
      <c r="Q512" s="108"/>
      <c r="R512" s="108"/>
      <c r="S512" s="108"/>
      <c r="T512" s="108"/>
      <c r="U512" s="108"/>
      <c r="V512" s="108"/>
      <c r="W512" s="108"/>
      <c r="X512" s="108"/>
      <c r="Y512" s="108"/>
      <c r="Z512" s="108"/>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c r="BG512" s="220"/>
      <c r="BH512" s="220"/>
      <c r="BI512" s="220"/>
      <c r="BJ512" s="226"/>
      <c r="BK512" s="226"/>
    </row>
    <row r="513" spans="1:63" ht="12.75" hidden="1" customHeight="1" outlineLevel="1">
      <c r="A513" s="9"/>
      <c r="B513" s="46"/>
      <c r="C513" s="132" t="str">
        <f>Asset20</f>
        <v>Communications</v>
      </c>
      <c r="D513" s="9"/>
      <c r="E513" s="9"/>
      <c r="F513" s="28"/>
      <c r="G513" s="201">
        <f>Input!Q26</f>
        <v>0</v>
      </c>
      <c r="H513" s="123"/>
      <c r="I513" s="123"/>
      <c r="J513" s="123"/>
      <c r="K513" s="123"/>
      <c r="L513" s="123"/>
      <c r="M513" s="108"/>
      <c r="N513" s="108"/>
      <c r="O513" s="108"/>
      <c r="P513" s="108"/>
      <c r="Q513" s="108"/>
      <c r="R513" s="108"/>
      <c r="S513" s="108"/>
      <c r="T513" s="108"/>
      <c r="U513" s="108"/>
      <c r="V513" s="108"/>
      <c r="W513" s="108"/>
      <c r="X513" s="108"/>
      <c r="Y513" s="108"/>
      <c r="Z513" s="108"/>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c r="BG513" s="220"/>
      <c r="BH513" s="220"/>
      <c r="BI513" s="220"/>
      <c r="BJ513" s="226"/>
      <c r="BK513" s="226"/>
    </row>
    <row r="514" spans="1:63" ht="12.75" hidden="1" customHeight="1" outlineLevel="1">
      <c r="A514" s="9"/>
      <c r="B514" s="46"/>
      <c r="C514" s="132" t="str">
        <f>Asset21</f>
        <v>IT Systems</v>
      </c>
      <c r="D514" s="9"/>
      <c r="E514" s="9"/>
      <c r="F514" s="28"/>
      <c r="G514" s="201">
        <f>Input!Q27</f>
        <v>0</v>
      </c>
      <c r="H514" s="123"/>
      <c r="I514" s="123"/>
      <c r="J514" s="123"/>
      <c r="K514" s="123"/>
      <c r="L514" s="123"/>
      <c r="M514" s="108"/>
      <c r="N514" s="108"/>
      <c r="O514" s="108"/>
      <c r="P514" s="108"/>
      <c r="Q514" s="108"/>
      <c r="R514" s="108"/>
      <c r="S514" s="108"/>
      <c r="T514" s="108"/>
      <c r="U514" s="108"/>
      <c r="V514" s="108"/>
      <c r="W514" s="108"/>
      <c r="X514" s="108"/>
      <c r="Y514" s="108"/>
      <c r="Z514" s="108"/>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c r="BG514" s="220"/>
      <c r="BH514" s="220"/>
      <c r="BI514" s="220"/>
      <c r="BJ514" s="226"/>
      <c r="BK514" s="226"/>
    </row>
    <row r="515" spans="1:63" ht="12.75" hidden="1" customHeight="1" outlineLevel="1">
      <c r="A515" s="9"/>
      <c r="B515" s="46"/>
      <c r="C515" s="132" t="str">
        <f>Asset22</f>
        <v>Office Equipment &amp; Furniture</v>
      </c>
      <c r="D515" s="9"/>
      <c r="E515" s="9"/>
      <c r="F515" s="28"/>
      <c r="G515" s="201">
        <f>Input!Q28</f>
        <v>0</v>
      </c>
      <c r="H515" s="123"/>
      <c r="I515" s="123"/>
      <c r="J515" s="123"/>
      <c r="K515" s="123"/>
      <c r="L515" s="123"/>
      <c r="M515" s="108"/>
      <c r="N515" s="108"/>
      <c r="O515" s="108"/>
      <c r="P515" s="108"/>
      <c r="Q515" s="108"/>
      <c r="R515" s="108"/>
      <c r="S515" s="108"/>
      <c r="T515" s="108"/>
      <c r="U515" s="108"/>
      <c r="V515" s="108"/>
      <c r="W515" s="108"/>
      <c r="X515" s="108"/>
      <c r="Y515" s="108"/>
      <c r="Z515" s="108"/>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c r="BG515" s="220"/>
      <c r="BH515" s="220"/>
      <c r="BI515" s="220"/>
      <c r="BJ515" s="226"/>
      <c r="BK515" s="226"/>
    </row>
    <row r="516" spans="1:63" ht="12.75" hidden="1" customHeight="1" outlineLevel="1">
      <c r="A516" s="9"/>
      <c r="B516" s="46"/>
      <c r="C516" s="132" t="str">
        <f>Asset23</f>
        <v>Motor Vehicles</v>
      </c>
      <c r="D516" s="9"/>
      <c r="E516" s="9"/>
      <c r="F516" s="28"/>
      <c r="G516" s="201">
        <f>Input!Q29</f>
        <v>0</v>
      </c>
      <c r="H516" s="123"/>
      <c r="I516" s="123"/>
      <c r="J516" s="123"/>
      <c r="K516" s="123"/>
      <c r="L516" s="123"/>
      <c r="M516" s="108"/>
      <c r="N516" s="108"/>
      <c r="O516" s="108"/>
      <c r="P516" s="108"/>
      <c r="Q516" s="108"/>
      <c r="R516" s="108"/>
      <c r="S516" s="108"/>
      <c r="T516" s="108"/>
      <c r="U516" s="108"/>
      <c r="V516" s="108"/>
      <c r="W516" s="108"/>
      <c r="X516" s="108"/>
      <c r="Y516" s="108"/>
      <c r="Z516" s="108"/>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c r="BG516" s="220"/>
      <c r="BH516" s="220"/>
      <c r="BI516" s="220"/>
      <c r="BJ516" s="226"/>
      <c r="BK516" s="226"/>
    </row>
    <row r="517" spans="1:63" ht="12.75" hidden="1" customHeight="1" outlineLevel="1">
      <c r="A517" s="9"/>
      <c r="B517" s="46"/>
      <c r="C517" s="132" t="str">
        <f>Asset24</f>
        <v>Plant &amp; Equipment</v>
      </c>
      <c r="D517" s="9"/>
      <c r="E517" s="9"/>
      <c r="F517" s="28"/>
      <c r="G517" s="201">
        <f>Input!Q30</f>
        <v>0</v>
      </c>
      <c r="H517" s="123"/>
      <c r="I517" s="123"/>
      <c r="J517" s="123"/>
      <c r="K517" s="123"/>
      <c r="L517" s="123"/>
      <c r="M517" s="108"/>
      <c r="N517" s="108"/>
      <c r="O517" s="108"/>
      <c r="P517" s="108"/>
      <c r="Q517" s="108"/>
      <c r="R517" s="108"/>
      <c r="S517" s="108"/>
      <c r="T517" s="108"/>
      <c r="U517" s="108"/>
      <c r="V517" s="108"/>
      <c r="W517" s="108"/>
      <c r="X517" s="108"/>
      <c r="Y517" s="108"/>
      <c r="Z517" s="108"/>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220"/>
      <c r="BE517" s="220"/>
      <c r="BF517" s="220"/>
      <c r="BG517" s="220"/>
      <c r="BH517" s="220"/>
      <c r="BI517" s="220"/>
      <c r="BJ517" s="226"/>
      <c r="BK517" s="226"/>
    </row>
    <row r="518" spans="1:63" ht="12.75" hidden="1" customHeight="1" outlineLevel="1">
      <c r="A518" s="9"/>
      <c r="B518" s="46"/>
      <c r="C518" s="132" t="str">
        <f>Asset25</f>
        <v>Buildings</v>
      </c>
      <c r="D518" s="9"/>
      <c r="E518" s="9"/>
      <c r="F518" s="28"/>
      <c r="G518" s="201">
        <f>Input!Q31</f>
        <v>0</v>
      </c>
      <c r="H518" s="123"/>
      <c r="I518" s="123"/>
      <c r="J518" s="123"/>
      <c r="K518" s="123"/>
      <c r="L518" s="123"/>
      <c r="M518" s="108"/>
      <c r="N518" s="108"/>
      <c r="O518" s="108"/>
      <c r="P518" s="108"/>
      <c r="Q518" s="108"/>
      <c r="R518" s="108"/>
      <c r="S518" s="108"/>
      <c r="T518" s="108"/>
      <c r="U518" s="108"/>
      <c r="V518" s="108"/>
      <c r="W518" s="108"/>
      <c r="X518" s="108"/>
      <c r="Y518" s="108"/>
      <c r="Z518" s="108"/>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c r="BG518" s="220"/>
      <c r="BH518" s="220"/>
      <c r="BI518" s="220"/>
      <c r="BJ518" s="226"/>
      <c r="BK518" s="226"/>
    </row>
    <row r="519" spans="1:63" ht="12.75" hidden="1" customHeight="1" outlineLevel="1">
      <c r="A519" s="9"/>
      <c r="B519" s="46"/>
      <c r="C519" s="132" t="str">
        <f>Asset26</f>
        <v>Land &amp; Easements</v>
      </c>
      <c r="D519" s="9"/>
      <c r="E519" s="9"/>
      <c r="F519" s="28"/>
      <c r="G519" s="201">
        <f>Input!Q32</f>
        <v>0</v>
      </c>
      <c r="H519" s="123"/>
      <c r="I519" s="123"/>
      <c r="J519" s="123"/>
      <c r="K519" s="123"/>
      <c r="L519" s="123"/>
      <c r="M519" s="108"/>
      <c r="N519" s="108"/>
      <c r="O519" s="108"/>
      <c r="P519" s="108"/>
      <c r="Q519" s="108"/>
      <c r="R519" s="108"/>
      <c r="S519" s="108"/>
      <c r="T519" s="108"/>
      <c r="U519" s="108"/>
      <c r="V519" s="108"/>
      <c r="W519" s="108"/>
      <c r="X519" s="108"/>
      <c r="Y519" s="108"/>
      <c r="Z519" s="108"/>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c r="BG519" s="220"/>
      <c r="BH519" s="220"/>
      <c r="BI519" s="220"/>
      <c r="BJ519" s="226"/>
      <c r="BK519" s="226"/>
    </row>
    <row r="520" spans="1:63" ht="12.75" hidden="1" customHeight="1" outlineLevel="1">
      <c r="A520" s="9"/>
      <c r="B520" s="46"/>
      <c r="C520" s="132" t="str">
        <f>Asset27</f>
        <v>Land Improvements</v>
      </c>
      <c r="D520" s="9"/>
      <c r="E520" s="9"/>
      <c r="F520" s="28"/>
      <c r="G520" s="201">
        <f>Input!Q33</f>
        <v>0</v>
      </c>
      <c r="H520" s="123"/>
      <c r="I520" s="123"/>
      <c r="J520" s="123"/>
      <c r="K520" s="123"/>
      <c r="L520" s="123"/>
      <c r="M520" s="108"/>
      <c r="N520" s="108"/>
      <c r="O520" s="108"/>
      <c r="P520" s="108"/>
      <c r="Q520" s="108"/>
      <c r="R520" s="108"/>
      <c r="S520" s="108"/>
      <c r="T520" s="108"/>
      <c r="U520" s="108"/>
      <c r="V520" s="108"/>
      <c r="W520" s="108"/>
      <c r="X520" s="108"/>
      <c r="Y520" s="108"/>
      <c r="Z520" s="108"/>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6"/>
      <c r="BK520" s="226"/>
    </row>
    <row r="521" spans="1:63" ht="12.75" hidden="1" customHeight="1" outlineLevel="1">
      <c r="A521" s="9"/>
      <c r="B521" s="46"/>
      <c r="C521" s="132" t="str">
        <f>Asset28</f>
        <v>Equity Raising Costs</v>
      </c>
      <c r="D521" s="9"/>
      <c r="E521" s="9"/>
      <c r="F521" s="28"/>
      <c r="G521" s="201">
        <f>Input!Q34</f>
        <v>0</v>
      </c>
      <c r="H521" s="123"/>
      <c r="I521" s="123"/>
      <c r="J521" s="123"/>
      <c r="K521" s="123"/>
      <c r="L521" s="123"/>
      <c r="M521" s="108"/>
      <c r="N521" s="108"/>
      <c r="O521" s="108"/>
      <c r="P521" s="108"/>
      <c r="Q521" s="108"/>
      <c r="R521" s="108"/>
      <c r="S521" s="108"/>
      <c r="T521" s="108"/>
      <c r="U521" s="108"/>
      <c r="V521" s="108"/>
      <c r="W521" s="108"/>
      <c r="X521" s="108"/>
      <c r="Y521" s="108"/>
      <c r="Z521" s="108"/>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6"/>
      <c r="BK521" s="226"/>
    </row>
    <row r="522" spans="1:63" ht="12.75" hidden="1" customHeight="1" outlineLevel="1">
      <c r="A522" s="9"/>
      <c r="B522" s="46"/>
      <c r="C522" s="132" t="str">
        <f>Asset29</f>
        <v>Not Used</v>
      </c>
      <c r="D522" s="9"/>
      <c r="E522" s="9"/>
      <c r="F522" s="28"/>
      <c r="G522" s="201">
        <f>Input!Q35</f>
        <v>0</v>
      </c>
      <c r="H522" s="123"/>
      <c r="I522" s="123"/>
      <c r="J522" s="123"/>
      <c r="K522" s="123"/>
      <c r="L522" s="123"/>
      <c r="M522" s="108"/>
      <c r="N522" s="108"/>
      <c r="O522" s="108"/>
      <c r="P522" s="108"/>
      <c r="Q522" s="108"/>
      <c r="R522" s="108"/>
      <c r="S522" s="108"/>
      <c r="T522" s="108"/>
      <c r="U522" s="108"/>
      <c r="V522" s="108"/>
      <c r="W522" s="108"/>
      <c r="X522" s="108"/>
      <c r="Y522" s="108"/>
      <c r="Z522" s="108"/>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6"/>
      <c r="BK522" s="226"/>
    </row>
    <row r="523" spans="1:63" ht="12.75" hidden="1" customHeight="1" outlineLevel="1">
      <c r="A523" s="9"/>
      <c r="B523" s="46"/>
      <c r="C523" s="132" t="str">
        <f>Asset30</f>
        <v>Not Used</v>
      </c>
      <c r="D523" s="9"/>
      <c r="E523" s="9"/>
      <c r="F523" s="28"/>
      <c r="G523" s="201">
        <f>Input!Q36</f>
        <v>0</v>
      </c>
      <c r="H523" s="123"/>
      <c r="I523" s="123"/>
      <c r="J523" s="123"/>
      <c r="K523" s="123"/>
      <c r="L523" s="123"/>
      <c r="M523" s="108"/>
      <c r="N523" s="108"/>
      <c r="O523" s="108"/>
      <c r="P523" s="108"/>
      <c r="Q523" s="108"/>
      <c r="R523" s="108"/>
      <c r="S523" s="108"/>
      <c r="T523" s="108"/>
      <c r="U523" s="108"/>
      <c r="V523" s="108"/>
      <c r="W523" s="108"/>
      <c r="X523" s="108"/>
      <c r="Y523" s="108"/>
      <c r="Z523" s="108"/>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c r="BG523" s="220"/>
      <c r="BH523" s="220"/>
      <c r="BI523" s="220"/>
      <c r="BJ523" s="226"/>
      <c r="BK523" s="226"/>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c r="BG524" s="220"/>
      <c r="BH524" s="220"/>
      <c r="BI524" s="220"/>
      <c r="BJ524" s="226"/>
      <c r="BK524" s="226"/>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row>
    <row r="570" spans="1:63">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row>
    <row r="571" spans="1:63">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row>
    <row r="572" spans="1:63">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row>
    <row r="573" spans="1:63">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row>
    <row r="574" spans="1:63">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row>
    <row r="575" spans="1:63">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row>
    <row r="576" spans="1:63">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row>
    <row r="577" spans="1:7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row>
    <row r="578" spans="1:7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row>
    <row r="579" spans="1:7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row>
    <row r="580" spans="1:7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row>
    <row r="581" spans="1:7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row>
    <row r="582" spans="1:7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row>
    <row r="583" spans="1:7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row>
    <row r="584" spans="1:7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row>
    <row r="585" spans="1:7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row>
    <row r="586" spans="1:7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row>
    <row r="587" spans="1:7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row>
    <row r="588" spans="1:7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row>
    <row r="589" spans="1:7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row>
    <row r="590" spans="1:7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row>
    <row r="591" spans="1:7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row>
    <row r="592" spans="1:7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row>
    <row r="593" spans="1:7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row>
    <row r="594" spans="1:7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row>
    <row r="595" spans="1:7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row>
    <row r="596" spans="1:7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row>
    <row r="597" spans="1:7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row>
    <row r="598" spans="1:7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row>
    <row r="599" spans="1:7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row>
    <row r="600" spans="1:7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row>
    <row r="601" spans="1:7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row>
    <row r="602" spans="1:7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row>
    <row r="603" spans="1:7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row>
    <row r="604" spans="1:7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row>
    <row r="605" spans="1:7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row>
    <row r="606" spans="1:7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row>
    <row r="607" spans="1:7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row>
    <row r="608" spans="1:7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row>
    <row r="609" spans="1:7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row>
    <row r="610" spans="1:7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row>
    <row r="611" spans="1:7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row>
    <row r="612" spans="1:7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row>
    <row r="613" spans="1:7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row>
    <row r="614" spans="1:7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row>
    <row r="615" spans="1:7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row>
    <row r="616" spans="1:7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row>
    <row r="617" spans="1:7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row>
    <row r="618" spans="1:7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row>
    <row r="619" spans="1:7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row>
    <row r="620" spans="1:7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row>
    <row r="621" spans="1:7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row>
    <row r="622" spans="1:7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row>
    <row r="623" spans="1:7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row>
    <row r="624" spans="1:7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row>
    <row r="625" spans="1:7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row>
    <row r="626" spans="1:7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row>
    <row r="627" spans="1:7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row>
    <row r="628" spans="1:7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row>
    <row r="629" spans="1:7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row>
    <row r="630" spans="1:7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row>
    <row r="631" spans="1:7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row>
    <row r="632" spans="1:7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row>
    <row r="633" spans="1:7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row>
    <row r="634" spans="1:7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row>
    <row r="635" spans="1:7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row>
    <row r="636" spans="1:7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row>
    <row r="637" spans="1:7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row>
    <row r="638" spans="1:7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row>
    <row r="639" spans="1:7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row>
    <row r="640" spans="1:7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row>
    <row r="641" spans="1:7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row>
    <row r="642" spans="1:7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row>
    <row r="643" spans="1:7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row>
    <row r="644" spans="1:7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row>
    <row r="645" spans="1:7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row>
    <row r="646" spans="1:7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row>
    <row r="647" spans="1:7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row>
    <row r="648" spans="1:7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row>
    <row r="649" spans="1:7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row>
    <row r="650" spans="1:7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row>
    <row r="651" spans="1:7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row>
    <row r="652" spans="1:7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row>
    <row r="653" spans="1:7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row>
    <row r="654" spans="1:7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row>
    <row r="655" spans="1:7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row>
    <row r="656" spans="1:7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row>
    <row r="657" spans="1:7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row>
    <row r="658" spans="1:7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row>
    <row r="659" spans="1:7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row>
    <row r="660" spans="1:7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row>
    <row r="661" spans="1:7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row>
    <row r="662" spans="1:7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row>
    <row r="663" spans="1:7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row>
    <row r="664" spans="1:7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row>
    <row r="665" spans="1:7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row>
    <row r="666" spans="1:7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row>
    <row r="667" spans="1:7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row>
    <row r="668" spans="1:7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row>
    <row r="669" spans="1:7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row>
    <row r="670" spans="1:7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row>
    <row r="671" spans="1:7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row>
    <row r="672" spans="1:7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BH672" s="192"/>
      <c r="BI672" s="192"/>
      <c r="BJ672" s="192"/>
      <c r="BK672" s="192"/>
      <c r="BL672" s="192"/>
      <c r="BM672" s="192"/>
      <c r="BN672" s="192"/>
      <c r="BO672" s="192"/>
      <c r="BP672" s="192"/>
      <c r="BQ672" s="192"/>
      <c r="BR672" s="192"/>
      <c r="BS672" s="192"/>
      <c r="BT672" s="192"/>
    </row>
    <row r="673" spans="1:7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BH673" s="192"/>
      <c r="BI673" s="192"/>
      <c r="BJ673" s="192"/>
      <c r="BK673" s="192"/>
      <c r="BL673" s="192"/>
      <c r="BM673" s="192"/>
      <c r="BN673" s="192"/>
      <c r="BO673" s="192"/>
      <c r="BP673" s="192"/>
      <c r="BQ673" s="192"/>
      <c r="BR673" s="192"/>
      <c r="BS673" s="192"/>
      <c r="BT673" s="192"/>
    </row>
    <row r="674" spans="1:7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BH674" s="192"/>
      <c r="BI674" s="192"/>
      <c r="BJ674" s="192"/>
      <c r="BK674" s="192"/>
      <c r="BL674" s="192"/>
      <c r="BM674" s="192"/>
      <c r="BN674" s="192"/>
      <c r="BO674" s="192"/>
      <c r="BP674" s="192"/>
      <c r="BQ674" s="192"/>
      <c r="BR674" s="192"/>
      <c r="BS674" s="192"/>
      <c r="BT674" s="192"/>
    </row>
    <row r="675" spans="1:7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BH675" s="192"/>
      <c r="BI675" s="192"/>
      <c r="BJ675" s="192"/>
      <c r="BK675" s="192"/>
      <c r="BL675" s="192"/>
      <c r="BM675" s="192"/>
      <c r="BN675" s="192"/>
      <c r="BO675" s="192"/>
      <c r="BP675" s="192"/>
      <c r="BQ675" s="192"/>
      <c r="BR675" s="192"/>
      <c r="BS675" s="192"/>
      <c r="BT675" s="192"/>
    </row>
    <row r="676" spans="1:7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BH676" s="192"/>
      <c r="BI676" s="192"/>
      <c r="BJ676" s="192"/>
      <c r="BK676" s="192"/>
      <c r="BL676" s="192"/>
      <c r="BM676" s="192"/>
      <c r="BN676" s="192"/>
      <c r="BO676" s="192"/>
      <c r="BP676" s="192"/>
      <c r="BQ676" s="192"/>
      <c r="BR676" s="192"/>
      <c r="BS676" s="192"/>
      <c r="BT676" s="192"/>
    </row>
    <row r="677" spans="1:7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BH677" s="192"/>
      <c r="BI677" s="192"/>
      <c r="BJ677" s="192"/>
      <c r="BK677" s="192"/>
      <c r="BL677" s="192"/>
      <c r="BM677" s="192"/>
      <c r="BN677" s="192"/>
      <c r="BO677" s="192"/>
      <c r="BP677" s="192"/>
      <c r="BQ677" s="192"/>
      <c r="BR677" s="192"/>
      <c r="BS677" s="192"/>
      <c r="BT677" s="192"/>
    </row>
    <row r="678" spans="1:7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BH678" s="192"/>
      <c r="BI678" s="192"/>
      <c r="BJ678" s="192"/>
      <c r="BK678" s="192"/>
      <c r="BL678" s="192"/>
      <c r="BM678" s="192"/>
      <c r="BN678" s="192"/>
      <c r="BO678" s="192"/>
      <c r="BP678" s="192"/>
      <c r="BQ678" s="192"/>
      <c r="BR678" s="192"/>
      <c r="BS678" s="192"/>
      <c r="BT678" s="192"/>
    </row>
    <row r="679" spans="1:7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BH679" s="192"/>
      <c r="BI679" s="192"/>
      <c r="BJ679" s="192"/>
      <c r="BK679" s="192"/>
      <c r="BL679" s="192"/>
      <c r="BM679" s="192"/>
      <c r="BN679" s="192"/>
      <c r="BO679" s="192"/>
      <c r="BP679" s="192"/>
      <c r="BQ679" s="192"/>
      <c r="BR679" s="192"/>
      <c r="BS679" s="192"/>
      <c r="BT679" s="192"/>
    </row>
    <row r="680" spans="1:7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BH680" s="192"/>
      <c r="BI680" s="192"/>
      <c r="BJ680" s="192"/>
      <c r="BK680" s="192"/>
      <c r="BL680" s="192"/>
      <c r="BM680" s="192"/>
      <c r="BN680" s="192"/>
      <c r="BO680" s="192"/>
      <c r="BP680" s="192"/>
      <c r="BQ680" s="192"/>
      <c r="BR680" s="192"/>
      <c r="BS680" s="192"/>
      <c r="BT680" s="192"/>
    </row>
    <row r="681" spans="1:7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BH681" s="192"/>
      <c r="BI681" s="192"/>
      <c r="BJ681" s="192"/>
      <c r="BK681" s="192"/>
      <c r="BL681" s="192"/>
      <c r="BM681" s="192"/>
      <c r="BN681" s="192"/>
      <c r="BO681" s="192"/>
      <c r="BP681" s="192"/>
      <c r="BQ681" s="192"/>
      <c r="BR681" s="192"/>
      <c r="BS681" s="192"/>
      <c r="BT681" s="192"/>
    </row>
    <row r="682" spans="1:7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BH682" s="192"/>
      <c r="BI682" s="192"/>
      <c r="BJ682" s="192"/>
      <c r="BK682" s="192"/>
      <c r="BL682" s="192"/>
      <c r="BM682" s="192"/>
      <c r="BN682" s="192"/>
      <c r="BO682" s="192"/>
      <c r="BP682" s="192"/>
      <c r="BQ682" s="192"/>
      <c r="BR682" s="192"/>
      <c r="BS682" s="192"/>
      <c r="BT682" s="192"/>
    </row>
    <row r="683" spans="1:7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BH683" s="192"/>
      <c r="BI683" s="192"/>
      <c r="BJ683" s="192"/>
      <c r="BK683" s="192"/>
      <c r="BL683" s="192"/>
      <c r="BM683" s="192"/>
      <c r="BN683" s="192"/>
      <c r="BO683" s="192"/>
      <c r="BP683" s="192"/>
      <c r="BQ683" s="192"/>
      <c r="BR683" s="192"/>
      <c r="BS683" s="192"/>
      <c r="BT683" s="192"/>
    </row>
    <row r="684" spans="1:7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BH684" s="192"/>
      <c r="BI684" s="192"/>
      <c r="BJ684" s="192"/>
      <c r="BK684" s="192"/>
      <c r="BL684" s="192"/>
      <c r="BM684" s="192"/>
      <c r="BN684" s="192"/>
      <c r="BO684" s="192"/>
      <c r="BP684" s="192"/>
      <c r="BQ684" s="192"/>
      <c r="BR684" s="192"/>
      <c r="BS684" s="192"/>
      <c r="BT684" s="192"/>
    </row>
    <row r="685" spans="1:7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BH685" s="192"/>
      <c r="BI685" s="192"/>
      <c r="BJ685" s="192"/>
      <c r="BK685" s="192"/>
      <c r="BL685" s="192"/>
      <c r="BM685" s="192"/>
      <c r="BN685" s="192"/>
      <c r="BO685" s="192"/>
      <c r="BP685" s="192"/>
      <c r="BQ685" s="192"/>
      <c r="BR685" s="192"/>
      <c r="BS685" s="192"/>
      <c r="BT685" s="192"/>
    </row>
    <row r="686" spans="1:7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BH686" s="192"/>
      <c r="BI686" s="192"/>
      <c r="BJ686" s="192"/>
      <c r="BK686" s="192"/>
      <c r="BL686" s="192"/>
      <c r="BM686" s="192"/>
      <c r="BN686" s="192"/>
      <c r="BO686" s="192"/>
      <c r="BP686" s="192"/>
      <c r="BQ686" s="192"/>
      <c r="BR686" s="192"/>
      <c r="BS686" s="192"/>
      <c r="BT686" s="192"/>
    </row>
    <row r="687" spans="1:7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BH687" s="192"/>
      <c r="BI687" s="192"/>
      <c r="BJ687" s="192"/>
      <c r="BK687" s="192"/>
      <c r="BL687" s="192"/>
      <c r="BM687" s="192"/>
      <c r="BN687" s="192"/>
      <c r="BO687" s="192"/>
      <c r="BP687" s="192"/>
      <c r="BQ687" s="192"/>
      <c r="BR687" s="192"/>
      <c r="BS687" s="192"/>
      <c r="BT687" s="192"/>
    </row>
    <row r="688" spans="1:7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BH688" s="192"/>
      <c r="BI688" s="192"/>
      <c r="BJ688" s="192"/>
      <c r="BK688" s="192"/>
      <c r="BL688" s="192"/>
      <c r="BM688" s="192"/>
      <c r="BN688" s="192"/>
      <c r="BO688" s="192"/>
      <c r="BP688" s="192"/>
      <c r="BQ688" s="192"/>
      <c r="BR688" s="192"/>
      <c r="BS688" s="192"/>
      <c r="BT688" s="192"/>
    </row>
    <row r="689" spans="1:7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BH689" s="192"/>
      <c r="BI689" s="192"/>
      <c r="BJ689" s="192"/>
      <c r="BK689" s="192"/>
      <c r="BL689" s="192"/>
      <c r="BM689" s="192"/>
      <c r="BN689" s="192"/>
      <c r="BO689" s="192"/>
      <c r="BP689" s="192"/>
      <c r="BQ689" s="192"/>
      <c r="BR689" s="192"/>
      <c r="BS689" s="192"/>
      <c r="BT689" s="192"/>
    </row>
    <row r="690" spans="1:7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BH690" s="192"/>
      <c r="BI690" s="192"/>
      <c r="BJ690" s="192"/>
      <c r="BK690" s="192"/>
      <c r="BL690" s="192"/>
      <c r="BM690" s="192"/>
      <c r="BN690" s="192"/>
      <c r="BO690" s="192"/>
      <c r="BP690" s="192"/>
      <c r="BQ690" s="192"/>
      <c r="BR690" s="192"/>
      <c r="BS690" s="192"/>
      <c r="BT690" s="192"/>
    </row>
    <row r="691" spans="1:7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BH691" s="192"/>
      <c r="BI691" s="192"/>
      <c r="BJ691" s="192"/>
      <c r="BK691" s="192"/>
      <c r="BL691" s="192"/>
      <c r="BM691" s="192"/>
      <c r="BN691" s="192"/>
      <c r="BO691" s="192"/>
      <c r="BP691" s="192"/>
      <c r="BQ691" s="192"/>
      <c r="BR691" s="192"/>
      <c r="BS691" s="192"/>
      <c r="BT691" s="192"/>
    </row>
    <row r="692" spans="1:7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BH692" s="192"/>
      <c r="BI692" s="192"/>
      <c r="BJ692" s="192"/>
      <c r="BK692" s="192"/>
      <c r="BL692" s="192"/>
      <c r="BM692" s="192"/>
      <c r="BN692" s="192"/>
      <c r="BO692" s="192"/>
      <c r="BP692" s="192"/>
      <c r="BQ692" s="192"/>
      <c r="BR692" s="192"/>
      <c r="BS692" s="192"/>
      <c r="BT692" s="192"/>
    </row>
    <row r="693" spans="1:7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BH693" s="192"/>
      <c r="BI693" s="192"/>
      <c r="BJ693" s="192"/>
      <c r="BK693" s="192"/>
      <c r="BL693" s="192"/>
      <c r="BM693" s="192"/>
      <c r="BN693" s="192"/>
      <c r="BO693" s="192"/>
      <c r="BP693" s="192"/>
      <c r="BQ693" s="192"/>
      <c r="BR693" s="192"/>
      <c r="BS693" s="192"/>
      <c r="BT693" s="192"/>
    </row>
    <row r="694" spans="1:7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BH694" s="192"/>
      <c r="BI694" s="192"/>
      <c r="BJ694" s="192"/>
      <c r="BK694" s="192"/>
      <c r="BL694" s="192"/>
      <c r="BM694" s="192"/>
      <c r="BN694" s="192"/>
      <c r="BO694" s="192"/>
      <c r="BP694" s="192"/>
      <c r="BQ694" s="192"/>
      <c r="BR694" s="192"/>
      <c r="BS694" s="192"/>
      <c r="BT694" s="192"/>
    </row>
    <row r="695" spans="1:7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BH695" s="192"/>
      <c r="BI695" s="192"/>
      <c r="BJ695" s="192"/>
      <c r="BK695" s="192"/>
      <c r="BL695" s="192"/>
      <c r="BM695" s="192"/>
      <c r="BN695" s="192"/>
      <c r="BO695" s="192"/>
      <c r="BP695" s="192"/>
      <c r="BQ695" s="192"/>
      <c r="BR695" s="192"/>
      <c r="BS695" s="192"/>
      <c r="BT695" s="192"/>
    </row>
    <row r="696" spans="1:7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BH696" s="192"/>
      <c r="BI696" s="192"/>
      <c r="BJ696" s="192"/>
      <c r="BK696" s="192"/>
      <c r="BL696" s="192"/>
      <c r="BM696" s="192"/>
      <c r="BN696" s="192"/>
      <c r="BO696" s="192"/>
      <c r="BP696" s="192"/>
      <c r="BQ696" s="192"/>
      <c r="BR696" s="192"/>
      <c r="BS696" s="192"/>
      <c r="BT696" s="192"/>
    </row>
    <row r="697" spans="1:7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BH697" s="192"/>
      <c r="BI697" s="192"/>
      <c r="BJ697" s="192"/>
      <c r="BK697" s="192"/>
      <c r="BL697" s="192"/>
      <c r="BM697" s="192"/>
      <c r="BN697" s="192"/>
      <c r="BO697" s="192"/>
      <c r="BP697" s="192"/>
      <c r="BQ697" s="192"/>
      <c r="BR697" s="192"/>
      <c r="BS697" s="192"/>
      <c r="BT697" s="192"/>
    </row>
    <row r="698" spans="1:7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BH698" s="192"/>
      <c r="BI698" s="192"/>
      <c r="BJ698" s="192"/>
      <c r="BK698" s="192"/>
      <c r="BL698" s="192"/>
      <c r="BM698" s="192"/>
      <c r="BN698" s="192"/>
      <c r="BO698" s="192"/>
      <c r="BP698" s="192"/>
      <c r="BQ698" s="192"/>
      <c r="BR698" s="192"/>
      <c r="BS698" s="192"/>
      <c r="BT698" s="192"/>
    </row>
    <row r="699" spans="1:7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BH699" s="192"/>
      <c r="BI699" s="192"/>
      <c r="BJ699" s="192"/>
      <c r="BK699" s="192"/>
      <c r="BL699" s="192"/>
      <c r="BM699" s="192"/>
      <c r="BN699" s="192"/>
      <c r="BO699" s="192"/>
      <c r="BP699" s="192"/>
      <c r="BQ699" s="192"/>
      <c r="BR699" s="192"/>
      <c r="BS699" s="192"/>
      <c r="BT699" s="192"/>
    </row>
    <row r="700" spans="1:7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BH700" s="192"/>
      <c r="BI700" s="192"/>
      <c r="BJ700" s="192"/>
      <c r="BK700" s="192"/>
      <c r="BL700" s="192"/>
      <c r="BM700" s="192"/>
      <c r="BN700" s="192"/>
      <c r="BO700" s="192"/>
      <c r="BP700" s="192"/>
      <c r="BQ700" s="192"/>
      <c r="BR700" s="192"/>
      <c r="BS700" s="192"/>
      <c r="BT700" s="192"/>
    </row>
    <row r="701" spans="1:7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BH701" s="192"/>
      <c r="BI701" s="192"/>
      <c r="BJ701" s="192"/>
      <c r="BK701" s="192"/>
      <c r="BL701" s="192"/>
      <c r="BM701" s="192"/>
      <c r="BN701" s="192"/>
      <c r="BO701" s="192"/>
      <c r="BP701" s="192"/>
      <c r="BQ701" s="192"/>
      <c r="BR701" s="192"/>
      <c r="BS701" s="192"/>
      <c r="BT701" s="192"/>
    </row>
    <row r="702" spans="1:7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BH702" s="192"/>
      <c r="BI702" s="192"/>
      <c r="BJ702" s="192"/>
      <c r="BK702" s="192"/>
      <c r="BL702" s="192"/>
      <c r="BM702" s="192"/>
      <c r="BN702" s="192"/>
      <c r="BO702" s="192"/>
      <c r="BP702" s="192"/>
      <c r="BQ702" s="192"/>
      <c r="BR702" s="192"/>
      <c r="BS702" s="192"/>
      <c r="BT702" s="192"/>
    </row>
    <row r="703" spans="1:7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BH703" s="192"/>
      <c r="BI703" s="192"/>
      <c r="BJ703" s="192"/>
      <c r="BK703" s="192"/>
      <c r="BL703" s="192"/>
      <c r="BM703" s="192"/>
      <c r="BN703" s="192"/>
      <c r="BO703" s="192"/>
      <c r="BP703" s="192"/>
      <c r="BQ703" s="192"/>
      <c r="BR703" s="192"/>
      <c r="BS703" s="192"/>
      <c r="BT703" s="192"/>
    </row>
    <row r="704" spans="1:7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BH704" s="192"/>
      <c r="BI704" s="192"/>
      <c r="BJ704" s="192"/>
      <c r="BK704" s="192"/>
      <c r="BL704" s="192"/>
      <c r="BM704" s="192"/>
      <c r="BN704" s="192"/>
      <c r="BO704" s="192"/>
      <c r="BP704" s="192"/>
      <c r="BQ704" s="192"/>
      <c r="BR704" s="192"/>
      <c r="BS704" s="192"/>
      <c r="BT704" s="192"/>
    </row>
    <row r="705" spans="1:7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BH705" s="192"/>
      <c r="BI705" s="192"/>
      <c r="BJ705" s="192"/>
      <c r="BK705" s="192"/>
      <c r="BL705" s="192"/>
      <c r="BM705" s="192"/>
      <c r="BN705" s="192"/>
      <c r="BO705" s="192"/>
      <c r="BP705" s="192"/>
      <c r="BQ705" s="192"/>
      <c r="BR705" s="192"/>
      <c r="BS705" s="192"/>
      <c r="BT705" s="192"/>
    </row>
    <row r="706" spans="1:7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BH706" s="192"/>
      <c r="BI706" s="192"/>
      <c r="BJ706" s="192"/>
      <c r="BK706" s="192"/>
      <c r="BL706" s="192"/>
      <c r="BM706" s="192"/>
      <c r="BN706" s="192"/>
      <c r="BO706" s="192"/>
      <c r="BP706" s="192"/>
      <c r="BQ706" s="192"/>
      <c r="BR706" s="192"/>
      <c r="BS706" s="192"/>
      <c r="BT706" s="192"/>
    </row>
    <row r="707" spans="1:7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BH707" s="192"/>
      <c r="BI707" s="192"/>
      <c r="BJ707" s="192"/>
      <c r="BK707" s="192"/>
      <c r="BL707" s="192"/>
      <c r="BM707" s="192"/>
      <c r="BN707" s="192"/>
      <c r="BO707" s="192"/>
      <c r="BP707" s="192"/>
      <c r="BQ707" s="192"/>
      <c r="BR707" s="192"/>
      <c r="BS707" s="192"/>
      <c r="BT707" s="192"/>
    </row>
    <row r="708" spans="1:7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BH708" s="192"/>
      <c r="BI708" s="192"/>
      <c r="BJ708" s="192"/>
      <c r="BK708" s="192"/>
      <c r="BL708" s="192"/>
      <c r="BM708" s="192"/>
      <c r="BN708" s="192"/>
      <c r="BO708" s="192"/>
      <c r="BP708" s="192"/>
      <c r="BQ708" s="192"/>
      <c r="BR708" s="192"/>
      <c r="BS708" s="192"/>
      <c r="BT708" s="192"/>
    </row>
    <row r="709" spans="1:7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BH709" s="192"/>
      <c r="BI709" s="192"/>
      <c r="BJ709" s="192"/>
      <c r="BK709" s="192"/>
      <c r="BL709" s="192"/>
      <c r="BM709" s="192"/>
      <c r="BN709" s="192"/>
      <c r="BO709" s="192"/>
      <c r="BP709" s="192"/>
      <c r="BQ709" s="192"/>
      <c r="BR709" s="192"/>
      <c r="BS709" s="192"/>
      <c r="BT709" s="192"/>
    </row>
    <row r="710" spans="1:7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BH710" s="192"/>
      <c r="BI710" s="192"/>
      <c r="BJ710" s="192"/>
      <c r="BK710" s="192"/>
      <c r="BL710" s="192"/>
      <c r="BM710" s="192"/>
      <c r="BN710" s="192"/>
      <c r="BO710" s="192"/>
      <c r="BP710" s="192"/>
      <c r="BQ710" s="192"/>
      <c r="BR710" s="192"/>
      <c r="BS710" s="192"/>
      <c r="BT710" s="192"/>
    </row>
    <row r="711" spans="1:7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BH711" s="192"/>
      <c r="BI711" s="192"/>
      <c r="BJ711" s="192"/>
      <c r="BK711" s="192"/>
      <c r="BL711" s="192"/>
      <c r="BM711" s="192"/>
      <c r="BN711" s="192"/>
      <c r="BO711" s="192"/>
      <c r="BP711" s="192"/>
      <c r="BQ711" s="192"/>
      <c r="BR711" s="192"/>
      <c r="BS711" s="192"/>
      <c r="BT711" s="192"/>
    </row>
    <row r="712" spans="1:7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BH712" s="192"/>
      <c r="BI712" s="192"/>
      <c r="BJ712" s="192"/>
      <c r="BK712" s="192"/>
      <c r="BL712" s="192"/>
      <c r="BM712" s="192"/>
      <c r="BN712" s="192"/>
      <c r="BO712" s="192"/>
      <c r="BP712" s="192"/>
      <c r="BQ712" s="192"/>
      <c r="BR712" s="192"/>
      <c r="BS712" s="192"/>
      <c r="BT712" s="192"/>
    </row>
    <row r="713" spans="1:7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BH713" s="192"/>
      <c r="BI713" s="192"/>
      <c r="BJ713" s="192"/>
      <c r="BK713" s="192"/>
      <c r="BL713" s="192"/>
      <c r="BM713" s="192"/>
      <c r="BN713" s="192"/>
      <c r="BO713" s="192"/>
      <c r="BP713" s="192"/>
      <c r="BQ713" s="192"/>
      <c r="BR713" s="192"/>
      <c r="BS713" s="192"/>
      <c r="BT713" s="192"/>
    </row>
    <row r="714" spans="1:7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BH714" s="192"/>
      <c r="BI714" s="192"/>
      <c r="BJ714" s="192"/>
      <c r="BK714" s="192"/>
      <c r="BL714" s="192"/>
      <c r="BM714" s="192"/>
      <c r="BN714" s="192"/>
      <c r="BO714" s="192"/>
      <c r="BP714" s="192"/>
      <c r="BQ714" s="192"/>
      <c r="BR714" s="192"/>
      <c r="BS714" s="192"/>
      <c r="BT714" s="192"/>
    </row>
    <row r="715" spans="1:7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BH715" s="192"/>
      <c r="BI715" s="192"/>
      <c r="BJ715" s="192"/>
      <c r="BK715" s="192"/>
      <c r="BL715" s="192"/>
      <c r="BM715" s="192"/>
      <c r="BN715" s="192"/>
      <c r="BO715" s="192"/>
      <c r="BP715" s="192"/>
      <c r="BQ715" s="192"/>
      <c r="BR715" s="192"/>
      <c r="BS715" s="192"/>
      <c r="BT715" s="192"/>
    </row>
    <row r="716" spans="1:7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BH716" s="192"/>
      <c r="BI716" s="192"/>
      <c r="BJ716" s="192"/>
      <c r="BK716" s="192"/>
      <c r="BL716" s="192"/>
      <c r="BM716" s="192"/>
      <c r="BN716" s="192"/>
      <c r="BO716" s="192"/>
      <c r="BP716" s="192"/>
      <c r="BQ716" s="192"/>
      <c r="BR716" s="192"/>
      <c r="BS716" s="192"/>
      <c r="BT716" s="192"/>
    </row>
    <row r="717" spans="1:7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BH717" s="192"/>
      <c r="BI717" s="192"/>
      <c r="BJ717" s="192"/>
      <c r="BK717" s="192"/>
      <c r="BL717" s="192"/>
      <c r="BM717" s="192"/>
      <c r="BN717" s="192"/>
      <c r="BO717" s="192"/>
      <c r="BP717" s="192"/>
      <c r="BQ717" s="192"/>
      <c r="BR717" s="192"/>
      <c r="BS717" s="192"/>
      <c r="BT717" s="192"/>
    </row>
    <row r="718" spans="1:7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BH718" s="192"/>
      <c r="BI718" s="192"/>
      <c r="BJ718" s="192"/>
      <c r="BK718" s="192"/>
      <c r="BL718" s="192"/>
      <c r="BM718" s="192"/>
      <c r="BN718" s="192"/>
      <c r="BO718" s="192"/>
      <c r="BP718" s="192"/>
      <c r="BQ718" s="192"/>
      <c r="BR718" s="192"/>
      <c r="BS718" s="192"/>
      <c r="BT718" s="192"/>
    </row>
    <row r="719" spans="1:7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BH719" s="192"/>
      <c r="BI719" s="192"/>
      <c r="BJ719" s="192"/>
      <c r="BK719" s="192"/>
      <c r="BL719" s="192"/>
      <c r="BM719" s="192"/>
      <c r="BN719" s="192"/>
      <c r="BO719" s="192"/>
      <c r="BP719" s="192"/>
      <c r="BQ719" s="192"/>
      <c r="BR719" s="192"/>
      <c r="BS719" s="192"/>
      <c r="BT719" s="192"/>
    </row>
    <row r="720" spans="1:7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BH720" s="192"/>
      <c r="BI720" s="192"/>
      <c r="BJ720" s="192"/>
      <c r="BK720" s="192"/>
      <c r="BL720" s="192"/>
      <c r="BM720" s="192"/>
      <c r="BN720" s="192"/>
      <c r="BO720" s="192"/>
      <c r="BP720" s="192"/>
      <c r="BQ720" s="192"/>
      <c r="BR720" s="192"/>
      <c r="BS720" s="192"/>
      <c r="BT720" s="192"/>
    </row>
    <row r="721" spans="1:7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BH721" s="192"/>
      <c r="BI721" s="192"/>
      <c r="BJ721" s="192"/>
      <c r="BK721" s="192"/>
      <c r="BL721" s="192"/>
      <c r="BM721" s="192"/>
      <c r="BN721" s="192"/>
      <c r="BO721" s="192"/>
      <c r="BP721" s="192"/>
      <c r="BQ721" s="192"/>
      <c r="BR721" s="192"/>
      <c r="BS721" s="192"/>
      <c r="BT721" s="192"/>
    </row>
    <row r="722" spans="1:7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BH722" s="192"/>
      <c r="BI722" s="192"/>
      <c r="BJ722" s="192"/>
      <c r="BK722" s="192"/>
      <c r="BL722" s="192"/>
      <c r="BM722" s="192"/>
      <c r="BN722" s="192"/>
      <c r="BO722" s="192"/>
      <c r="BP722" s="192"/>
      <c r="BQ722" s="192"/>
      <c r="BR722" s="192"/>
      <c r="BS722" s="192"/>
      <c r="BT722" s="192"/>
    </row>
    <row r="723" spans="1:7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BH723" s="192"/>
      <c r="BI723" s="192"/>
      <c r="BJ723" s="192"/>
      <c r="BK723" s="192"/>
      <c r="BL723" s="192"/>
      <c r="BM723" s="192"/>
      <c r="BN723" s="192"/>
      <c r="BO723" s="192"/>
      <c r="BP723" s="192"/>
      <c r="BQ723" s="192"/>
      <c r="BR723" s="192"/>
      <c r="BS723" s="192"/>
      <c r="BT723" s="192"/>
    </row>
    <row r="724" spans="1:7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BH724" s="192"/>
      <c r="BI724" s="192"/>
      <c r="BJ724" s="192"/>
      <c r="BK724" s="192"/>
      <c r="BL724" s="192"/>
      <c r="BM724" s="192"/>
      <c r="BN724" s="192"/>
      <c r="BO724" s="192"/>
      <c r="BP724" s="192"/>
      <c r="BQ724" s="192"/>
      <c r="BR724" s="192"/>
      <c r="BS724" s="192"/>
      <c r="BT724" s="192"/>
    </row>
    <row r="725" spans="1:7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BH725" s="192"/>
      <c r="BI725" s="192"/>
      <c r="BJ725" s="192"/>
      <c r="BK725" s="192"/>
      <c r="BL725" s="192"/>
      <c r="BM725" s="192"/>
      <c r="BN725" s="192"/>
      <c r="BO725" s="192"/>
      <c r="BP725" s="192"/>
      <c r="BQ725" s="192"/>
      <c r="BR725" s="192"/>
      <c r="BS725" s="192"/>
      <c r="BT725" s="192"/>
    </row>
    <row r="726" spans="1:7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BH726" s="192"/>
      <c r="BI726" s="192"/>
      <c r="BJ726" s="192"/>
      <c r="BK726" s="192"/>
      <c r="BL726" s="192"/>
      <c r="BM726" s="192"/>
      <c r="BN726" s="192"/>
      <c r="BO726" s="192"/>
      <c r="BP726" s="192"/>
      <c r="BQ726" s="192"/>
      <c r="BR726" s="192"/>
      <c r="BS726" s="192"/>
      <c r="BT726" s="192"/>
    </row>
    <row r="727" spans="1:7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BH727" s="192"/>
      <c r="BI727" s="192"/>
      <c r="BJ727" s="192"/>
      <c r="BK727" s="192"/>
      <c r="BL727" s="192"/>
      <c r="BM727" s="192"/>
      <c r="BN727" s="192"/>
      <c r="BO727" s="192"/>
      <c r="BP727" s="192"/>
      <c r="BQ727" s="192"/>
      <c r="BR727" s="192"/>
      <c r="BS727" s="192"/>
      <c r="BT727" s="192"/>
    </row>
    <row r="728" spans="1:7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BH728" s="192"/>
      <c r="BI728" s="192"/>
      <c r="BJ728" s="192"/>
      <c r="BK728" s="192"/>
      <c r="BL728" s="192"/>
      <c r="BM728" s="192"/>
      <c r="BN728" s="192"/>
      <c r="BO728" s="192"/>
      <c r="BP728" s="192"/>
      <c r="BQ728" s="192"/>
      <c r="BR728" s="192"/>
      <c r="BS728" s="192"/>
      <c r="BT728" s="192"/>
    </row>
    <row r="729" spans="1:7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BH729" s="192"/>
      <c r="BI729" s="192"/>
      <c r="BJ729" s="192"/>
      <c r="BK729" s="192"/>
      <c r="BL729" s="192"/>
      <c r="BM729" s="192"/>
      <c r="BN729" s="192"/>
      <c r="BO729" s="192"/>
      <c r="BP729" s="192"/>
      <c r="BQ729" s="192"/>
      <c r="BR729" s="192"/>
      <c r="BS729" s="192"/>
      <c r="BT729" s="192"/>
    </row>
    <row r="730" spans="1:7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BH730" s="192"/>
      <c r="BI730" s="192"/>
      <c r="BJ730" s="192"/>
      <c r="BK730" s="192"/>
      <c r="BL730" s="192"/>
      <c r="BM730" s="192"/>
      <c r="BN730" s="192"/>
      <c r="BO730" s="192"/>
      <c r="BP730" s="192"/>
      <c r="BQ730" s="192"/>
      <c r="BR730" s="192"/>
      <c r="BS730" s="192"/>
      <c r="BT730" s="192"/>
    </row>
    <row r="731" spans="1:7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BH731" s="192"/>
      <c r="BI731" s="192"/>
      <c r="BJ731" s="192"/>
      <c r="BK731" s="192"/>
      <c r="BL731" s="192"/>
      <c r="BM731" s="192"/>
      <c r="BN731" s="192"/>
      <c r="BO731" s="192"/>
      <c r="BP731" s="192"/>
      <c r="BQ731" s="192"/>
      <c r="BR731" s="192"/>
      <c r="BS731" s="192"/>
      <c r="BT731" s="192"/>
    </row>
    <row r="732" spans="1:7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BH732" s="192"/>
      <c r="BI732" s="192"/>
      <c r="BJ732" s="192"/>
      <c r="BK732" s="192"/>
      <c r="BL732" s="192"/>
      <c r="BM732" s="192"/>
      <c r="BN732" s="192"/>
      <c r="BO732" s="192"/>
      <c r="BP732" s="192"/>
      <c r="BQ732" s="192"/>
      <c r="BR732" s="192"/>
      <c r="BS732" s="192"/>
      <c r="BT732" s="192"/>
    </row>
    <row r="733" spans="1:7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BH733" s="192"/>
      <c r="BI733" s="192"/>
      <c r="BJ733" s="192"/>
      <c r="BK733" s="192"/>
      <c r="BL733" s="192"/>
      <c r="BM733" s="192"/>
      <c r="BN733" s="192"/>
      <c r="BO733" s="192"/>
      <c r="BP733" s="192"/>
      <c r="BQ733" s="192"/>
      <c r="BR733" s="192"/>
      <c r="BS733" s="192"/>
      <c r="BT733" s="192"/>
    </row>
    <row r="734" spans="1:7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BH734" s="192"/>
      <c r="BI734" s="192"/>
      <c r="BJ734" s="192"/>
      <c r="BK734" s="192"/>
      <c r="BL734" s="192"/>
      <c r="BM734" s="192"/>
      <c r="BN734" s="192"/>
      <c r="BO734" s="192"/>
      <c r="BP734" s="192"/>
      <c r="BQ734" s="192"/>
      <c r="BR734" s="192"/>
      <c r="BS734" s="192"/>
      <c r="BT734" s="192"/>
    </row>
    <row r="735" spans="1:7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BH735" s="192"/>
      <c r="BI735" s="192"/>
      <c r="BJ735" s="192"/>
      <c r="BK735" s="192"/>
      <c r="BL735" s="192"/>
      <c r="BM735" s="192"/>
      <c r="BN735" s="192"/>
      <c r="BO735" s="192"/>
      <c r="BP735" s="192"/>
      <c r="BQ735" s="192"/>
      <c r="BR735" s="192"/>
      <c r="BS735" s="192"/>
      <c r="BT735" s="192"/>
    </row>
    <row r="736" spans="1:7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BH736" s="192"/>
      <c r="BI736" s="192"/>
      <c r="BJ736" s="192"/>
      <c r="BK736" s="192"/>
      <c r="BL736" s="192"/>
      <c r="BM736" s="192"/>
      <c r="BN736" s="192"/>
      <c r="BO736" s="192"/>
      <c r="BP736" s="192"/>
      <c r="BQ736" s="192"/>
      <c r="BR736" s="192"/>
      <c r="BS736" s="192"/>
      <c r="BT736" s="192"/>
    </row>
    <row r="737" spans="1:7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BH737" s="192"/>
      <c r="BI737" s="192"/>
      <c r="BJ737" s="192"/>
      <c r="BK737" s="192"/>
      <c r="BL737" s="192"/>
      <c r="BM737" s="192"/>
      <c r="BN737" s="192"/>
      <c r="BO737" s="192"/>
      <c r="BP737" s="192"/>
      <c r="BQ737" s="192"/>
      <c r="BR737" s="192"/>
      <c r="BS737" s="192"/>
      <c r="BT737" s="192"/>
    </row>
    <row r="738" spans="1:7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BH738" s="192"/>
      <c r="BI738" s="192"/>
      <c r="BJ738" s="192"/>
      <c r="BK738" s="192"/>
      <c r="BL738" s="192"/>
      <c r="BM738" s="192"/>
      <c r="BN738" s="192"/>
      <c r="BO738" s="192"/>
      <c r="BP738" s="192"/>
      <c r="BQ738" s="192"/>
      <c r="BR738" s="192"/>
      <c r="BS738" s="192"/>
      <c r="BT738" s="192"/>
    </row>
    <row r="739" spans="1:7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BH739" s="192"/>
      <c r="BI739" s="192"/>
      <c r="BJ739" s="192"/>
      <c r="BK739" s="192"/>
      <c r="BL739" s="192"/>
      <c r="BM739" s="192"/>
      <c r="BN739" s="192"/>
      <c r="BO739" s="192"/>
      <c r="BP739" s="192"/>
      <c r="BQ739" s="192"/>
      <c r="BR739" s="192"/>
      <c r="BS739" s="192"/>
      <c r="BT739" s="192"/>
    </row>
    <row r="740" spans="1:7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BH740" s="192"/>
      <c r="BI740" s="192"/>
      <c r="BJ740" s="192"/>
      <c r="BK740" s="192"/>
      <c r="BL740" s="192"/>
      <c r="BM740" s="192"/>
      <c r="BN740" s="192"/>
      <c r="BO740" s="192"/>
      <c r="BP740" s="192"/>
      <c r="BQ740" s="192"/>
      <c r="BR740" s="192"/>
      <c r="BS740" s="192"/>
      <c r="BT740" s="192"/>
    </row>
    <row r="741" spans="1:7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BH741" s="192"/>
      <c r="BI741" s="192"/>
      <c r="BJ741" s="192"/>
      <c r="BK741" s="192"/>
      <c r="BL741" s="192"/>
      <c r="BM741" s="192"/>
      <c r="BN741" s="192"/>
      <c r="BO741" s="192"/>
      <c r="BP741" s="192"/>
      <c r="BQ741" s="192"/>
      <c r="BR741" s="192"/>
      <c r="BS741" s="192"/>
      <c r="BT741" s="192"/>
    </row>
    <row r="742" spans="1:7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BH742" s="192"/>
      <c r="BI742" s="192"/>
      <c r="BJ742" s="192"/>
      <c r="BK742" s="192"/>
      <c r="BL742" s="192"/>
      <c r="BM742" s="192"/>
      <c r="BN742" s="192"/>
      <c r="BO742" s="192"/>
      <c r="BP742" s="192"/>
      <c r="BQ742" s="192"/>
      <c r="BR742" s="192"/>
      <c r="BS742" s="192"/>
      <c r="BT742" s="192"/>
    </row>
    <row r="743" spans="1:7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BH743" s="192"/>
      <c r="BI743" s="192"/>
      <c r="BJ743" s="192"/>
      <c r="BK743" s="192"/>
      <c r="BL743" s="192"/>
      <c r="BM743" s="192"/>
      <c r="BN743" s="192"/>
      <c r="BO743" s="192"/>
      <c r="BP743" s="192"/>
      <c r="BQ743" s="192"/>
      <c r="BR743" s="192"/>
      <c r="BS743" s="192"/>
      <c r="BT743" s="192"/>
    </row>
    <row r="744" spans="1:7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BH744" s="192"/>
      <c r="BI744" s="192"/>
      <c r="BJ744" s="192"/>
      <c r="BK744" s="192"/>
      <c r="BL744" s="192"/>
      <c r="BM744" s="192"/>
      <c r="BN744" s="192"/>
      <c r="BO744" s="192"/>
      <c r="BP744" s="192"/>
      <c r="BQ744" s="192"/>
      <c r="BR744" s="192"/>
      <c r="BS744" s="192"/>
      <c r="BT744" s="192"/>
    </row>
    <row r="745" spans="1:72">
      <c r="BH745" s="192"/>
      <c r="BI745" s="192"/>
      <c r="BJ745" s="192"/>
      <c r="BK745" s="192"/>
      <c r="BL745" s="192"/>
      <c r="BM745" s="192"/>
      <c r="BN745" s="192"/>
      <c r="BO745" s="192"/>
      <c r="BP745" s="192"/>
      <c r="BQ745" s="192"/>
      <c r="BR745" s="192"/>
      <c r="BS745" s="192"/>
      <c r="BT745" s="192"/>
    </row>
    <row r="746" spans="1:72">
      <c r="BH746" s="192"/>
      <c r="BI746" s="192"/>
      <c r="BJ746" s="192"/>
      <c r="BK746" s="192"/>
      <c r="BL746" s="192"/>
      <c r="BM746" s="192"/>
      <c r="BN746" s="192"/>
      <c r="BO746" s="192"/>
      <c r="BP746" s="192"/>
      <c r="BQ746" s="192"/>
      <c r="BR746" s="192"/>
      <c r="BS746" s="192"/>
      <c r="BT746" s="192"/>
    </row>
    <row r="747" spans="1:72">
      <c r="BH747" s="192"/>
      <c r="BI747" s="192"/>
      <c r="BJ747" s="192"/>
      <c r="BK747" s="192"/>
      <c r="BL747" s="192"/>
      <c r="BM747" s="192"/>
      <c r="BN747" s="192"/>
      <c r="BO747" s="192"/>
      <c r="BP747" s="192"/>
      <c r="BQ747" s="192"/>
      <c r="BR747" s="192"/>
      <c r="BS747" s="192"/>
      <c r="BT747" s="192"/>
    </row>
    <row r="748" spans="1:72">
      <c r="BH748" s="192"/>
      <c r="BI748" s="192"/>
      <c r="BJ748" s="192"/>
      <c r="BK748" s="192"/>
      <c r="BL748" s="192"/>
      <c r="BM748" s="192"/>
      <c r="BN748" s="192"/>
      <c r="BO748" s="192"/>
      <c r="BP748" s="192"/>
      <c r="BQ748" s="192"/>
      <c r="BR748" s="192"/>
      <c r="BS748" s="192"/>
      <c r="BT748" s="192"/>
    </row>
    <row r="749" spans="1:72">
      <c r="BH749" s="192"/>
      <c r="BI749" s="192"/>
      <c r="BJ749" s="192"/>
      <c r="BK749" s="192"/>
      <c r="BL749" s="192"/>
      <c r="BM749" s="192"/>
      <c r="BN749" s="192"/>
      <c r="BO749" s="192"/>
      <c r="BP749" s="192"/>
      <c r="BQ749" s="192"/>
      <c r="BR749" s="192"/>
      <c r="BS749" s="192"/>
      <c r="BT749" s="192"/>
    </row>
    <row r="750" spans="1:72">
      <c r="BH750" s="192"/>
      <c r="BI750" s="192"/>
      <c r="BJ750" s="192"/>
      <c r="BK750" s="192"/>
      <c r="BL750" s="192"/>
      <c r="BM750" s="192"/>
      <c r="BN750" s="192"/>
      <c r="BO750" s="192"/>
      <c r="BP750" s="192"/>
      <c r="BQ750" s="192"/>
      <c r="BR750" s="192"/>
      <c r="BS750" s="192"/>
      <c r="BT750" s="192"/>
    </row>
    <row r="751" spans="1:72">
      <c r="BH751" s="192"/>
      <c r="BI751" s="192"/>
      <c r="BJ751" s="192"/>
      <c r="BK751" s="192"/>
      <c r="BL751" s="192"/>
      <c r="BM751" s="192"/>
      <c r="BN751" s="192"/>
      <c r="BO751" s="192"/>
      <c r="BP751" s="192"/>
      <c r="BQ751" s="192"/>
      <c r="BR751" s="192"/>
      <c r="BS751" s="192"/>
      <c r="BT751" s="192"/>
    </row>
    <row r="752" spans="1:72">
      <c r="BH752" s="192"/>
      <c r="BI752" s="192"/>
      <c r="BJ752" s="192"/>
      <c r="BK752" s="192"/>
      <c r="BL752" s="192"/>
      <c r="BM752" s="192"/>
      <c r="BN752" s="192"/>
      <c r="BO752" s="192"/>
      <c r="BP752" s="192"/>
      <c r="BQ752" s="192"/>
      <c r="BR752" s="192"/>
      <c r="BS752" s="192"/>
      <c r="BT752" s="192"/>
    </row>
    <row r="753" spans="60:72">
      <c r="BH753" s="192"/>
      <c r="BI753" s="192"/>
      <c r="BJ753" s="192"/>
      <c r="BK753" s="192"/>
      <c r="BL753" s="192"/>
      <c r="BM753" s="192"/>
      <c r="BN753" s="192"/>
      <c r="BO753" s="192"/>
      <c r="BP753" s="192"/>
      <c r="BQ753" s="192"/>
      <c r="BR753" s="192"/>
      <c r="BS753" s="192"/>
      <c r="BT753" s="192"/>
    </row>
    <row r="754" spans="60:72">
      <c r="BH754" s="192"/>
      <c r="BI754" s="192"/>
      <c r="BJ754" s="192"/>
      <c r="BK754" s="192"/>
      <c r="BL754" s="192"/>
      <c r="BM754" s="192"/>
      <c r="BN754" s="192"/>
      <c r="BO754" s="192"/>
      <c r="BP754" s="192"/>
      <c r="BQ754" s="192"/>
      <c r="BR754" s="192"/>
      <c r="BS754" s="192"/>
      <c r="BT754" s="192"/>
    </row>
    <row r="755" spans="60:72">
      <c r="BH755" s="192"/>
      <c r="BI755" s="192"/>
      <c r="BJ755" s="192"/>
      <c r="BK755" s="192"/>
      <c r="BL755" s="192"/>
      <c r="BM755" s="192"/>
      <c r="BN755" s="192"/>
      <c r="BO755" s="192"/>
      <c r="BP755" s="192"/>
      <c r="BQ755" s="192"/>
      <c r="BR755" s="192"/>
      <c r="BS755" s="192"/>
      <c r="BT755" s="192"/>
    </row>
    <row r="756" spans="60:72">
      <c r="BH756" s="192"/>
      <c r="BI756" s="192"/>
      <c r="BJ756" s="192"/>
      <c r="BK756" s="192"/>
      <c r="BL756" s="192"/>
      <c r="BM756" s="192"/>
      <c r="BN756" s="192"/>
      <c r="BO756" s="192"/>
      <c r="BP756" s="192"/>
      <c r="BQ756" s="192"/>
      <c r="BR756" s="192"/>
      <c r="BS756" s="192"/>
      <c r="BT756" s="192"/>
    </row>
    <row r="757" spans="60:72">
      <c r="BH757" s="192"/>
      <c r="BI757" s="192"/>
      <c r="BJ757" s="192"/>
      <c r="BK757" s="192"/>
      <c r="BL757" s="192"/>
      <c r="BM757" s="192"/>
      <c r="BN757" s="192"/>
      <c r="BO757" s="192"/>
      <c r="BP757" s="192"/>
      <c r="BQ757" s="192"/>
      <c r="BR757" s="192"/>
      <c r="BS757" s="192"/>
      <c r="BT757" s="192"/>
    </row>
    <row r="758" spans="60:72">
      <c r="BH758" s="192"/>
      <c r="BI758" s="192"/>
      <c r="BJ758" s="192"/>
      <c r="BK758" s="192"/>
      <c r="BL758" s="192"/>
      <c r="BM758" s="192"/>
      <c r="BN758" s="192"/>
      <c r="BO758" s="192"/>
      <c r="BP758" s="192"/>
      <c r="BQ758" s="192"/>
      <c r="BR758" s="192"/>
      <c r="BS758" s="192"/>
      <c r="BT758" s="192"/>
    </row>
    <row r="759" spans="60:72">
      <c r="BH759" s="192"/>
      <c r="BI759" s="192"/>
      <c r="BJ759" s="192"/>
      <c r="BK759" s="192"/>
      <c r="BL759" s="192"/>
      <c r="BM759" s="192"/>
      <c r="BN759" s="192"/>
      <c r="BO759" s="192"/>
      <c r="BP759" s="192"/>
      <c r="BQ759" s="192"/>
      <c r="BR759" s="192"/>
      <c r="BS759" s="192"/>
      <c r="BT759" s="192"/>
    </row>
    <row r="760" spans="60:72">
      <c r="BH760" s="192"/>
      <c r="BI760" s="192"/>
      <c r="BJ760" s="192"/>
      <c r="BK760" s="192"/>
      <c r="BL760" s="192"/>
      <c r="BM760" s="192"/>
      <c r="BN760" s="192"/>
      <c r="BO760" s="192"/>
      <c r="BP760" s="192"/>
      <c r="BQ760" s="192"/>
      <c r="BR760" s="192"/>
      <c r="BS760" s="192"/>
      <c r="BT760" s="192"/>
    </row>
    <row r="761" spans="60:72">
      <c r="BH761" s="192"/>
      <c r="BI761" s="192"/>
      <c r="BJ761" s="192"/>
      <c r="BK761" s="192"/>
      <c r="BL761" s="192"/>
      <c r="BM761" s="192"/>
      <c r="BN761" s="192"/>
      <c r="BO761" s="192"/>
      <c r="BP761" s="192"/>
      <c r="BQ761" s="192"/>
      <c r="BR761" s="192"/>
      <c r="BS761" s="192"/>
      <c r="BT761" s="192"/>
    </row>
    <row r="762" spans="60:72">
      <c r="BH762" s="192"/>
      <c r="BI762" s="192"/>
      <c r="BJ762" s="192"/>
      <c r="BK762" s="192"/>
      <c r="BL762" s="192"/>
      <c r="BM762" s="192"/>
      <c r="BN762" s="192"/>
      <c r="BO762" s="192"/>
      <c r="BP762" s="192"/>
      <c r="BQ762" s="192"/>
      <c r="BR762" s="192"/>
      <c r="BS762" s="192"/>
      <c r="BT762" s="192"/>
    </row>
    <row r="763" spans="60:72">
      <c r="BH763" s="192"/>
      <c r="BI763" s="192"/>
      <c r="BJ763" s="192"/>
      <c r="BK763" s="192"/>
      <c r="BL763" s="192"/>
      <c r="BM763" s="192"/>
      <c r="BN763" s="192"/>
      <c r="BO763" s="192"/>
      <c r="BP763" s="192"/>
      <c r="BQ763" s="192"/>
      <c r="BR763" s="192"/>
      <c r="BS763" s="192"/>
      <c r="BT763" s="192"/>
    </row>
    <row r="764" spans="60:72">
      <c r="BH764" s="192"/>
      <c r="BI764" s="192"/>
      <c r="BJ764" s="192"/>
      <c r="BK764" s="192"/>
      <c r="BL764" s="192"/>
      <c r="BM764" s="192"/>
      <c r="BN764" s="192"/>
      <c r="BO764" s="192"/>
      <c r="BP764" s="192"/>
      <c r="BQ764" s="192"/>
      <c r="BR764" s="192"/>
      <c r="BS764" s="192"/>
      <c r="BT764" s="192"/>
    </row>
    <row r="765" spans="60:72">
      <c r="BH765" s="192"/>
      <c r="BI765" s="192"/>
      <c r="BJ765" s="192"/>
      <c r="BK765" s="192"/>
      <c r="BL765" s="192"/>
      <c r="BM765" s="192"/>
      <c r="BN765" s="192"/>
      <c r="BO765" s="192"/>
      <c r="BP765" s="192"/>
      <c r="BQ765" s="192"/>
      <c r="BR765" s="192"/>
      <c r="BS765" s="192"/>
      <c r="BT765" s="192"/>
    </row>
    <row r="766" spans="60:72">
      <c r="BH766" s="192"/>
      <c r="BI766" s="192"/>
      <c r="BJ766" s="192"/>
      <c r="BK766" s="192"/>
      <c r="BL766" s="192"/>
      <c r="BM766" s="192"/>
      <c r="BN766" s="192"/>
      <c r="BO766" s="192"/>
      <c r="BP766" s="192"/>
      <c r="BQ766" s="192"/>
      <c r="BR766" s="192"/>
      <c r="BS766" s="192"/>
      <c r="BT766" s="192"/>
    </row>
    <row r="767" spans="60:72">
      <c r="BH767" s="192"/>
      <c r="BI767" s="192"/>
      <c r="BJ767" s="192"/>
      <c r="BK767" s="192"/>
      <c r="BL767" s="192"/>
      <c r="BM767" s="192"/>
      <c r="BN767" s="192"/>
      <c r="BO767" s="192"/>
      <c r="BP767" s="192"/>
      <c r="BQ767" s="192"/>
      <c r="BR767" s="192"/>
      <c r="BS767" s="192"/>
      <c r="BT767" s="192"/>
    </row>
    <row r="768" spans="60:72">
      <c r="BH768" s="192"/>
      <c r="BI768" s="192"/>
      <c r="BJ768" s="192"/>
      <c r="BK768" s="192"/>
      <c r="BL768" s="192"/>
      <c r="BM768" s="192"/>
      <c r="BN768" s="192"/>
      <c r="BO768" s="192"/>
      <c r="BP768" s="192"/>
      <c r="BQ768" s="192"/>
      <c r="BR768" s="192"/>
      <c r="BS768" s="192"/>
      <c r="BT768" s="192"/>
    </row>
    <row r="769" spans="60:72">
      <c r="BH769" s="192"/>
      <c r="BI769" s="192"/>
      <c r="BJ769" s="192"/>
      <c r="BK769" s="192"/>
      <c r="BL769" s="192"/>
      <c r="BM769" s="192"/>
      <c r="BN769" s="192"/>
      <c r="BO769" s="192"/>
      <c r="BP769" s="192"/>
      <c r="BQ769" s="192"/>
      <c r="BR769" s="192"/>
      <c r="BS769" s="192"/>
      <c r="BT769" s="192"/>
    </row>
    <row r="770" spans="60:72">
      <c r="BH770" s="192"/>
      <c r="BI770" s="192"/>
      <c r="BJ770" s="192"/>
      <c r="BK770" s="192"/>
      <c r="BL770" s="192"/>
      <c r="BM770" s="192"/>
      <c r="BN770" s="192"/>
      <c r="BO770" s="192"/>
      <c r="BP770" s="192"/>
      <c r="BQ770" s="192"/>
      <c r="BR770" s="192"/>
      <c r="BS770" s="192"/>
      <c r="BT770" s="192"/>
    </row>
    <row r="771" spans="60:72">
      <c r="BH771" s="192"/>
      <c r="BI771" s="192"/>
      <c r="BJ771" s="192"/>
      <c r="BK771" s="192"/>
      <c r="BL771" s="192"/>
      <c r="BM771" s="192"/>
      <c r="BN771" s="192"/>
      <c r="BO771" s="192"/>
      <c r="BP771" s="192"/>
      <c r="BQ771" s="192"/>
      <c r="BR771" s="192"/>
      <c r="BS771" s="192"/>
      <c r="BT771" s="192"/>
    </row>
    <row r="772" spans="60:72">
      <c r="BH772" s="192"/>
      <c r="BI772" s="192"/>
      <c r="BJ772" s="192"/>
      <c r="BK772" s="192"/>
      <c r="BL772" s="192"/>
      <c r="BM772" s="192"/>
      <c r="BN772" s="192"/>
      <c r="BO772" s="192"/>
      <c r="BP772" s="192"/>
      <c r="BQ772" s="192"/>
      <c r="BR772" s="192"/>
      <c r="BS772" s="192"/>
      <c r="BT772" s="192"/>
    </row>
    <row r="773" spans="60:72">
      <c r="BH773" s="192"/>
      <c r="BI773" s="192"/>
      <c r="BJ773" s="192"/>
      <c r="BK773" s="192"/>
      <c r="BL773" s="192"/>
      <c r="BM773" s="192"/>
      <c r="BN773" s="192"/>
      <c r="BO773" s="192"/>
      <c r="BP773" s="192"/>
      <c r="BQ773" s="192"/>
      <c r="BR773" s="192"/>
      <c r="BS773" s="192"/>
      <c r="BT773" s="192"/>
    </row>
    <row r="774" spans="60:72">
      <c r="BH774" s="192"/>
      <c r="BI774" s="192"/>
      <c r="BJ774" s="192"/>
      <c r="BK774" s="192"/>
      <c r="BL774" s="192"/>
      <c r="BM774" s="192"/>
      <c r="BN774" s="192"/>
      <c r="BO774" s="192"/>
      <c r="BP774" s="192"/>
      <c r="BQ774" s="192"/>
      <c r="BR774" s="192"/>
      <c r="BS774" s="192"/>
      <c r="BT774" s="192"/>
    </row>
    <row r="775" spans="60:72">
      <c r="BH775" s="192"/>
      <c r="BI775" s="192"/>
      <c r="BJ775" s="192"/>
      <c r="BK775" s="192"/>
      <c r="BL775" s="192"/>
      <c r="BM775" s="192"/>
      <c r="BN775" s="192"/>
      <c r="BO775" s="192"/>
      <c r="BP775" s="192"/>
      <c r="BQ775" s="192"/>
      <c r="BR775" s="192"/>
      <c r="BS775" s="192"/>
      <c r="BT775" s="192"/>
    </row>
    <row r="776" spans="60:72">
      <c r="BH776" s="192"/>
      <c r="BI776" s="192"/>
      <c r="BJ776" s="192"/>
      <c r="BK776" s="192"/>
      <c r="BL776" s="192"/>
      <c r="BM776" s="192"/>
      <c r="BN776" s="192"/>
      <c r="BO776" s="192"/>
      <c r="BP776" s="192"/>
      <c r="BQ776" s="192"/>
      <c r="BR776" s="192"/>
      <c r="BS776" s="192"/>
      <c r="BT776" s="192"/>
    </row>
    <row r="777" spans="60:72">
      <c r="BH777" s="192"/>
      <c r="BI777" s="192"/>
      <c r="BJ777" s="192"/>
      <c r="BK777" s="192"/>
      <c r="BL777" s="192"/>
      <c r="BM777" s="192"/>
      <c r="BN777" s="192"/>
      <c r="BO777" s="192"/>
      <c r="BP777" s="192"/>
      <c r="BQ777" s="192"/>
      <c r="BR777" s="192"/>
      <c r="BS777" s="192"/>
      <c r="BT777" s="192"/>
    </row>
    <row r="778" spans="60:72">
      <c r="BH778" s="192"/>
      <c r="BI778" s="192"/>
      <c r="BJ778" s="192"/>
      <c r="BK778" s="192"/>
      <c r="BL778" s="192"/>
      <c r="BM778" s="192"/>
      <c r="BN778" s="192"/>
      <c r="BO778" s="192"/>
      <c r="BP778" s="192"/>
      <c r="BQ778" s="192"/>
      <c r="BR778" s="192"/>
      <c r="BS778" s="192"/>
      <c r="BT778" s="192"/>
    </row>
    <row r="779" spans="60:72">
      <c r="BH779" s="192"/>
      <c r="BI779" s="192"/>
      <c r="BJ779" s="192"/>
      <c r="BK779" s="192"/>
      <c r="BL779" s="192"/>
      <c r="BM779" s="192"/>
      <c r="BN779" s="192"/>
      <c r="BO779" s="192"/>
      <c r="BP779" s="192"/>
      <c r="BQ779" s="192"/>
      <c r="BR779" s="192"/>
      <c r="BS779" s="192"/>
      <c r="BT779" s="192"/>
    </row>
    <row r="780" spans="60:72">
      <c r="BH780" s="192"/>
      <c r="BI780" s="192"/>
      <c r="BJ780" s="192"/>
      <c r="BK780" s="192"/>
      <c r="BL780" s="192"/>
      <c r="BM780" s="192"/>
      <c r="BN780" s="192"/>
      <c r="BO780" s="192"/>
      <c r="BP780" s="192"/>
      <c r="BQ780" s="192"/>
      <c r="BR780" s="192"/>
      <c r="BS780" s="192"/>
      <c r="BT780" s="192"/>
    </row>
    <row r="781" spans="60:72">
      <c r="BH781" s="192"/>
      <c r="BI781" s="192"/>
      <c r="BJ781" s="192"/>
      <c r="BK781" s="192"/>
      <c r="BL781" s="192"/>
      <c r="BM781" s="192"/>
      <c r="BN781" s="192"/>
      <c r="BO781" s="192"/>
      <c r="BP781" s="192"/>
      <c r="BQ781" s="192"/>
      <c r="BR781" s="192"/>
      <c r="BS781" s="192"/>
      <c r="BT781" s="192"/>
    </row>
    <row r="782" spans="60:72">
      <c r="BH782" s="192"/>
      <c r="BI782" s="192"/>
      <c r="BJ782" s="192"/>
      <c r="BK782" s="192"/>
      <c r="BL782" s="192"/>
      <c r="BM782" s="192"/>
      <c r="BN782" s="192"/>
      <c r="BO782" s="192"/>
      <c r="BP782" s="192"/>
      <c r="BQ782" s="192"/>
      <c r="BR782" s="192"/>
      <c r="BS782" s="192"/>
      <c r="BT782" s="192"/>
    </row>
    <row r="783" spans="60:72">
      <c r="BH783" s="192"/>
      <c r="BI783" s="192"/>
      <c r="BJ783" s="192"/>
      <c r="BK783" s="192"/>
      <c r="BL783" s="192"/>
      <c r="BM783" s="192"/>
      <c r="BN783" s="192"/>
      <c r="BO783" s="192"/>
      <c r="BP783" s="192"/>
      <c r="BQ783" s="192"/>
      <c r="BR783" s="192"/>
      <c r="BS783" s="192"/>
      <c r="BT783" s="192"/>
    </row>
    <row r="784" spans="60:72">
      <c r="BH784" s="192"/>
      <c r="BI784" s="192"/>
      <c r="BJ784" s="192"/>
      <c r="BK784" s="192"/>
      <c r="BL784" s="192"/>
      <c r="BM784" s="192"/>
      <c r="BN784" s="192"/>
      <c r="BO784" s="192"/>
      <c r="BP784" s="192"/>
      <c r="BQ784" s="192"/>
      <c r="BR784" s="192"/>
      <c r="BS784" s="192"/>
      <c r="BT784" s="192"/>
    </row>
    <row r="785" spans="60:72">
      <c r="BH785" s="192"/>
      <c r="BI785" s="192"/>
      <c r="BJ785" s="192"/>
      <c r="BK785" s="192"/>
      <c r="BL785" s="192"/>
      <c r="BM785" s="192"/>
      <c r="BN785" s="192"/>
      <c r="BO785" s="192"/>
      <c r="BP785" s="192"/>
      <c r="BQ785" s="192"/>
      <c r="BR785" s="192"/>
      <c r="BS785" s="192"/>
      <c r="BT785" s="192"/>
    </row>
    <row r="786" spans="60:72">
      <c r="BH786" s="192"/>
      <c r="BI786" s="192"/>
      <c r="BJ786" s="192"/>
      <c r="BK786" s="192"/>
      <c r="BL786" s="192"/>
      <c r="BM786" s="192"/>
      <c r="BN786" s="192"/>
      <c r="BO786" s="192"/>
      <c r="BP786" s="192"/>
      <c r="BQ786" s="192"/>
      <c r="BR786" s="192"/>
      <c r="BS786" s="192"/>
      <c r="BT786" s="192"/>
    </row>
    <row r="787" spans="60:72">
      <c r="BH787" s="192"/>
      <c r="BI787" s="192"/>
      <c r="BJ787" s="192"/>
      <c r="BK787" s="192"/>
      <c r="BL787" s="192"/>
      <c r="BM787" s="192"/>
      <c r="BN787" s="192"/>
      <c r="BO787" s="192"/>
      <c r="BP787" s="192"/>
      <c r="BQ787" s="192"/>
      <c r="BR787" s="192"/>
      <c r="BS787" s="192"/>
      <c r="BT787" s="192"/>
    </row>
    <row r="788" spans="60:72">
      <c r="BH788" s="192"/>
      <c r="BI788" s="192"/>
      <c r="BJ788" s="192"/>
      <c r="BK788" s="192"/>
      <c r="BL788" s="192"/>
      <c r="BM788" s="192"/>
      <c r="BN788" s="192"/>
      <c r="BO788" s="192"/>
      <c r="BP788" s="192"/>
      <c r="BQ788" s="192"/>
      <c r="BR788" s="192"/>
      <c r="BS788" s="192"/>
      <c r="BT788" s="192"/>
    </row>
    <row r="789" spans="60:72">
      <c r="BH789" s="192"/>
      <c r="BI789" s="192"/>
      <c r="BJ789" s="192"/>
      <c r="BK789" s="192"/>
      <c r="BL789" s="192"/>
      <c r="BM789" s="192"/>
      <c r="BN789" s="192"/>
      <c r="BO789" s="192"/>
      <c r="BP789" s="192"/>
      <c r="BQ789" s="192"/>
      <c r="BR789" s="192"/>
      <c r="BS789" s="192"/>
      <c r="BT789" s="192"/>
    </row>
    <row r="790" spans="60:72">
      <c r="BH790" s="192"/>
      <c r="BI790" s="192"/>
      <c r="BJ790" s="192"/>
      <c r="BK790" s="192"/>
      <c r="BL790" s="192"/>
      <c r="BM790" s="192"/>
      <c r="BN790" s="192"/>
      <c r="BO790" s="192"/>
      <c r="BP790" s="192"/>
      <c r="BQ790" s="192"/>
      <c r="BR790" s="192"/>
      <c r="BS790" s="192"/>
      <c r="BT790" s="192"/>
    </row>
    <row r="791" spans="60:72">
      <c r="BH791" s="192"/>
      <c r="BI791" s="192"/>
      <c r="BJ791" s="192"/>
      <c r="BK791" s="192"/>
      <c r="BL791" s="192"/>
      <c r="BM791" s="192"/>
      <c r="BN791" s="192"/>
      <c r="BO791" s="192"/>
      <c r="BP791" s="192"/>
      <c r="BQ791" s="192"/>
      <c r="BR791" s="192"/>
      <c r="BS791" s="192"/>
      <c r="BT791" s="192"/>
    </row>
    <row r="792" spans="60:72">
      <c r="BH792" s="192"/>
      <c r="BI792" s="192"/>
      <c r="BJ792" s="192"/>
      <c r="BK792" s="192"/>
      <c r="BL792" s="192"/>
      <c r="BM792" s="192"/>
      <c r="BN792" s="192"/>
      <c r="BO792" s="192"/>
      <c r="BP792" s="192"/>
      <c r="BQ792" s="192"/>
      <c r="BR792" s="192"/>
      <c r="BS792" s="192"/>
      <c r="BT792" s="192"/>
    </row>
    <row r="793" spans="60:72">
      <c r="BH793" s="192"/>
      <c r="BI793" s="192"/>
      <c r="BJ793" s="192"/>
      <c r="BK793" s="192"/>
      <c r="BL793" s="192"/>
      <c r="BM793" s="192"/>
      <c r="BN793" s="192"/>
      <c r="BO793" s="192"/>
      <c r="BP793" s="192"/>
      <c r="BQ793" s="192"/>
      <c r="BR793" s="192"/>
      <c r="BS793" s="192"/>
      <c r="BT793" s="192"/>
    </row>
    <row r="794" spans="60:72">
      <c r="BH794" s="192"/>
      <c r="BI794" s="192"/>
      <c r="BJ794" s="192"/>
      <c r="BK794" s="192"/>
      <c r="BL794" s="192"/>
      <c r="BM794" s="192"/>
      <c r="BN794" s="192"/>
      <c r="BO794" s="192"/>
      <c r="BP794" s="192"/>
      <c r="BQ794" s="192"/>
      <c r="BR794" s="192"/>
      <c r="BS794" s="192"/>
      <c r="BT794" s="192"/>
    </row>
    <row r="795" spans="60:72">
      <c r="BH795" s="192"/>
      <c r="BI795" s="192"/>
      <c r="BJ795" s="192"/>
      <c r="BK795" s="192"/>
      <c r="BL795" s="192"/>
      <c r="BM795" s="192"/>
      <c r="BN795" s="192"/>
      <c r="BO795" s="192"/>
      <c r="BP795" s="192"/>
      <c r="BQ795" s="192"/>
      <c r="BR795" s="192"/>
      <c r="BS795" s="192"/>
      <c r="BT795" s="192"/>
    </row>
    <row r="796" spans="60:72">
      <c r="BH796" s="192"/>
      <c r="BI796" s="192"/>
      <c r="BJ796" s="192"/>
      <c r="BK796" s="192"/>
      <c r="BL796" s="192"/>
      <c r="BM796" s="192"/>
      <c r="BN796" s="192"/>
      <c r="BO796" s="192"/>
      <c r="BP796" s="192"/>
      <c r="BQ796" s="192"/>
      <c r="BR796" s="192"/>
      <c r="BS796" s="192"/>
      <c r="BT796" s="192"/>
    </row>
    <row r="797" spans="60:72">
      <c r="BH797" s="192"/>
      <c r="BI797" s="192"/>
      <c r="BJ797" s="192"/>
      <c r="BK797" s="192"/>
      <c r="BL797" s="192"/>
      <c r="BM797" s="192"/>
      <c r="BN797" s="192"/>
      <c r="BO797" s="192"/>
      <c r="BP797" s="192"/>
      <c r="BQ797" s="192"/>
      <c r="BR797" s="192"/>
      <c r="BS797" s="192"/>
      <c r="BT797" s="192"/>
    </row>
    <row r="798" spans="60:72">
      <c r="BH798" s="192"/>
      <c r="BI798" s="192"/>
      <c r="BJ798" s="192"/>
      <c r="BK798" s="192"/>
      <c r="BL798" s="192"/>
      <c r="BM798" s="192"/>
      <c r="BN798" s="192"/>
      <c r="BO798" s="192"/>
      <c r="BP798" s="192"/>
      <c r="BQ798" s="192"/>
      <c r="BR798" s="192"/>
      <c r="BS798" s="192"/>
      <c r="BT798" s="192"/>
    </row>
    <row r="799" spans="60:72">
      <c r="BH799" s="192"/>
      <c r="BI799" s="192"/>
      <c r="BJ799" s="192"/>
      <c r="BK799" s="192"/>
      <c r="BL799" s="192"/>
      <c r="BM799" s="192"/>
      <c r="BN799" s="192"/>
      <c r="BO799" s="192"/>
      <c r="BP799" s="192"/>
      <c r="BQ799" s="192"/>
      <c r="BR799" s="192"/>
      <c r="BS799" s="192"/>
      <c r="BT799" s="192"/>
    </row>
    <row r="800" spans="60:72">
      <c r="BH800" s="192"/>
      <c r="BI800" s="192"/>
      <c r="BJ800" s="192"/>
      <c r="BK800" s="192"/>
      <c r="BL800" s="192"/>
      <c r="BM800" s="192"/>
      <c r="BN800" s="192"/>
      <c r="BO800" s="192"/>
      <c r="BP800" s="192"/>
      <c r="BQ800" s="192"/>
      <c r="BR800" s="192"/>
      <c r="BS800" s="192"/>
      <c r="BT800" s="192"/>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pane xSplit="5" ySplit="4" topLeftCell="F191" activePane="bottomRight" state="frozen"/>
      <selection pane="topRight" activeCell="F1" sqref="F1"/>
      <selection pane="bottomLeft" activeCell="A5" sqref="A5"/>
      <selection pane="bottomRight" activeCell="K191" sqref="K191"/>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12"/>
      <c r="BE2" s="12"/>
      <c r="BF2" s="12"/>
      <c r="BG2" s="12"/>
      <c r="BH2" s="12"/>
      <c r="BI2" s="12"/>
      <c r="BJ2" s="12"/>
      <c r="BK2" s="12"/>
      <c r="BL2" s="12"/>
    </row>
    <row r="3" spans="1:256" s="1" customFormat="1">
      <c r="A3" s="58"/>
      <c r="B3" s="58"/>
      <c r="C3" s="59"/>
      <c r="D3" s="58"/>
      <c r="E3" s="58"/>
      <c r="F3" s="58"/>
      <c r="G3" s="243">
        <v>0</v>
      </c>
      <c r="H3" s="243">
        <f t="shared" ref="H3:R3" si="0">G3+1</f>
        <v>1</v>
      </c>
      <c r="I3" s="243">
        <f t="shared" si="0"/>
        <v>2</v>
      </c>
      <c r="J3" s="243">
        <f t="shared" si="0"/>
        <v>3</v>
      </c>
      <c r="K3" s="243">
        <f t="shared" si="0"/>
        <v>4</v>
      </c>
      <c r="L3" s="243">
        <f t="shared" si="0"/>
        <v>5</v>
      </c>
      <c r="M3" s="243">
        <f t="shared" si="0"/>
        <v>6</v>
      </c>
      <c r="N3" s="243">
        <f t="shared" si="0"/>
        <v>7</v>
      </c>
      <c r="O3" s="243">
        <f t="shared" si="0"/>
        <v>8</v>
      </c>
      <c r="P3" s="243">
        <f t="shared" si="0"/>
        <v>9</v>
      </c>
      <c r="Q3" s="243">
        <f t="shared" si="0"/>
        <v>10</v>
      </c>
      <c r="R3" s="243">
        <f t="shared" si="0"/>
        <v>11</v>
      </c>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4"/>
      <c r="G6" s="203">
        <f>Input!G177</f>
        <v>2.8899999999999999E-2</v>
      </c>
      <c r="H6" s="21">
        <f>Input!H177</f>
        <v>3.3300000000000003E-2</v>
      </c>
      <c r="I6" s="21">
        <f>Input!I177</f>
        <v>1.5800000000000002E-2</v>
      </c>
      <c r="J6" s="21">
        <f>Input!J177</f>
        <v>2.5000000000000001E-2</v>
      </c>
      <c r="K6" s="21">
        <f>Input!K177</f>
        <v>2.93E-2</v>
      </c>
      <c r="L6" s="21">
        <f>Input!L177</f>
        <v>1.3299999999999999E-2</v>
      </c>
      <c r="M6" s="21">
        <f>Input!M177</f>
        <v>0</v>
      </c>
      <c r="N6" s="21">
        <f>Input!N177</f>
        <v>0</v>
      </c>
      <c r="O6" s="21">
        <f>Input!O177</f>
        <v>0</v>
      </c>
      <c r="P6" s="21">
        <f>Input!P177</f>
        <v>0</v>
      </c>
      <c r="Q6" s="21">
        <f>Input!Q177</f>
        <v>0</v>
      </c>
      <c r="R6" s="21"/>
      <c r="S6" s="87"/>
      <c r="T6" s="87"/>
      <c r="U6" s="87"/>
      <c r="V6" s="87"/>
      <c r="W6" s="87"/>
      <c r="X6" s="87"/>
      <c r="Y6" s="87"/>
      <c r="Z6" s="87"/>
      <c r="AA6" s="87"/>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87"/>
      <c r="BE6" s="87"/>
      <c r="BF6" s="87"/>
      <c r="BG6" s="87"/>
      <c r="BH6" s="87"/>
      <c r="BI6" s="87"/>
      <c r="BJ6" s="87"/>
      <c r="BK6" s="12"/>
      <c r="BL6" s="12"/>
    </row>
    <row r="7" spans="1:256">
      <c r="A7" s="9"/>
      <c r="B7" s="9"/>
      <c r="C7" s="9" t="s">
        <v>77</v>
      </c>
      <c r="D7" s="9"/>
      <c r="E7" s="9"/>
      <c r="F7" s="9"/>
      <c r="G7" s="204">
        <f>Input!G178</f>
        <v>1</v>
      </c>
      <c r="H7" s="244">
        <f>Input!H178</f>
        <v>1.0288999999999999</v>
      </c>
      <c r="I7" s="245">
        <f>Input!I178</f>
        <v>1.0631623700000001</v>
      </c>
      <c r="J7" s="245">
        <f>Input!J178</f>
        <v>1.0799603354460001</v>
      </c>
      <c r="K7" s="245">
        <f>Input!K178</f>
        <v>1.1069593438321501</v>
      </c>
      <c r="L7" s="245">
        <f>Input!L178</f>
        <v>1.1393932526064323</v>
      </c>
      <c r="M7" s="245">
        <f>Input!M178</f>
        <v>1.154547182866098</v>
      </c>
      <c r="N7" s="245">
        <f>Input!N178</f>
        <v>1.154547182866098</v>
      </c>
      <c r="O7" s="245">
        <f>Input!O178</f>
        <v>1.154547182866098</v>
      </c>
      <c r="P7" s="245">
        <f>Input!P178</f>
        <v>1.154547182866098</v>
      </c>
      <c r="Q7" s="245">
        <f>Input!Q178</f>
        <v>1.154547182866098</v>
      </c>
      <c r="R7" s="22"/>
      <c r="S7" s="101"/>
      <c r="T7" s="101"/>
      <c r="U7" s="101"/>
      <c r="V7" s="101"/>
      <c r="W7" s="101"/>
      <c r="X7" s="101"/>
      <c r="Y7" s="101"/>
      <c r="Z7" s="101"/>
      <c r="AA7" s="101"/>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101"/>
      <c r="BE10" s="101"/>
      <c r="BF10" s="101"/>
      <c r="BG10" s="101"/>
      <c r="BH10" s="101"/>
      <c r="BI10" s="101"/>
      <c r="BJ10" s="101"/>
      <c r="BK10" s="12"/>
      <c r="BL10" s="12"/>
    </row>
    <row r="11" spans="1:256">
      <c r="A11" s="9"/>
      <c r="B11" s="9"/>
      <c r="C11" s="46" t="s">
        <v>34</v>
      </c>
      <c r="D11" s="9"/>
      <c r="E11" s="9"/>
      <c r="F11" s="9"/>
      <c r="G11" s="37"/>
      <c r="H11" s="37">
        <f t="shared" ref="H11:P11" si="1">SUM(H12:H41)</f>
        <v>0</v>
      </c>
      <c r="I11" s="37">
        <f t="shared" si="1"/>
        <v>0</v>
      </c>
      <c r="J11" s="37">
        <f t="shared" si="1"/>
        <v>0</v>
      </c>
      <c r="K11" s="37">
        <f t="shared" si="1"/>
        <v>0</v>
      </c>
      <c r="L11" s="37">
        <f t="shared" si="1"/>
        <v>0</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102"/>
      <c r="BE11" s="102"/>
      <c r="BF11" s="102"/>
      <c r="BG11" s="102"/>
      <c r="BH11" s="102"/>
      <c r="BI11" s="102"/>
      <c r="BJ11" s="102"/>
      <c r="BK11" s="12"/>
      <c r="BL11" s="12"/>
    </row>
    <row r="12" spans="1:256" hidden="1" outlineLevel="1">
      <c r="A12" s="9"/>
      <c r="B12" s="9"/>
      <c r="C12" s="46"/>
      <c r="D12" s="132" t="str">
        <f>Asset1</f>
        <v>Overhead Sub-Transmission Lines</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102"/>
      <c r="BE12" s="102"/>
      <c r="BF12" s="102"/>
      <c r="BG12" s="102"/>
      <c r="BH12" s="102"/>
      <c r="BI12" s="102"/>
      <c r="BJ12" s="102"/>
      <c r="BK12" s="12"/>
      <c r="BL12" s="12"/>
    </row>
    <row r="13" spans="1:256" hidden="1" outlineLevel="1">
      <c r="A13" s="9"/>
      <c r="B13" s="9"/>
      <c r="C13" s="46"/>
      <c r="D13" s="132" t="str">
        <f>Asset2</f>
        <v>Underground Sub-Transmission Cables</v>
      </c>
      <c r="E13" s="9"/>
      <c r="F13" s="9"/>
      <c r="G13" s="126"/>
      <c r="H13" s="113">
        <f>Input!H144*(1+vanilla1)^0.5</f>
        <v>0</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102"/>
      <c r="BE13" s="102"/>
      <c r="BF13" s="102"/>
      <c r="BG13" s="102"/>
      <c r="BH13" s="102"/>
      <c r="BI13" s="102"/>
      <c r="BJ13" s="102"/>
      <c r="BK13" s="12"/>
      <c r="BL13" s="12"/>
    </row>
    <row r="14" spans="1:256" hidden="1" outlineLevel="1">
      <c r="A14" s="9"/>
      <c r="B14" s="9"/>
      <c r="C14" s="46"/>
      <c r="D14" s="132" t="str">
        <f>Asset3</f>
        <v>Overhead Distribution Lines</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102"/>
      <c r="BE14" s="102"/>
      <c r="BF14" s="102"/>
      <c r="BG14" s="102"/>
      <c r="BH14" s="102"/>
      <c r="BI14" s="102"/>
      <c r="BJ14" s="102"/>
      <c r="BK14" s="12"/>
      <c r="BL14" s="12"/>
    </row>
    <row r="15" spans="1:256" hidden="1" outlineLevel="1">
      <c r="A15" s="9"/>
      <c r="B15" s="9"/>
      <c r="C15" s="46"/>
      <c r="D15" s="132" t="str">
        <f>Asset4</f>
        <v>Underground Distribution Cables</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102"/>
      <c r="BE15" s="102"/>
      <c r="BF15" s="102"/>
      <c r="BG15" s="102"/>
      <c r="BH15" s="102"/>
      <c r="BI15" s="102"/>
      <c r="BJ15" s="102"/>
      <c r="BK15" s="12"/>
      <c r="BL15" s="12"/>
    </row>
    <row r="16" spans="1:256" hidden="1" outlineLevel="1">
      <c r="A16" s="9"/>
      <c r="B16" s="9"/>
      <c r="C16" s="46"/>
      <c r="D16" s="132" t="str">
        <f>Asset5</f>
        <v xml:space="preserve">Distribution Equipment  </v>
      </c>
      <c r="E16" s="9"/>
      <c r="F16" s="9"/>
      <c r="G16" s="126"/>
      <c r="H16" s="113">
        <f>Input!H147*(1+vanilla1)^0.5</f>
        <v>0</v>
      </c>
      <c r="I16" s="113">
        <f>Input!I147*(1+vanilla2)^0.5</f>
        <v>0</v>
      </c>
      <c r="J16" s="113">
        <f>Input!J147*(1+vanilla3)^0.5</f>
        <v>0</v>
      </c>
      <c r="K16" s="113">
        <f>Input!K147*(1+vanilla4)^0.5</f>
        <v>0</v>
      </c>
      <c r="L16" s="113">
        <f>Input!L147*(1+vanilla5)^0.5</f>
        <v>0</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102"/>
      <c r="BE16" s="102"/>
      <c r="BF16" s="102"/>
      <c r="BG16" s="102"/>
      <c r="BH16" s="102"/>
      <c r="BI16" s="102"/>
      <c r="BJ16" s="102"/>
      <c r="BK16" s="12"/>
      <c r="BL16" s="12"/>
    </row>
    <row r="17" spans="1:64" hidden="1" outlineLevel="1">
      <c r="A17" s="9"/>
      <c r="B17" s="9"/>
      <c r="C17" s="46"/>
      <c r="D17" s="132" t="str">
        <f>Asset6</f>
        <v>Substation Bays</v>
      </c>
      <c r="E17" s="9"/>
      <c r="F17" s="9"/>
      <c r="G17" s="126"/>
      <c r="H17" s="113">
        <f>Input!H148*(1+vanilla1)^0.5</f>
        <v>0</v>
      </c>
      <c r="I17" s="113">
        <f>Input!I148*(1+vanilla2)^0.5</f>
        <v>0</v>
      </c>
      <c r="J17" s="113">
        <f>Input!J148*(1+vanilla3)^0.5</f>
        <v>0</v>
      </c>
      <c r="K17" s="113">
        <f>Input!K148*(1+vanilla4)^0.5</f>
        <v>0</v>
      </c>
      <c r="L17" s="113">
        <f>Input!L148*(1+vanilla5)^0.5</f>
        <v>0</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102"/>
      <c r="BE17" s="102"/>
      <c r="BF17" s="102"/>
      <c r="BG17" s="102"/>
      <c r="BH17" s="102"/>
      <c r="BI17" s="102"/>
      <c r="BJ17" s="102"/>
      <c r="BK17" s="12"/>
      <c r="BL17" s="12"/>
    </row>
    <row r="18" spans="1:64" hidden="1" outlineLevel="1">
      <c r="A18" s="9"/>
      <c r="B18" s="9"/>
      <c r="C18" s="46"/>
      <c r="D18" s="132" t="str">
        <f>Asset7</f>
        <v>Substation Establishment</v>
      </c>
      <c r="E18" s="9"/>
      <c r="F18" s="9"/>
      <c r="G18" s="126"/>
      <c r="H18" s="113">
        <f>Input!H149*(1+vanilla1)^0.5</f>
        <v>0</v>
      </c>
      <c r="I18" s="113">
        <f>Input!I149*(1+vanilla2)^0.5</f>
        <v>0</v>
      </c>
      <c r="J18" s="113">
        <f>Input!J149*(1+vanilla3)^0.5</f>
        <v>0</v>
      </c>
      <c r="K18" s="113">
        <f>Input!K149*(1+vanilla4)^0.5</f>
        <v>0</v>
      </c>
      <c r="L18" s="113">
        <f>Input!L149*(1+vanilla5)^0.5</f>
        <v>0</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102"/>
      <c r="BE18" s="102"/>
      <c r="BF18" s="102"/>
      <c r="BG18" s="102"/>
      <c r="BH18" s="102"/>
      <c r="BI18" s="102"/>
      <c r="BJ18" s="102"/>
      <c r="BK18" s="12"/>
      <c r="BL18" s="12"/>
    </row>
    <row r="19" spans="1:64" hidden="1" outlineLevel="1">
      <c r="A19" s="9"/>
      <c r="B19" s="9"/>
      <c r="C19" s="46"/>
      <c r="D19" s="132" t="str">
        <f>Asset8</f>
        <v>Distribution Substation Switchgear</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102"/>
      <c r="BE19" s="102"/>
      <c r="BF19" s="102"/>
      <c r="BG19" s="102"/>
      <c r="BH19" s="102"/>
      <c r="BI19" s="102"/>
      <c r="BJ19" s="102"/>
      <c r="BK19" s="12"/>
      <c r="BL19" s="12"/>
    </row>
    <row r="20" spans="1:64" hidden="1" outlineLevel="1">
      <c r="A20" s="9"/>
      <c r="B20" s="9"/>
      <c r="C20" s="46"/>
      <c r="D20" s="132" t="str">
        <f>Asset9</f>
        <v>Zone Transformers</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102"/>
      <c r="BE20" s="102"/>
      <c r="BF20" s="102"/>
      <c r="BG20" s="102"/>
      <c r="BH20" s="102"/>
      <c r="BI20" s="102"/>
      <c r="BJ20" s="102"/>
      <c r="BK20" s="12"/>
      <c r="BL20" s="12"/>
    </row>
    <row r="21" spans="1:64" hidden="1" outlineLevel="1">
      <c r="A21" s="9"/>
      <c r="B21" s="9"/>
      <c r="C21" s="46"/>
      <c r="D21" s="132" t="str">
        <f>Asset10</f>
        <v>Distribution Transformers</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102"/>
      <c r="BE21" s="102"/>
      <c r="BF21" s="102"/>
      <c r="BG21" s="102"/>
      <c r="BH21" s="102"/>
      <c r="BI21" s="102"/>
      <c r="BJ21" s="102"/>
      <c r="BK21" s="12"/>
      <c r="BL21" s="12"/>
    </row>
    <row r="22" spans="1:64" hidden="1" outlineLevel="1">
      <c r="A22" s="9"/>
      <c r="B22" s="9"/>
      <c r="C22" s="46"/>
      <c r="D22" s="132" t="str">
        <f>Asset11</f>
        <v>Low Voltage Services</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102"/>
      <c r="BE22" s="102"/>
      <c r="BF22" s="102"/>
      <c r="BG22" s="102"/>
      <c r="BH22" s="102"/>
      <c r="BI22" s="102"/>
      <c r="BJ22" s="102"/>
      <c r="BK22" s="12"/>
      <c r="BL22" s="12"/>
    </row>
    <row r="23" spans="1:64" hidden="1" outlineLevel="1">
      <c r="A23" s="9"/>
      <c r="B23" s="9"/>
      <c r="C23" s="46"/>
      <c r="D23" s="132" t="str">
        <f>Asset12</f>
        <v>Metering</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102"/>
      <c r="BE23" s="102"/>
      <c r="BF23" s="102"/>
      <c r="BG23" s="102"/>
      <c r="BH23" s="102"/>
      <c r="BI23" s="102"/>
      <c r="BJ23" s="102"/>
      <c r="BK23" s="12"/>
      <c r="BL23" s="12"/>
    </row>
    <row r="24" spans="1:64" hidden="1" outlineLevel="1">
      <c r="A24" s="9"/>
      <c r="B24" s="9"/>
      <c r="C24" s="46"/>
      <c r="D24" s="132" t="str">
        <f>Asset13</f>
        <v xml:space="preserve">Communications – Pilot Wires </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102"/>
      <c r="BE24" s="102"/>
      <c r="BF24" s="102"/>
      <c r="BG24" s="102"/>
      <c r="BH24" s="102"/>
      <c r="BI24" s="102"/>
      <c r="BJ24" s="102"/>
      <c r="BK24" s="12"/>
      <c r="BL24" s="12"/>
    </row>
    <row r="25" spans="1:64" hidden="1" outlineLevel="1">
      <c r="A25" s="9"/>
      <c r="B25" s="9"/>
      <c r="C25" s="46"/>
      <c r="D25" s="132" t="str">
        <f>Asset14</f>
        <v>Generation Assets</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102"/>
      <c r="BE25" s="102"/>
      <c r="BF25" s="102"/>
      <c r="BG25" s="102"/>
      <c r="BH25" s="102"/>
      <c r="BI25" s="102"/>
      <c r="BJ25" s="102"/>
      <c r="BK25" s="12"/>
      <c r="BL25" s="12"/>
    </row>
    <row r="26" spans="1:64" hidden="1" outlineLevel="1">
      <c r="A26" s="9"/>
      <c r="B26" s="9"/>
      <c r="C26" s="46"/>
      <c r="D26" s="132" t="str">
        <f>Asset15</f>
        <v>Street Lighting</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102"/>
      <c r="BE26" s="102"/>
      <c r="BF26" s="102"/>
      <c r="BG26" s="102"/>
      <c r="BH26" s="102"/>
      <c r="BI26" s="102"/>
      <c r="BJ26" s="102"/>
      <c r="BK26" s="12"/>
      <c r="BL26" s="12"/>
    </row>
    <row r="27" spans="1:64" hidden="1" outlineLevel="1">
      <c r="A27" s="9"/>
      <c r="B27" s="9"/>
      <c r="C27" s="46"/>
      <c r="D27" s="132" t="str">
        <f>Asset16</f>
        <v>Other Equipment</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102"/>
      <c r="BE27" s="102"/>
      <c r="BF27" s="102"/>
      <c r="BG27" s="102"/>
      <c r="BH27" s="102"/>
      <c r="BI27" s="102"/>
      <c r="BJ27" s="102"/>
      <c r="BK27" s="12"/>
      <c r="BL27" s="12"/>
    </row>
    <row r="28" spans="1:64" hidden="1" outlineLevel="1">
      <c r="A28" s="9"/>
      <c r="B28" s="9"/>
      <c r="C28" s="46"/>
      <c r="D28" s="132" t="str">
        <f>Asset17</f>
        <v>Control Centre - SCADA</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102"/>
      <c r="BE28" s="102"/>
      <c r="BF28" s="102"/>
      <c r="BG28" s="102"/>
      <c r="BH28" s="102"/>
      <c r="BI28" s="102"/>
      <c r="BJ28" s="102"/>
      <c r="BK28" s="12"/>
      <c r="BL28" s="12"/>
    </row>
    <row r="29" spans="1:64" hidden="1" outlineLevel="1">
      <c r="A29" s="9"/>
      <c r="B29" s="9"/>
      <c r="C29" s="46"/>
      <c r="D29" s="132" t="str">
        <f>Asset18</f>
        <v>Land &amp; Easements (System)</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102"/>
      <c r="BE29" s="102"/>
      <c r="BF29" s="102"/>
      <c r="BG29" s="102"/>
      <c r="BH29" s="102"/>
      <c r="BI29" s="102"/>
      <c r="BJ29" s="102"/>
      <c r="BK29" s="12"/>
      <c r="BL29" s="12"/>
    </row>
    <row r="30" spans="1:64" hidden="1" outlineLevel="1">
      <c r="A30" s="9"/>
      <c r="B30" s="9"/>
      <c r="C30" s="46"/>
      <c r="D30" s="132" t="str">
        <f>Asset19</f>
        <v>Metering Type 5-6</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102"/>
      <c r="BE30" s="102"/>
      <c r="BF30" s="102"/>
      <c r="BG30" s="102"/>
      <c r="BH30" s="102"/>
      <c r="BI30" s="102"/>
      <c r="BJ30" s="102"/>
      <c r="BK30" s="12"/>
      <c r="BL30" s="12"/>
    </row>
    <row r="31" spans="1:64" hidden="1" outlineLevel="1">
      <c r="A31" s="9"/>
      <c r="B31" s="9"/>
      <c r="C31" s="46"/>
      <c r="D31" s="132" t="str">
        <f>Asset20</f>
        <v>Communications</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102"/>
      <c r="BE31" s="102"/>
      <c r="BF31" s="102"/>
      <c r="BG31" s="102"/>
      <c r="BH31" s="102"/>
      <c r="BI31" s="102"/>
      <c r="BJ31" s="102"/>
      <c r="BK31" s="12"/>
      <c r="BL31" s="12"/>
    </row>
    <row r="32" spans="1:64" hidden="1" outlineLevel="1">
      <c r="A32" s="9"/>
      <c r="B32" s="9"/>
      <c r="C32" s="46"/>
      <c r="D32" s="132" t="str">
        <f>Asset21</f>
        <v>IT Systems</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102"/>
      <c r="BE32" s="102"/>
      <c r="BF32" s="102"/>
      <c r="BG32" s="102"/>
      <c r="BH32" s="102"/>
      <c r="BI32" s="102"/>
      <c r="BJ32" s="102"/>
      <c r="BK32" s="12"/>
      <c r="BL32" s="12"/>
    </row>
    <row r="33" spans="1:256" hidden="1" outlineLevel="1">
      <c r="A33" s="9"/>
      <c r="B33" s="9"/>
      <c r="C33" s="46"/>
      <c r="D33" s="132" t="str">
        <f>Asset22</f>
        <v>Office Equipment &amp; Furniture</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102"/>
      <c r="BE33" s="102"/>
      <c r="BF33" s="102"/>
      <c r="BG33" s="102"/>
      <c r="BH33" s="102"/>
      <c r="BI33" s="102"/>
      <c r="BJ33" s="102"/>
      <c r="BK33" s="12"/>
      <c r="BL33" s="12"/>
    </row>
    <row r="34" spans="1:256" hidden="1" outlineLevel="1">
      <c r="A34" s="9"/>
      <c r="B34" s="9"/>
      <c r="C34" s="46"/>
      <c r="D34" s="132" t="str">
        <f>Asset23</f>
        <v>Motor Vehicles</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102"/>
      <c r="BE34" s="102"/>
      <c r="BF34" s="102"/>
      <c r="BG34" s="102"/>
      <c r="BH34" s="102"/>
      <c r="BI34" s="102"/>
      <c r="BJ34" s="102"/>
      <c r="BK34" s="12"/>
      <c r="BL34" s="12"/>
    </row>
    <row r="35" spans="1:256" hidden="1" outlineLevel="1">
      <c r="A35" s="9"/>
      <c r="B35" s="9"/>
      <c r="C35" s="46"/>
      <c r="D35" s="132" t="str">
        <f>Asset24</f>
        <v>Plant &amp; Equipment</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102"/>
      <c r="BE35" s="102"/>
      <c r="BF35" s="102"/>
      <c r="BG35" s="102"/>
      <c r="BH35" s="102"/>
      <c r="BI35" s="102"/>
      <c r="BJ35" s="102"/>
      <c r="BK35" s="12"/>
      <c r="BL35" s="12"/>
    </row>
    <row r="36" spans="1:256" hidden="1" outlineLevel="1">
      <c r="A36" s="9"/>
      <c r="B36" s="9"/>
      <c r="C36" s="46"/>
      <c r="D36" s="132" t="str">
        <f>Asset25</f>
        <v>Buildings</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102"/>
      <c r="BE36" s="102"/>
      <c r="BF36" s="102"/>
      <c r="BG36" s="102"/>
      <c r="BH36" s="102"/>
      <c r="BI36" s="102"/>
      <c r="BJ36" s="102"/>
      <c r="BK36" s="12"/>
      <c r="BL36" s="12"/>
    </row>
    <row r="37" spans="1:256" hidden="1" outlineLevel="1">
      <c r="A37" s="9"/>
      <c r="B37" s="9"/>
      <c r="C37" s="46"/>
      <c r="D37" s="132" t="str">
        <f>Asset26</f>
        <v>Land &amp; Easements</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102"/>
      <c r="BE37" s="102"/>
      <c r="BF37" s="102"/>
      <c r="BG37" s="102"/>
      <c r="BH37" s="102"/>
      <c r="BI37" s="102"/>
      <c r="BJ37" s="102"/>
      <c r="BK37" s="12"/>
      <c r="BL37" s="12"/>
    </row>
    <row r="38" spans="1:256" hidden="1" outlineLevel="1">
      <c r="A38" s="9"/>
      <c r="B38" s="9"/>
      <c r="C38" s="46"/>
      <c r="D38" s="132" t="str">
        <f>Asset27</f>
        <v>Land Improvements</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102"/>
      <c r="BE38" s="102"/>
      <c r="BF38" s="102"/>
      <c r="BG38" s="102"/>
      <c r="BH38" s="102"/>
      <c r="BI38" s="102"/>
      <c r="BJ38" s="102"/>
      <c r="BK38" s="12"/>
      <c r="BL38" s="12"/>
    </row>
    <row r="39" spans="1:256" hidden="1" outlineLevel="1">
      <c r="A39" s="9"/>
      <c r="B39" s="9"/>
      <c r="C39" s="46"/>
      <c r="D39" s="132" t="str">
        <f>Asset28</f>
        <v>Equity Raising Costs</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102"/>
      <c r="BE39" s="102"/>
      <c r="BF39" s="102"/>
      <c r="BG39" s="102"/>
      <c r="BH39" s="102"/>
      <c r="BI39" s="102"/>
      <c r="BJ39" s="102"/>
      <c r="BK39" s="12"/>
      <c r="BL39" s="12"/>
    </row>
    <row r="40" spans="1:256" hidden="1" outlineLevel="1">
      <c r="A40" s="9"/>
      <c r="B40" s="9"/>
      <c r="C40" s="46"/>
      <c r="D40" s="132" t="str">
        <f>Asset29</f>
        <v>Not Used</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102"/>
      <c r="BE40" s="102"/>
      <c r="BF40" s="102"/>
      <c r="BG40" s="102"/>
      <c r="BH40" s="102"/>
      <c r="BI40" s="102"/>
      <c r="BJ40" s="102"/>
      <c r="BK40" s="12"/>
      <c r="BL40" s="12"/>
    </row>
    <row r="41" spans="1:256" hidden="1" outlineLevel="1">
      <c r="A41" s="9"/>
      <c r="B41" s="9"/>
      <c r="C41" s="46"/>
      <c r="D41" s="132" t="str">
        <f>Asset30</f>
        <v>Not Used</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-338.23782092936278</v>
      </c>
      <c r="I43" s="119">
        <f t="shared" ref="I43:Q43" si="2">I56+I69+I82+I95+I108+I121+I134+I147+I160+I173+I186+I199+I212+I225+I238+I251+I264+I277+I290+I303+I316+I329+I342+I355+I368+I381+I394+I407+I420+I433</f>
        <v>-304.85872631593128</v>
      </c>
      <c r="J43" s="119">
        <f t="shared" si="2"/>
        <v>-304.84881312264702</v>
      </c>
      <c r="K43" s="119">
        <f t="shared" si="2"/>
        <v>-297.56690393598177</v>
      </c>
      <c r="L43" s="119">
        <f t="shared" si="2"/>
        <v>-270.36111674954373</v>
      </c>
      <c r="M43" s="119">
        <f t="shared" si="2"/>
        <v>0</v>
      </c>
      <c r="N43" s="119">
        <f t="shared" si="2"/>
        <v>0</v>
      </c>
      <c r="O43" s="119">
        <f t="shared" si="2"/>
        <v>0</v>
      </c>
      <c r="P43" s="119">
        <f t="shared" si="2"/>
        <v>0</v>
      </c>
      <c r="Q43" s="119">
        <f t="shared" si="2"/>
        <v>0</v>
      </c>
      <c r="R43" s="9"/>
      <c r="S43" s="9"/>
      <c r="T43" s="9"/>
      <c r="U43" s="9"/>
      <c r="V43" s="9"/>
      <c r="W43" s="9"/>
      <c r="X43" s="9"/>
      <c r="Y43" s="9"/>
      <c r="Z43" s="9"/>
      <c r="AA43" s="9"/>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9"/>
      <c r="BE43" s="9"/>
      <c r="BF43" s="9"/>
      <c r="BG43" s="9"/>
      <c r="BH43" s="9"/>
      <c r="BI43" s="9"/>
      <c r="BJ43" s="9"/>
      <c r="BK43" s="9"/>
      <c r="BL43" s="9"/>
    </row>
    <row r="44" spans="1:256" s="5" customFormat="1" ht="12.75" hidden="1" customHeight="1" outlineLevel="2">
      <c r="A44" s="9"/>
      <c r="B44" s="9"/>
      <c r="C44" s="32" t="str">
        <f>Asset1</f>
        <v>Overhead Sub-Transmission Lines</v>
      </c>
      <c r="D44" s="33"/>
      <c r="E44" s="34" t="s">
        <v>28</v>
      </c>
      <c r="F44" s="33"/>
      <c r="G44" s="35"/>
      <c r="H44" s="69">
        <f>IF(H$3&gt;A1remlife,A1value-SUM($G44:G44),IF(A1remlife="N/A","n/a",A1value/A1remlife))</f>
        <v>30.069175885887063</v>
      </c>
      <c r="I44" s="69">
        <f>IF(I$3&gt;A1remlife,A1value-SUM($G44:H44),IF(A1remlife="N/A","n/a",A1value/A1remlife))</f>
        <v>30.069175885887063</v>
      </c>
      <c r="J44" s="69">
        <f>IF(J$3&gt;A1remlife,A1value-SUM($G44:I44),IF(A1remlife="N/A","n/a",A1value/A1remlife))</f>
        <v>30.069175885887063</v>
      </c>
      <c r="K44" s="69">
        <f>IF(K$3&gt;A1remlife,A1value-SUM($G44:J44),IF(A1remlife="N/A","n/a",A1value/A1remlife))</f>
        <v>30.069175885887063</v>
      </c>
      <c r="L44" s="69">
        <f>IF(L$3&gt;A1remlife,A1value-SUM($G44:K44),IF(A1remlife="N/A","n/a",A1value/A1remlife))</f>
        <v>30.069175885887063</v>
      </c>
      <c r="M44" s="69">
        <f>IF(M$3&gt;A1remlife,A1value-SUM($G44:L44),IF(A1remlife="N/A","n/a",A1value/A1remlife))</f>
        <v>30.069175885887063</v>
      </c>
      <c r="N44" s="69">
        <f>IF(N$3&gt;A1remlife,A1value-SUM($G44:M44),IF(A1remlife="N/A","n/a",A1value/A1remlife))</f>
        <v>30.069175885887063</v>
      </c>
      <c r="O44" s="69">
        <f>IF(O$3&gt;A1remlife,A1value-SUM($G44:N44),IF(A1remlife="N/A","n/a",A1value/A1remlife))</f>
        <v>30.069175885887063</v>
      </c>
      <c r="P44" s="69">
        <f>IF(P$3&gt;A1remlife,A1value-SUM($G44:O44),IF(A1remlife="N/A","n/a",A1value/A1remlife))</f>
        <v>30.069175885887063</v>
      </c>
      <c r="Q44" s="69">
        <f>IF(Q$3&gt;A1remlife,A1value-SUM($G44:P44),IF(A1remlife="N/A","n/a",A1value/A1remlife))</f>
        <v>30.069175885887063</v>
      </c>
      <c r="R44" s="36"/>
      <c r="S44" s="103"/>
      <c r="T44" s="103"/>
      <c r="U44" s="103"/>
      <c r="V44" s="103"/>
      <c r="W44" s="103"/>
      <c r="X44" s="103"/>
      <c r="Y44" s="103"/>
      <c r="Z44" s="103"/>
      <c r="AA44" s="103"/>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48"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49"/>
      <c r="F46" s="88">
        <v>1</v>
      </c>
      <c r="G46" s="27"/>
      <c r="H46" s="150"/>
      <c r="I46" s="315"/>
      <c r="J46" s="315"/>
      <c r="K46" s="315"/>
      <c r="L46" s="315"/>
      <c r="M46" s="315"/>
      <c r="N46" s="315"/>
      <c r="O46" s="315"/>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49"/>
      <c r="F47" s="88">
        <v>2</v>
      </c>
      <c r="G47" s="27"/>
      <c r="H47" s="151"/>
      <c r="I47" s="316"/>
      <c r="J47" s="315"/>
      <c r="K47" s="315"/>
      <c r="L47" s="315"/>
      <c r="M47" s="315"/>
      <c r="N47" s="315"/>
      <c r="O47" s="315"/>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49"/>
      <c r="F48" s="88">
        <v>3</v>
      </c>
      <c r="G48" s="27"/>
      <c r="H48" s="151"/>
      <c r="I48" s="315"/>
      <c r="J48" s="316"/>
      <c r="K48" s="315"/>
      <c r="L48" s="315"/>
      <c r="M48" s="315"/>
      <c r="N48" s="315"/>
      <c r="O48" s="315"/>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49"/>
      <c r="F49" s="88">
        <v>4</v>
      </c>
      <c r="G49" s="27"/>
      <c r="H49" s="151"/>
      <c r="I49" s="315"/>
      <c r="J49" s="315"/>
      <c r="K49" s="316"/>
      <c r="L49" s="315"/>
      <c r="M49" s="315"/>
      <c r="N49" s="315"/>
      <c r="O49" s="315"/>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49"/>
      <c r="F50" s="88">
        <v>5</v>
      </c>
      <c r="G50" s="27"/>
      <c r="H50" s="227"/>
      <c r="I50" s="317"/>
      <c r="J50" s="317"/>
      <c r="K50" s="317"/>
      <c r="L50" s="318"/>
      <c r="M50" s="317"/>
      <c r="N50" s="317"/>
      <c r="O50" s="317"/>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49"/>
      <c r="F51" s="88">
        <v>6</v>
      </c>
      <c r="G51" s="27"/>
      <c r="H51" s="227"/>
      <c r="I51" s="317"/>
      <c r="J51" s="317"/>
      <c r="K51" s="317"/>
      <c r="L51" s="317"/>
      <c r="M51" s="318"/>
      <c r="N51" s="317"/>
      <c r="O51" s="317"/>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49"/>
      <c r="F52" s="88">
        <v>7</v>
      </c>
      <c r="G52" s="27"/>
      <c r="H52" s="227"/>
      <c r="I52" s="317"/>
      <c r="J52" s="317"/>
      <c r="K52" s="317"/>
      <c r="L52" s="317"/>
      <c r="M52" s="317"/>
      <c r="N52" s="318"/>
      <c r="O52" s="317"/>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49"/>
      <c r="F53" s="88">
        <v>8</v>
      </c>
      <c r="G53" s="27"/>
      <c r="H53" s="227"/>
      <c r="I53" s="317"/>
      <c r="J53" s="317"/>
      <c r="K53" s="317"/>
      <c r="L53" s="317"/>
      <c r="M53" s="317"/>
      <c r="N53" s="317"/>
      <c r="O53" s="318"/>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49"/>
      <c r="F54" s="88">
        <v>9</v>
      </c>
      <c r="G54" s="27"/>
      <c r="H54" s="227"/>
      <c r="I54" s="228"/>
      <c r="J54" s="228"/>
      <c r="K54" s="228"/>
      <c r="L54" s="228"/>
      <c r="M54" s="228"/>
      <c r="N54" s="228"/>
      <c r="O54" s="228"/>
      <c r="P54" s="229"/>
      <c r="Q54" s="30">
        <f>IF(A1stdlife="n/a","n/a",IF(Q$3&gt;(A1stdlife+$F54),(Input!$P$143*(1+vanilla9)^0.5)-SUM($P54:P54),(Input!$P$143*(1+vanilla9)^0.5)/A1stdlife))</f>
        <v>0</v>
      </c>
      <c r="R54" s="30"/>
      <c r="S54" s="103"/>
      <c r="T54" s="103"/>
      <c r="U54" s="103"/>
      <c r="V54" s="103"/>
      <c r="W54" s="103"/>
      <c r="X54" s="103"/>
      <c r="Y54" s="103"/>
      <c r="Z54" s="103"/>
      <c r="AA54" s="103"/>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49"/>
      <c r="F55" s="89">
        <v>10</v>
      </c>
      <c r="G55" s="27"/>
      <c r="H55" s="227"/>
      <c r="I55" s="228"/>
      <c r="J55" s="228"/>
      <c r="K55" s="228"/>
      <c r="L55" s="228"/>
      <c r="M55" s="228"/>
      <c r="N55" s="228"/>
      <c r="O55" s="228"/>
      <c r="P55" s="228"/>
      <c r="Q55" s="229"/>
      <c r="R55" s="30"/>
      <c r="S55" s="103"/>
      <c r="T55" s="103"/>
      <c r="U55" s="103"/>
      <c r="V55" s="103"/>
      <c r="W55" s="103"/>
      <c r="X55" s="103"/>
      <c r="Y55" s="103"/>
      <c r="Z55" s="103"/>
      <c r="AA55" s="103"/>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Overhead Sub-Transmission Lines</v>
      </c>
      <c r="E56" s="9"/>
      <c r="F56" s="9"/>
      <c r="G56" s="126"/>
      <c r="H56" s="169">
        <f>-SUM(H44:H55)</f>
        <v>-30.069175885887063</v>
      </c>
      <c r="I56" s="169">
        <f>-SUM(I44:I55)</f>
        <v>-30.069175885887063</v>
      </c>
      <c r="J56" s="169">
        <f>-SUM(J44:J55)</f>
        <v>-30.069175885887063</v>
      </c>
      <c r="K56" s="169">
        <f>-SUM(K44:K55)</f>
        <v>-30.069175885887063</v>
      </c>
      <c r="L56" s="169">
        <f>-SUM(L44:L55)</f>
        <v>-30.069175885887063</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Underground Sub-Transmission Cables</v>
      </c>
      <c r="D57" s="166"/>
      <c r="E57" s="34" t="s">
        <v>28</v>
      </c>
      <c r="F57" s="33"/>
      <c r="G57" s="181"/>
      <c r="H57" s="69">
        <f>IF(H$3&gt;A2remlife,A2value-SUM($G57:G57),IF(A2remlife="N/A","n/a",A2value/A2remlife))</f>
        <v>2.2465762604803921</v>
      </c>
      <c r="I57" s="69">
        <f>IF(I$3&gt;A2remlife,A2value-SUM($G57:H57),IF(A2remlife="N/A","n/a",A2value/A2remlife))</f>
        <v>2.2465762604803921</v>
      </c>
      <c r="J57" s="69">
        <f>IF(J$3&gt;A2remlife,A2value-SUM($G57:I57),IF(A2remlife="N/A","n/a",A2value/A2remlife))</f>
        <v>2.2465762604803921</v>
      </c>
      <c r="K57" s="69">
        <f>IF(K$3&gt;A2remlife,A2value-SUM($G57:J57),IF(A2remlife="N/A","n/a",A2value/A2remlife))</f>
        <v>2.2465762604803921</v>
      </c>
      <c r="L57" s="69">
        <f>IF(L$3&gt;A2remlife,A2value-SUM($G57:K57),IF(A2remlife="N/A","n/a",A2value/A2remlife))</f>
        <v>2.2465762604803921</v>
      </c>
      <c r="M57" s="69">
        <f>IF(M$3&gt;A2remlife,A2value-SUM($G57:L57),IF(A2remlife="N/A","n/a",A2value/A2remlife))</f>
        <v>2.2465762604803921</v>
      </c>
      <c r="N57" s="69">
        <f>IF(N$3&gt;A2remlife,A2value-SUM($G57:M57),IF(A2remlife="N/A","n/a",A2value/A2remlife))</f>
        <v>2.2465762604803921</v>
      </c>
      <c r="O57" s="69">
        <f>IF(O$3&gt;A2remlife,A2value-SUM($G57:N57),IF(A2remlife="N/A","n/a",A2value/A2remlife))</f>
        <v>2.2465762604803921</v>
      </c>
      <c r="P57" s="69">
        <f>IF(P$3&gt;A2remlife,A2value-SUM($G57:O57),IF(A2remlife="N/A","n/a",A2value/A2remlife))</f>
        <v>2.2465762604803921</v>
      </c>
      <c r="Q57" s="69">
        <f>IF(Q$3&gt;A2remlife,A2value-SUM($G57:P57),IF(A2remlife="N/A","n/a",A2value/A2remlife))</f>
        <v>2.2465762604803921</v>
      </c>
      <c r="R57" s="69"/>
      <c r="S57" s="105"/>
      <c r="T57" s="105"/>
      <c r="U57" s="105"/>
      <c r="V57" s="105"/>
      <c r="W57" s="105"/>
      <c r="X57" s="105"/>
      <c r="Y57" s="105"/>
      <c r="Z57" s="105"/>
      <c r="AA57" s="105"/>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48" t="s">
        <v>87</v>
      </c>
      <c r="F58" s="88">
        <v>0</v>
      </c>
      <c r="G58" s="126"/>
      <c r="H58" s="70"/>
      <c r="I58" s="70"/>
      <c r="J58" s="70"/>
      <c r="K58" s="70"/>
      <c r="L58" s="70"/>
      <c r="M58" s="168"/>
      <c r="N58" s="115"/>
      <c r="O58" s="70"/>
      <c r="P58" s="70"/>
      <c r="Q58" s="70"/>
      <c r="R58" s="70"/>
      <c r="S58" s="105"/>
      <c r="T58" s="105"/>
      <c r="U58" s="105"/>
      <c r="V58" s="105"/>
      <c r="W58" s="105"/>
      <c r="X58" s="105"/>
      <c r="Y58" s="105"/>
      <c r="Z58" s="105"/>
      <c r="AA58" s="105"/>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49"/>
      <c r="F59" s="88">
        <v>1</v>
      </c>
      <c r="G59" s="126"/>
      <c r="H59" s="150"/>
      <c r="I59" s="70">
        <f>IF(A2stdlife="n/a","n/a",IF(I$3&gt;(A2stdlife+$F59),(Input!$H$144*(1+vanilla1)^0.5)-SUM($H59:H59),(Input!$H$144*(1+vanilla1)^0.5)/A2stdlife))</f>
        <v>0</v>
      </c>
      <c r="J59" s="70">
        <f>IF(A2stdlife="n/a","n/a",IF(J$3&gt;(A2stdlife+$F59),(Input!$H$144*(1+vanilla1)^0.5)-SUM($H59:I59),(Input!$H$144*(1+vanilla1)^0.5)/A2stdlife))</f>
        <v>0</v>
      </c>
      <c r="K59" s="70">
        <f>IF(A2stdlife="n/a","n/a",IF(K$3&gt;(A2stdlife+$F59),(Input!$H$144*(1+vanilla1)^0.5)-SUM($H59:J59),(Input!$H$144*(1+vanilla1)^0.5)/A2stdlife))</f>
        <v>0</v>
      </c>
      <c r="L59" s="70">
        <f>IF(A2stdlife="n/a","n/a",IF(L$3&gt;(A2stdlife+$F59),(Input!$H$144*(1+vanilla1)^0.5)-SUM($H59:K59),(Input!$H$144*(1+vanilla1)^0.5)/A2stdlife))</f>
        <v>0</v>
      </c>
      <c r="M59" s="70">
        <f>IF(A2stdlife="n/a","n/a",IF(M$3&gt;(A2stdlife+$F59),(Input!$H$144*(1+vanilla1)^0.5)-SUM($H59:L59),(Input!$H$144*(1+vanilla1)^0.5)/A2stdlife))</f>
        <v>0</v>
      </c>
      <c r="N59" s="70">
        <f>IF(A2stdlife="n/a","n/a",IF(N$3&gt;(A2stdlife+$F59),(Input!$H$144*(1+vanilla1)^0.5)-SUM($H59:M59),(Input!$H$144*(1+vanilla1)^0.5)/A2stdlife))</f>
        <v>0</v>
      </c>
      <c r="O59" s="70">
        <f>IF(A2stdlife="n/a","n/a",IF(O$3&gt;(A2stdlife+$F59),(Input!$H$144*(1+vanilla1)^0.5)-SUM($H59:N59),(Input!$H$144*(1+vanilla1)^0.5)/A2stdlife))</f>
        <v>0</v>
      </c>
      <c r="P59" s="70">
        <f>IF(A2stdlife="n/a","n/a",IF(P$3&gt;(A2stdlife+$F59),(Input!$H$144*(1+vanilla1)^0.5)-SUM($H59:O59),(Input!$H$144*(1+vanilla1)^0.5)/A2stdlife))</f>
        <v>0</v>
      </c>
      <c r="Q59" s="70">
        <f>IF(A2stdlife="n/a","n/a",IF(Q$3&gt;(A2stdlife+$F59),(Input!$H$144*(1+vanilla1)^0.5)-SUM($H59:P59),(Input!$H$144*(1+vanilla1)^0.5)/A2stdlife))</f>
        <v>0</v>
      </c>
      <c r="R59" s="70"/>
      <c r="S59" s="105"/>
      <c r="T59" s="105"/>
      <c r="U59" s="105"/>
      <c r="V59" s="105"/>
      <c r="W59" s="105"/>
      <c r="X59" s="105"/>
      <c r="Y59" s="105"/>
      <c r="Z59" s="105"/>
      <c r="AA59" s="105"/>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49"/>
      <c r="F60" s="88">
        <v>2</v>
      </c>
      <c r="G60" s="126"/>
      <c r="H60" s="151"/>
      <c r="I60" s="152"/>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49"/>
      <c r="F61" s="88">
        <v>3</v>
      </c>
      <c r="G61" s="126"/>
      <c r="H61" s="151"/>
      <c r="I61" s="153"/>
      <c r="J61" s="152"/>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49"/>
      <c r="F62" s="88">
        <v>4</v>
      </c>
      <c r="G62" s="126"/>
      <c r="H62" s="151"/>
      <c r="I62" s="153"/>
      <c r="J62" s="153"/>
      <c r="K62" s="152"/>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49"/>
      <c r="F63" s="88">
        <v>5</v>
      </c>
      <c r="G63" s="126"/>
      <c r="H63" s="151"/>
      <c r="I63" s="153"/>
      <c r="J63" s="153"/>
      <c r="K63" s="153"/>
      <c r="L63" s="152"/>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49"/>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49"/>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49"/>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49"/>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49"/>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Underground Sub-Transmission Cables</v>
      </c>
      <c r="E69" s="9"/>
      <c r="F69" s="9"/>
      <c r="G69" s="126"/>
      <c r="H69" s="70">
        <f>-SUM(H57:H68)</f>
        <v>-2.2465762604803921</v>
      </c>
      <c r="I69" s="70">
        <f>-SUM(I57:I68)</f>
        <v>-2.2465762604803921</v>
      </c>
      <c r="J69" s="70">
        <f>-SUM(J57:J68)</f>
        <v>-2.2465762604803921</v>
      </c>
      <c r="K69" s="70">
        <f>-SUM(K57:K68)</f>
        <v>-2.2465762604803921</v>
      </c>
      <c r="L69" s="70">
        <f>-SUM(L57:L68)</f>
        <v>-2.2465762604803921</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Overhead Distribution Lines</v>
      </c>
      <c r="D70" s="166"/>
      <c r="E70" s="34" t="s">
        <v>28</v>
      </c>
      <c r="F70" s="33"/>
      <c r="G70" s="181"/>
      <c r="H70" s="69">
        <f>IF(H$3&gt;A3remlife,A3value-SUM($G70:G70),IF(A3remlife="N/A","n/a",A3value/A3remlife))</f>
        <v>62.797261154480459</v>
      </c>
      <c r="I70" s="69">
        <f>IF(I$3&gt;A3remlife,A3value-SUM($G70:H70),IF(A3remlife="N/A","n/a",A3value/A3remlife))</f>
        <v>62.797261154480459</v>
      </c>
      <c r="J70" s="69">
        <f>IF(J$3&gt;A3remlife,A3value-SUM($G70:I70),IF(A3remlife="N/A","n/a",A3value/A3remlife))</f>
        <v>62.797261154480459</v>
      </c>
      <c r="K70" s="69">
        <f>IF(K$3&gt;A3remlife,A3value-SUM($G70:J70),IF(A3remlife="N/A","n/a",A3value/A3remlife))</f>
        <v>62.797261154480459</v>
      </c>
      <c r="L70" s="69">
        <f>IF(L$3&gt;A3remlife,A3value-SUM($G70:K70),IF(A3remlife="N/A","n/a",A3value/A3remlife))</f>
        <v>62.797261154480459</v>
      </c>
      <c r="M70" s="69">
        <f>IF(M$3&gt;A3remlife,A3value-SUM($G70:L70),IF(A3remlife="N/A","n/a",A3value/A3remlife))</f>
        <v>62.797261154480459</v>
      </c>
      <c r="N70" s="69">
        <f>IF(N$3&gt;A3remlife,A3value-SUM($G70:M70),IF(A3remlife="N/A","n/a",A3value/A3remlife))</f>
        <v>62.797261154480459</v>
      </c>
      <c r="O70" s="69">
        <f>IF(O$3&gt;A3remlife,A3value-SUM($G70:N70),IF(A3remlife="N/A","n/a",A3value/A3remlife))</f>
        <v>62.797261154480459</v>
      </c>
      <c r="P70" s="69">
        <f>IF(P$3&gt;A3remlife,A3value-SUM($G70:O70),IF(A3remlife="N/A","n/a",A3value/A3remlife))</f>
        <v>62.797261154480459</v>
      </c>
      <c r="Q70" s="69">
        <f>IF(Q$3&gt;A3remlife,A3value-SUM($G70:P70),IF(A3remlife="N/A","n/a",A3value/A3remlife))</f>
        <v>62.797261154480459</v>
      </c>
      <c r="R70" s="69"/>
      <c r="S70" s="105"/>
      <c r="T70" s="105"/>
      <c r="U70" s="105"/>
      <c r="V70" s="105"/>
      <c r="W70" s="105"/>
      <c r="X70" s="105"/>
      <c r="Y70" s="105"/>
      <c r="Z70" s="105"/>
      <c r="AA70" s="105"/>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48" t="s">
        <v>87</v>
      </c>
      <c r="F71" s="88">
        <v>0</v>
      </c>
      <c r="G71" s="126"/>
      <c r="H71" s="70"/>
      <c r="I71" s="70"/>
      <c r="J71" s="70"/>
      <c r="K71" s="70"/>
      <c r="L71" s="70"/>
      <c r="M71" s="168"/>
      <c r="N71" s="115"/>
      <c r="O71" s="70"/>
      <c r="P71" s="70"/>
      <c r="Q71" s="70"/>
      <c r="R71" s="70"/>
      <c r="S71" s="105"/>
      <c r="T71" s="105"/>
      <c r="U71" s="105"/>
      <c r="V71" s="105"/>
      <c r="W71" s="105"/>
      <c r="X71" s="105"/>
      <c r="Y71" s="105"/>
      <c r="Z71" s="105"/>
      <c r="AA71" s="105"/>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49"/>
      <c r="F72" s="88">
        <v>1</v>
      </c>
      <c r="G72" s="126"/>
      <c r="H72" s="150"/>
      <c r="I72" s="315"/>
      <c r="J72" s="315"/>
      <c r="K72" s="315"/>
      <c r="L72" s="315"/>
      <c r="M72" s="315"/>
      <c r="N72" s="315"/>
      <c r="O72" s="315"/>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49"/>
      <c r="F73" s="88">
        <v>2</v>
      </c>
      <c r="G73" s="126"/>
      <c r="H73" s="151"/>
      <c r="I73" s="316"/>
      <c r="J73" s="315"/>
      <c r="K73" s="315"/>
      <c r="L73" s="315"/>
      <c r="M73" s="315"/>
      <c r="N73" s="315"/>
      <c r="O73" s="315"/>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49"/>
      <c r="F74" s="88">
        <v>3</v>
      </c>
      <c r="G74" s="126"/>
      <c r="H74" s="151"/>
      <c r="I74" s="315"/>
      <c r="J74" s="316"/>
      <c r="K74" s="315"/>
      <c r="L74" s="315"/>
      <c r="M74" s="315"/>
      <c r="N74" s="315"/>
      <c r="O74" s="315"/>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49"/>
      <c r="F75" s="88">
        <v>4</v>
      </c>
      <c r="G75" s="126"/>
      <c r="H75" s="151"/>
      <c r="I75" s="315"/>
      <c r="J75" s="315"/>
      <c r="K75" s="316"/>
      <c r="L75" s="315"/>
      <c r="M75" s="315"/>
      <c r="N75" s="315"/>
      <c r="O75" s="315"/>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49"/>
      <c r="F76" s="88">
        <v>5</v>
      </c>
      <c r="G76" s="126"/>
      <c r="H76" s="151"/>
      <c r="I76" s="315"/>
      <c r="J76" s="315"/>
      <c r="K76" s="315"/>
      <c r="L76" s="316"/>
      <c r="M76" s="315"/>
      <c r="N76" s="315"/>
      <c r="O76" s="315"/>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49"/>
      <c r="F77" s="88">
        <v>6</v>
      </c>
      <c r="G77" s="126"/>
      <c r="H77" s="151"/>
      <c r="I77" s="315"/>
      <c r="J77" s="315"/>
      <c r="K77" s="315"/>
      <c r="L77" s="315"/>
      <c r="M77" s="316"/>
      <c r="N77" s="315"/>
      <c r="O77" s="315"/>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49"/>
      <c r="F78" s="88">
        <v>7</v>
      </c>
      <c r="G78" s="126"/>
      <c r="H78" s="151"/>
      <c r="I78" s="315"/>
      <c r="J78" s="315"/>
      <c r="K78" s="315"/>
      <c r="L78" s="315"/>
      <c r="M78" s="315"/>
      <c r="N78" s="316"/>
      <c r="O78" s="315"/>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49"/>
      <c r="F79" s="88">
        <v>8</v>
      </c>
      <c r="G79" s="126"/>
      <c r="H79" s="151"/>
      <c r="I79" s="315"/>
      <c r="J79" s="315"/>
      <c r="K79" s="315"/>
      <c r="L79" s="315"/>
      <c r="M79" s="315"/>
      <c r="N79" s="315"/>
      <c r="O79" s="316"/>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49"/>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49"/>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Overhead Distribution Lines</v>
      </c>
      <c r="E82" s="9"/>
      <c r="F82" s="9"/>
      <c r="G82" s="126"/>
      <c r="H82" s="170">
        <f>-SUM(H70:H81)</f>
        <v>-62.797261154480459</v>
      </c>
      <c r="I82" s="170">
        <f>-SUM(I70:I81)</f>
        <v>-62.797261154480459</v>
      </c>
      <c r="J82" s="170">
        <f>-SUM(J70:J81)</f>
        <v>-62.797261154480459</v>
      </c>
      <c r="K82" s="170">
        <f>-SUM(K70:K81)</f>
        <v>-62.797261154480459</v>
      </c>
      <c r="L82" s="170">
        <f>-SUM(L70:L81)</f>
        <v>-62.797261154480459</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Underground Distribution Cables</v>
      </c>
      <c r="D83" s="166"/>
      <c r="E83" s="34" t="s">
        <v>28</v>
      </c>
      <c r="F83" s="33"/>
      <c r="G83" s="181"/>
      <c r="H83" s="69">
        <f>IF(H$3&gt;A4remlife,A4value-SUM($G83:G83),IF(A4remlife="N/A","n/a",A4value/A4remlife))</f>
        <v>13.517736025218211</v>
      </c>
      <c r="I83" s="69">
        <f>IF(I$3&gt;A4remlife,A4value-SUM($G83:H83),IF(A4remlife="N/A","n/a",A4value/A4remlife))</f>
        <v>13.517736025218211</v>
      </c>
      <c r="J83" s="69">
        <f>IF(J$3&gt;A4remlife,A4value-SUM($G83:I83),IF(A4remlife="N/A","n/a",A4value/A4remlife))</f>
        <v>13.517736025218211</v>
      </c>
      <c r="K83" s="69">
        <f>IF(K$3&gt;A4remlife,A4value-SUM($G83:J83),IF(A4remlife="N/A","n/a",A4value/A4remlife))</f>
        <v>13.517736025218211</v>
      </c>
      <c r="L83" s="69">
        <f>IF(L$3&gt;A4remlife,A4value-SUM($G83:K83),IF(A4remlife="N/A","n/a",A4value/A4remlife))</f>
        <v>13.517736025218211</v>
      </c>
      <c r="M83" s="69">
        <f>IF(M$3&gt;A4remlife,A4value-SUM($G83:L83),IF(A4remlife="N/A","n/a",A4value/A4remlife))</f>
        <v>13.517736025218211</v>
      </c>
      <c r="N83" s="69">
        <f>IF(N$3&gt;A4remlife,A4value-SUM($G83:M83),IF(A4remlife="N/A","n/a",A4value/A4remlife))</f>
        <v>13.517736025218211</v>
      </c>
      <c r="O83" s="69">
        <f>IF(O$3&gt;A4remlife,A4value-SUM($G83:N83),IF(A4remlife="N/A","n/a",A4value/A4remlife))</f>
        <v>13.517736025218211</v>
      </c>
      <c r="P83" s="69">
        <f>IF(P$3&gt;A4remlife,A4value-SUM($G83:O83),IF(A4remlife="N/A","n/a",A4value/A4remlife))</f>
        <v>13.517736025218211</v>
      </c>
      <c r="Q83" s="69">
        <f>IF(Q$3&gt;A4remlife,A4value-SUM($G83:P83),IF(A4remlife="N/A","n/a",A4value/A4remlife))</f>
        <v>13.517736025218211</v>
      </c>
      <c r="R83" s="69"/>
      <c r="S83" s="105"/>
      <c r="T83" s="105"/>
      <c r="U83" s="105"/>
      <c r="V83" s="105"/>
      <c r="W83" s="105"/>
      <c r="X83" s="105"/>
      <c r="Y83" s="105"/>
      <c r="Z83" s="105"/>
      <c r="AA83" s="105"/>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48" t="s">
        <v>87</v>
      </c>
      <c r="F84" s="88">
        <v>0</v>
      </c>
      <c r="G84" s="126"/>
      <c r="H84" s="70"/>
      <c r="I84" s="70"/>
      <c r="J84" s="70"/>
      <c r="K84" s="70"/>
      <c r="L84" s="70"/>
      <c r="M84" s="168"/>
      <c r="N84" s="115"/>
      <c r="O84" s="70"/>
      <c r="P84" s="70"/>
      <c r="Q84" s="70"/>
      <c r="R84" s="70"/>
      <c r="S84" s="105"/>
      <c r="T84" s="105"/>
      <c r="U84" s="105"/>
      <c r="V84" s="105"/>
      <c r="W84" s="105"/>
      <c r="X84" s="105"/>
      <c r="Y84" s="105"/>
      <c r="Z84" s="105"/>
      <c r="AA84" s="105"/>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49"/>
      <c r="F85" s="88">
        <v>1</v>
      </c>
      <c r="G85" s="126"/>
      <c r="H85" s="150"/>
      <c r="I85" s="70">
        <f>IF(A4stdlife="n/a","n/a",IF(I$3&gt;(A4stdlife+$F85),(Input!$H$146*(1+vanilla1)^0.5)-SUM($H85:H85),(Input!$H$146*(1+vanilla1)^0.5)/A4stdlife))</f>
        <v>0</v>
      </c>
      <c r="J85" s="70">
        <f>IF(A4stdlife="n/a","n/a",IF(J$3&gt;(A4stdlife+$F85),(Input!$H$146*(1+vanilla1)^0.5)-SUM($H85:I85),(Input!$H$146*(1+vanilla1)^0.5)/A4stdlife))</f>
        <v>0</v>
      </c>
      <c r="K85" s="70">
        <f>IF(A4stdlife="n/a","n/a",IF(K$3&gt;(A4stdlife+$F85),(Input!$H$146*(1+vanilla1)^0.5)-SUM($H85:J85),(Input!$H$146*(1+vanilla1)^0.5)/A4stdlife))</f>
        <v>0</v>
      </c>
      <c r="L85" s="70">
        <f>IF(A4stdlife="n/a","n/a",IF(L$3&gt;(A4stdlife+$F85),(Input!$H$146*(1+vanilla1)^0.5)-SUM($H85:K85),(Input!$H$146*(1+vanilla1)^0.5)/A4stdlife))</f>
        <v>0</v>
      </c>
      <c r="M85" s="70">
        <f>IF(A4stdlife="n/a","n/a",IF(M$3&gt;(A4stdlife+$F85),(Input!$H$146*(1+vanilla1)^0.5)-SUM($H85:L85),(Input!$H$146*(1+vanilla1)^0.5)/A4stdlife))</f>
        <v>0</v>
      </c>
      <c r="N85" s="70">
        <f>IF(A4stdlife="n/a","n/a",IF(N$3&gt;(A4stdlife+$F85),(Input!$H$146*(1+vanilla1)^0.5)-SUM($H85:M85),(Input!$H$146*(1+vanilla1)^0.5)/A4stdlife))</f>
        <v>0</v>
      </c>
      <c r="O85" s="70">
        <f>IF(A4stdlife="n/a","n/a",IF(O$3&gt;(A4stdlife+$F85),(Input!$H$146*(1+vanilla1)^0.5)-SUM($H85:N85),(Input!$H$146*(1+vanilla1)^0.5)/A4stdlife))</f>
        <v>0</v>
      </c>
      <c r="P85" s="70">
        <f>IF(A4stdlife="n/a","n/a",IF(P$3&gt;(A4stdlife+$F85),(Input!$H$146*(1+vanilla1)^0.5)-SUM($H85:O85),(Input!$H$146*(1+vanilla1)^0.5)/A4stdlife))</f>
        <v>0</v>
      </c>
      <c r="Q85" s="70">
        <f>IF(A4stdlife="n/a","n/a",IF(Q$3&gt;(A4stdlife+$F85),(Input!$H$146*(1+vanilla1)^0.5)-SUM($H85:P85),(Input!$H$146*(1+vanilla1)^0.5)/A4stdlife))</f>
        <v>0</v>
      </c>
      <c r="R85" s="70"/>
      <c r="S85" s="105"/>
      <c r="T85" s="105"/>
      <c r="U85" s="105"/>
      <c r="V85" s="105"/>
      <c r="W85" s="105"/>
      <c r="X85" s="105"/>
      <c r="Y85" s="105"/>
      <c r="Z85" s="105"/>
      <c r="AA85" s="105"/>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49"/>
      <c r="F86" s="88">
        <v>2</v>
      </c>
      <c r="G86" s="126"/>
      <c r="H86" s="151"/>
      <c r="I86" s="152"/>
      <c r="J86" s="70">
        <f>IF(A4stdlife="n/a","n/a",IF(J$3&gt;(A4stdlife+$F86),(Input!$I$146*(1+vanilla2)^0.5)-SUM($I86:I86),(Input!$I$146*(1+vanilla2)^0.5)/A4stdlife))</f>
        <v>0</v>
      </c>
      <c r="K86" s="70">
        <f>IF(A4stdlife="n/a","n/a",IF(K$3&gt;(A4stdlife+$F86),(Input!$I$146*(1+vanilla2)^0.5)-SUM($I86:J86),(Input!$I$146*(1+vanilla2)^0.5)/A4stdlife))</f>
        <v>0</v>
      </c>
      <c r="L86" s="70">
        <f>IF(A4stdlife="n/a","n/a",IF(L$3&gt;(A4stdlife+$F86),(Input!$I$146*(1+vanilla2)^0.5)-SUM($I86:K86),(Input!$I$146*(1+vanilla2)^0.5)/A4stdlife))</f>
        <v>0</v>
      </c>
      <c r="M86" s="70">
        <f>IF(A4stdlife="n/a","n/a",IF(M$3&gt;(A4stdlife+$F86),(Input!$I$146*(1+vanilla2)^0.5)-SUM($I86:L86),(Input!$I$146*(1+vanilla2)^0.5)/A4stdlife))</f>
        <v>0</v>
      </c>
      <c r="N86" s="70">
        <f>IF(A4stdlife="n/a","n/a",IF(N$3&gt;(A4stdlife+$F86),(Input!$I$146*(1+vanilla2)^0.5)-SUM($I86:M86),(Input!$I$146*(1+vanilla2)^0.5)/A4stdlife))</f>
        <v>0</v>
      </c>
      <c r="O86" s="70">
        <f>IF(A4stdlife="n/a","n/a",IF(O$3&gt;(A4stdlife+$F86),(Input!$I$146*(1+vanilla2)^0.5)-SUM($I86:N86),(Input!$I$146*(1+vanilla2)^0.5)/A4stdlife))</f>
        <v>0</v>
      </c>
      <c r="P86" s="70">
        <f>IF(A4stdlife="n/a","n/a",IF(P$3&gt;(A4stdlife+$F86),(Input!$I$146*(1+vanilla2)^0.5)-SUM($I86:O86),(Input!$I$146*(1+vanilla2)^0.5)/A4stdlife))</f>
        <v>0</v>
      </c>
      <c r="Q86" s="70">
        <f>IF(A4stdlife="n/a","n/a",IF(Q$3&gt;(A4stdlife+$F86),(Input!$I$146*(1+vanilla2)^0.5)-SUM($I86:P86),(Input!$I$146*(1+vanilla2)^0.5)/A4stdlife))</f>
        <v>0</v>
      </c>
      <c r="R86" s="70"/>
      <c r="S86" s="105"/>
      <c r="T86" s="105"/>
      <c r="U86" s="105"/>
      <c r="V86" s="105"/>
      <c r="W86" s="105"/>
      <c r="X86" s="105"/>
      <c r="Y86" s="105"/>
      <c r="Z86" s="105"/>
      <c r="AA86" s="105"/>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49"/>
      <c r="F87" s="88">
        <v>3</v>
      </c>
      <c r="G87" s="126"/>
      <c r="H87" s="151"/>
      <c r="I87" s="153"/>
      <c r="J87" s="152"/>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49"/>
      <c r="F88" s="88">
        <v>4</v>
      </c>
      <c r="G88" s="126"/>
      <c r="H88" s="151"/>
      <c r="I88" s="153"/>
      <c r="J88" s="153"/>
      <c r="K88" s="152"/>
      <c r="L88" s="70">
        <f>IF(A4stdlife="n/a","n/a",IF(L$3&gt;(A4stdlife+$F88),(Input!$K$146*(1+vanilla4)^0.5)-SUM($K88:K88),(Input!$K$146*(1+vanilla4)^0.5)/A4stdlife))</f>
        <v>0</v>
      </c>
      <c r="M88" s="70">
        <f>IF(A4stdlife="n/a","n/a",IF(M$3&gt;(A4stdlife+$F88),(Input!$K$146*(1+vanilla4)^0.5)-SUM($K88:L88),(Input!$K$146*(1+vanilla4)^0.5)/A4stdlife))</f>
        <v>0</v>
      </c>
      <c r="N88" s="70">
        <f>IF(A4stdlife="n/a","n/a",IF(N$3&gt;(A4stdlife+$F88),(Input!$K$146*(1+vanilla4)^0.5)-SUM($K88:M88),(Input!$K$146*(1+vanilla4)^0.5)/A4stdlife))</f>
        <v>0</v>
      </c>
      <c r="O88" s="70">
        <f>IF(A4stdlife="n/a","n/a",IF(O$3&gt;(A4stdlife+$F88),(Input!$K$146*(1+vanilla4)^0.5)-SUM($K88:N88),(Input!$K$146*(1+vanilla4)^0.5)/A4stdlife))</f>
        <v>0</v>
      </c>
      <c r="P88" s="70">
        <f>IF(A4stdlife="n/a","n/a",IF(P$3&gt;(A4stdlife+$F88),(Input!$K$146*(1+vanilla4)^0.5)-SUM($K88:O88),(Input!$K$146*(1+vanilla4)^0.5)/A4stdlife))</f>
        <v>0</v>
      </c>
      <c r="Q88" s="70">
        <f>IF(A4stdlife="n/a","n/a",IF(Q$3&gt;(A4stdlife+$F88),(Input!$K$146*(1+vanilla4)^0.5)-SUM($K88:P88),(Input!$K$146*(1+vanilla4)^0.5)/A4stdlife))</f>
        <v>0</v>
      </c>
      <c r="R88" s="70"/>
      <c r="S88" s="105"/>
      <c r="T88" s="105"/>
      <c r="U88" s="105"/>
      <c r="V88" s="105"/>
      <c r="W88" s="105"/>
      <c r="X88" s="105"/>
      <c r="Y88" s="105"/>
      <c r="Z88" s="105"/>
      <c r="AA88" s="105"/>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49"/>
      <c r="F89" s="88">
        <v>5</v>
      </c>
      <c r="G89" s="126"/>
      <c r="H89" s="151"/>
      <c r="I89" s="153"/>
      <c r="J89" s="153"/>
      <c r="K89" s="153"/>
      <c r="L89" s="152"/>
      <c r="M89" s="70">
        <f>IF(A4stdlife="n/a","n/a",IF(M$3&gt;(A4stdlife+$F89),(Input!$L$146*(1+vanilla5)^0.5)-SUM($L89:L89),(Input!$L$146*(1+vanilla5)^0.5)/A4stdlife))</f>
        <v>0</v>
      </c>
      <c r="N89" s="70">
        <f>IF(A4stdlife="n/a","n/a",IF(N$3&gt;(A4stdlife+$F89),(Input!$L$146*(1+vanilla5)^0.5)-SUM($L89:M89),(Input!$L$146*(1+vanilla5)^0.5)/A4stdlife))</f>
        <v>0</v>
      </c>
      <c r="O89" s="70">
        <f>IF(A4stdlife="n/a","n/a",IF(O$3&gt;(A4stdlife+$F89),(Input!$L$146*(1+vanilla5)^0.5)-SUM($L89:N89),(Input!$L$146*(1+vanilla5)^0.5)/A4stdlife))</f>
        <v>0</v>
      </c>
      <c r="P89" s="70">
        <f>IF(A4stdlife="n/a","n/a",IF(P$3&gt;(A4stdlife+$F89),(Input!$L$146*(1+vanilla5)^0.5)-SUM($L89:O89),(Input!$L$146*(1+vanilla5)^0.5)/A4stdlife))</f>
        <v>0</v>
      </c>
      <c r="Q89" s="70">
        <f>IF(A4stdlife="n/a","n/a",IF(Q$3&gt;(A4stdlife+$F89),(Input!$L$146*(1+vanilla5)^0.5)-SUM($L89:P89),(Input!$L$146*(1+vanilla5)^0.5)/A4stdlife))</f>
        <v>0</v>
      </c>
      <c r="R89" s="70"/>
      <c r="S89" s="105"/>
      <c r="T89" s="105"/>
      <c r="U89" s="105"/>
      <c r="V89" s="105"/>
      <c r="W89" s="105"/>
      <c r="X89" s="105"/>
      <c r="Y89" s="105"/>
      <c r="Z89" s="105"/>
      <c r="AA89" s="105"/>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49"/>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49"/>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49"/>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49"/>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49"/>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Underground Distribution Cables</v>
      </c>
      <c r="E95" s="9"/>
      <c r="F95" s="9"/>
      <c r="G95" s="126"/>
      <c r="H95" s="170">
        <f>-SUM(H83:H94)</f>
        <v>-13.517736025218211</v>
      </c>
      <c r="I95" s="170">
        <f>-SUM(I83:I94)</f>
        <v>-13.517736025218211</v>
      </c>
      <c r="J95" s="170">
        <f>-SUM(J83:J94)</f>
        <v>-13.517736025218211</v>
      </c>
      <c r="K95" s="170">
        <f>-SUM(K83:K94)</f>
        <v>-13.517736025218211</v>
      </c>
      <c r="L95" s="170">
        <f>-SUM(L83:L94)</f>
        <v>-13.517736025218211</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Distribution Equipment  </v>
      </c>
      <c r="D96" s="166"/>
      <c r="E96" s="34" t="s">
        <v>28</v>
      </c>
      <c r="F96" s="33"/>
      <c r="G96" s="181"/>
      <c r="H96" s="69">
        <f>IF(H$3&gt;A5remlife,A5value-SUM($G96:G96),IF(A5remlife="N/A","n/a",A5value/A5remlife))</f>
        <v>3.5179566516967862</v>
      </c>
      <c r="I96" s="69">
        <f>IF(I$3&gt;A5remlife,A5value-SUM($G96:H96),IF(A5remlife="N/A","n/a",A5value/A5remlife))</f>
        <v>3.5179566516967862</v>
      </c>
      <c r="J96" s="69">
        <f>IF(J$3&gt;A5remlife,A5value-SUM($G96:I96),IF(A5remlife="N/A","n/a",A5value/A5remlife))</f>
        <v>3.5179566516967862</v>
      </c>
      <c r="K96" s="69">
        <f>IF(K$3&gt;A5remlife,A5value-SUM($G96:J96),IF(A5remlife="N/A","n/a",A5value/A5remlife))</f>
        <v>3.5179566516967862</v>
      </c>
      <c r="L96" s="69">
        <f>IF(L$3&gt;A5remlife,A5value-SUM($G96:K96),IF(A5remlife="N/A","n/a",A5value/A5remlife))</f>
        <v>3.5179566516967862</v>
      </c>
      <c r="M96" s="69">
        <f>IF(M$3&gt;A5remlife,A5value-SUM($G96:L96),IF(A5remlife="N/A","n/a",A5value/A5remlife))</f>
        <v>3.5179566516967862</v>
      </c>
      <c r="N96" s="69">
        <f>IF(N$3&gt;A5remlife,A5value-SUM($G96:M96),IF(A5remlife="N/A","n/a",A5value/A5remlife))</f>
        <v>3.5179566516967862</v>
      </c>
      <c r="O96" s="69">
        <f>IF(O$3&gt;A5remlife,A5value-SUM($G96:N96),IF(A5remlife="N/A","n/a",A5value/A5remlife))</f>
        <v>3.5179566516967862</v>
      </c>
      <c r="P96" s="69">
        <f>IF(P$3&gt;A5remlife,A5value-SUM($G96:O96),IF(A5remlife="N/A","n/a",A5value/A5remlife))</f>
        <v>3.5179566516967862</v>
      </c>
      <c r="Q96" s="69">
        <f>IF(Q$3&gt;A5remlife,A5value-SUM($G96:P96),IF(A5remlife="N/A","n/a",A5value/A5remlife))</f>
        <v>3.5179566516967862</v>
      </c>
      <c r="R96" s="69"/>
      <c r="S96" s="105"/>
      <c r="T96" s="105"/>
      <c r="U96" s="105"/>
      <c r="V96" s="105"/>
      <c r="W96" s="105"/>
      <c r="X96" s="105"/>
      <c r="Y96" s="105"/>
      <c r="Z96" s="105"/>
      <c r="AA96" s="105"/>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48" t="s">
        <v>87</v>
      </c>
      <c r="F97" s="88">
        <v>0</v>
      </c>
      <c r="G97" s="126"/>
      <c r="H97" s="70"/>
      <c r="I97" s="70"/>
      <c r="J97" s="70"/>
      <c r="K97" s="70"/>
      <c r="L97" s="70"/>
      <c r="M97" s="168"/>
      <c r="N97" s="115"/>
      <c r="O97" s="70"/>
      <c r="P97" s="70"/>
      <c r="Q97" s="70"/>
      <c r="R97" s="70"/>
      <c r="S97" s="105"/>
      <c r="T97" s="105"/>
      <c r="U97" s="105"/>
      <c r="V97" s="105"/>
      <c r="W97" s="105"/>
      <c r="X97" s="105"/>
      <c r="Y97" s="105"/>
      <c r="Z97" s="105"/>
      <c r="AA97" s="105"/>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49"/>
      <c r="F98" s="88">
        <v>1</v>
      </c>
      <c r="G98" s="126"/>
      <c r="H98" s="150"/>
      <c r="I98" s="70">
        <f>IF(A5stdlife="n/a","n/a",IF(I$3&gt;(A5stdlife+$F98),(Input!$H$147*(1+vanilla1)^0.5)-SUM($H98:H98),(Input!$H$147*(1+vanilla1)^0.5)/A5stdlife))</f>
        <v>0</v>
      </c>
      <c r="J98" s="70">
        <f>IF(A5stdlife="n/a","n/a",IF(J$3&gt;(A5stdlife+$F98),(Input!$H$147*(1+vanilla1)^0.5)-SUM($H98:I98),(Input!$H$147*(1+vanilla1)^0.5)/A5stdlife))</f>
        <v>0</v>
      </c>
      <c r="K98" s="70">
        <f>IF(A5stdlife="n/a","n/a",IF(K$3&gt;(A5stdlife+$F98),(Input!$H$147*(1+vanilla1)^0.5)-SUM($H98:J98),(Input!$H$147*(1+vanilla1)^0.5)/A5stdlife))</f>
        <v>0</v>
      </c>
      <c r="L98" s="70">
        <f>IF(A5stdlife="n/a","n/a",IF(L$3&gt;(A5stdlife+$F98),(Input!$H$147*(1+vanilla1)^0.5)-SUM($H98:K98),(Input!$H$147*(1+vanilla1)^0.5)/A5stdlife))</f>
        <v>0</v>
      </c>
      <c r="M98" s="70">
        <f>IF(A5stdlife="n/a","n/a",IF(M$3&gt;(A5stdlife+$F98),(Input!$H$147*(1+vanilla1)^0.5)-SUM($H98:L98),(Input!$H$147*(1+vanilla1)^0.5)/A5stdlife))</f>
        <v>0</v>
      </c>
      <c r="N98" s="70">
        <f>IF(A5stdlife="n/a","n/a",IF(N$3&gt;(A5stdlife+$F98),(Input!$H$147*(1+vanilla1)^0.5)-SUM($H98:M98),(Input!$H$147*(1+vanilla1)^0.5)/A5stdlife))</f>
        <v>0</v>
      </c>
      <c r="O98" s="70">
        <f>IF(A5stdlife="n/a","n/a",IF(O$3&gt;(A5stdlife+$F98),(Input!$H$147*(1+vanilla1)^0.5)-SUM($H98:N98),(Input!$H$147*(1+vanilla1)^0.5)/A5stdlife))</f>
        <v>0</v>
      </c>
      <c r="P98" s="70">
        <f>IF(A5stdlife="n/a","n/a",IF(P$3&gt;(A5stdlife+$F98),(Input!$H$147*(1+vanilla1)^0.5)-SUM($H98:O98),(Input!$H$147*(1+vanilla1)^0.5)/A5stdlife))</f>
        <v>0</v>
      </c>
      <c r="Q98" s="70">
        <f>IF(A5stdlife="n/a","n/a",IF(Q$3&gt;(A5stdlife+$F98),(Input!$H$147*(1+vanilla1)^0.5)-SUM($H98:P98),(Input!$H$147*(1+vanilla1)^0.5)/A5stdlife))</f>
        <v>0</v>
      </c>
      <c r="R98" s="70"/>
      <c r="S98" s="105"/>
      <c r="T98" s="105"/>
      <c r="U98" s="105"/>
      <c r="V98" s="105"/>
      <c r="W98" s="105"/>
      <c r="X98" s="105"/>
      <c r="Y98" s="105"/>
      <c r="Z98" s="105"/>
      <c r="AA98" s="105"/>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49"/>
      <c r="F99" s="88">
        <v>2</v>
      </c>
      <c r="G99" s="126"/>
      <c r="H99" s="151"/>
      <c r="I99" s="152"/>
      <c r="J99" s="70">
        <f>IF(A5stdlife="n/a","n/a",IF(J$3&gt;(A5stdlife+$F99),(Input!$I$147*(1+vanilla2)^0.5)-SUM($I99:I99),(Input!$I$147*(1+vanilla2)^0.5)/A5stdlife))</f>
        <v>0</v>
      </c>
      <c r="K99" s="70">
        <f>IF(A5stdlife="n/a","n/a",IF(K$3&gt;(A5stdlife+$F99),(Input!$I$147*(1+vanilla2)^0.5)-SUM($I99:J99),(Input!$I$147*(1+vanilla2)^0.5)/A5stdlife))</f>
        <v>0</v>
      </c>
      <c r="L99" s="70">
        <f>IF(A5stdlife="n/a","n/a",IF(L$3&gt;(A5stdlife+$F99),(Input!$I$147*(1+vanilla2)^0.5)-SUM($I99:K99),(Input!$I$147*(1+vanilla2)^0.5)/A5stdlife))</f>
        <v>0</v>
      </c>
      <c r="M99" s="70">
        <f>IF(A5stdlife="n/a","n/a",IF(M$3&gt;(A5stdlife+$F99),(Input!$I$147*(1+vanilla2)^0.5)-SUM($I99:L99),(Input!$I$147*(1+vanilla2)^0.5)/A5stdlife))</f>
        <v>0</v>
      </c>
      <c r="N99" s="70">
        <f>IF(A5stdlife="n/a","n/a",IF(N$3&gt;(A5stdlife+$F99),(Input!$I$147*(1+vanilla2)^0.5)-SUM($I99:M99),(Input!$I$147*(1+vanilla2)^0.5)/A5stdlife))</f>
        <v>0</v>
      </c>
      <c r="O99" s="70">
        <f>IF(A5stdlife="n/a","n/a",IF(O$3&gt;(A5stdlife+$F99),(Input!$I$147*(1+vanilla2)^0.5)-SUM($I99:N99),(Input!$I$147*(1+vanilla2)^0.5)/A5stdlife))</f>
        <v>0</v>
      </c>
      <c r="P99" s="70">
        <f>IF(A5stdlife="n/a","n/a",IF(P$3&gt;(A5stdlife+$F99),(Input!$I$147*(1+vanilla2)^0.5)-SUM($I99:O99),(Input!$I$147*(1+vanilla2)^0.5)/A5stdlife))</f>
        <v>0</v>
      </c>
      <c r="Q99" s="70">
        <f>IF(A5stdlife="n/a","n/a",IF(Q$3&gt;(A5stdlife+$F99),(Input!$I$147*(1+vanilla2)^0.5)-SUM($I99:P99),(Input!$I$147*(1+vanilla2)^0.5)/A5stdlife))</f>
        <v>0</v>
      </c>
      <c r="R99" s="70"/>
      <c r="S99" s="105"/>
      <c r="T99" s="105"/>
      <c r="U99" s="105"/>
      <c r="V99" s="105"/>
      <c r="W99" s="105"/>
      <c r="X99" s="105"/>
      <c r="Y99" s="105"/>
      <c r="Z99" s="105"/>
      <c r="AA99" s="105"/>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49"/>
      <c r="F100" s="88">
        <v>3</v>
      </c>
      <c r="G100" s="126"/>
      <c r="H100" s="151"/>
      <c r="I100" s="153"/>
      <c r="J100" s="152"/>
      <c r="K100" s="70">
        <f>IF(A5stdlife="n/a","n/a",IF(K$3&gt;(A5stdlife+$F100),(Input!$J$147*(1+vanilla3)^0.5)-SUM($J100:J100),(Input!$J$147*(1+vanilla3)^0.5)/A5stdlife))</f>
        <v>0</v>
      </c>
      <c r="L100" s="70">
        <f>IF(A5stdlife="n/a","n/a",IF(L$3&gt;(A5stdlife+$F100),(Input!$J$147*(1+vanilla3)^0.5)-SUM($J100:K100),(Input!$J$147*(1+vanilla3)^0.5)/A5stdlife))</f>
        <v>0</v>
      </c>
      <c r="M100" s="70">
        <f>IF(A5stdlife="n/a","n/a",IF(M$3&gt;(A5stdlife+$F100),(Input!$J$147*(1+vanilla3)^0.5)-SUM($J100:L100),(Input!$J$147*(1+vanilla3)^0.5)/A5stdlife))</f>
        <v>0</v>
      </c>
      <c r="N100" s="70">
        <f>IF(A5stdlife="n/a","n/a",IF(N$3&gt;(A5stdlife+$F100),(Input!$J$147*(1+vanilla3)^0.5)-SUM($J100:M100),(Input!$J$147*(1+vanilla3)^0.5)/A5stdlife))</f>
        <v>0</v>
      </c>
      <c r="O100" s="70">
        <f>IF(A5stdlife="n/a","n/a",IF(O$3&gt;(A5stdlife+$F100),(Input!$J$147*(1+vanilla3)^0.5)-SUM($J100:N100),(Input!$J$147*(1+vanilla3)^0.5)/A5stdlife))</f>
        <v>0</v>
      </c>
      <c r="P100" s="70">
        <f>IF(A5stdlife="n/a","n/a",IF(P$3&gt;(A5stdlife+$F100),(Input!$J$147*(1+vanilla3)^0.5)-SUM($J100:O100),(Input!$J$147*(1+vanilla3)^0.5)/A5stdlife))</f>
        <v>0</v>
      </c>
      <c r="Q100" s="70">
        <f>IF(A5stdlife="n/a","n/a",IF(Q$3&gt;(A5stdlife+$F100),(Input!$J$147*(1+vanilla3)^0.5)-SUM($J100:P100),(Input!$J$147*(1+vanilla3)^0.5)/A5stdlife))</f>
        <v>0</v>
      </c>
      <c r="R100" s="70"/>
      <c r="S100" s="105"/>
      <c r="T100" s="105"/>
      <c r="U100" s="105"/>
      <c r="V100" s="105"/>
      <c r="W100" s="105"/>
      <c r="X100" s="105"/>
      <c r="Y100" s="105"/>
      <c r="Z100" s="105"/>
      <c r="AA100" s="105"/>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49"/>
      <c r="F101" s="88">
        <v>4</v>
      </c>
      <c r="G101" s="126"/>
      <c r="H101" s="151"/>
      <c r="I101" s="153"/>
      <c r="J101" s="153"/>
      <c r="K101" s="152"/>
      <c r="L101" s="70">
        <f>IF(A5stdlife="n/a","n/a",IF(L$3&gt;(A5stdlife+$F101),(Input!$K$147*(1+vanilla4)^0.5)-SUM($K101:K101),(Input!$K$147*(1+vanilla4)^0.5)/A5stdlife))</f>
        <v>0</v>
      </c>
      <c r="M101" s="70">
        <f>IF(A5stdlife="n/a","n/a",IF(M$3&gt;(A5stdlife+$F101),(Input!$K$147*(1+vanilla4)^0.5)-SUM($K101:L101),(Input!$K$147*(1+vanilla4)^0.5)/A5stdlife))</f>
        <v>0</v>
      </c>
      <c r="N101" s="70">
        <f>IF(A5stdlife="n/a","n/a",IF(N$3&gt;(A5stdlife+$F101),(Input!$K$147*(1+vanilla4)^0.5)-SUM($K101:M101),(Input!$K$147*(1+vanilla4)^0.5)/A5stdlife))</f>
        <v>0</v>
      </c>
      <c r="O101" s="70">
        <f>IF(A5stdlife="n/a","n/a",IF(O$3&gt;(A5stdlife+$F101),(Input!$K$147*(1+vanilla4)^0.5)-SUM($K101:N101),(Input!$K$147*(1+vanilla4)^0.5)/A5stdlife))</f>
        <v>0</v>
      </c>
      <c r="P101" s="70">
        <f>IF(A5stdlife="n/a","n/a",IF(P$3&gt;(A5stdlife+$F101),(Input!$K$147*(1+vanilla4)^0.5)-SUM($K101:O101),(Input!$K$147*(1+vanilla4)^0.5)/A5stdlife))</f>
        <v>0</v>
      </c>
      <c r="Q101" s="70">
        <f>IF(A5stdlife="n/a","n/a",IF(Q$3&gt;(A5stdlife+$F101),(Input!$K$147*(1+vanilla4)^0.5)-SUM($K101:P101),(Input!$K$147*(1+vanilla4)^0.5)/A5stdlife))</f>
        <v>0</v>
      </c>
      <c r="R101" s="70"/>
      <c r="S101" s="105"/>
      <c r="T101" s="105"/>
      <c r="U101" s="105"/>
      <c r="V101" s="105"/>
      <c r="W101" s="105"/>
      <c r="X101" s="105"/>
      <c r="Y101" s="105"/>
      <c r="Z101" s="105"/>
      <c r="AA101" s="105"/>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49"/>
      <c r="F102" s="88">
        <v>5</v>
      </c>
      <c r="G102" s="126"/>
      <c r="H102" s="151"/>
      <c r="I102" s="153"/>
      <c r="J102" s="153"/>
      <c r="K102" s="153"/>
      <c r="L102" s="152"/>
      <c r="M102" s="70">
        <f>IF(A5stdlife="n/a","n/a",IF(M$3&gt;(A5stdlife+$F102),(Input!$L$147*(1+vanilla5)^0.5)-SUM($L102:L102),(Input!$L$147*(1+vanilla5)^0.5)/A5stdlife))</f>
        <v>0</v>
      </c>
      <c r="N102" s="70">
        <f>IF(A5stdlife="n/a","n/a",IF(N$3&gt;(A5stdlife+$F102),(Input!$L$147*(1+vanilla5)^0.5)-SUM($L102:M102),(Input!$L$147*(1+vanilla5)^0.5)/A5stdlife))</f>
        <v>0</v>
      </c>
      <c r="O102" s="70">
        <f>IF(A5stdlife="n/a","n/a",IF(O$3&gt;(A5stdlife+$F102),(Input!$L$147*(1+vanilla5)^0.5)-SUM($L102:N102),(Input!$L$147*(1+vanilla5)^0.5)/A5stdlife))</f>
        <v>0</v>
      </c>
      <c r="P102" s="70">
        <f>IF(A5stdlife="n/a","n/a",IF(P$3&gt;(A5stdlife+$F102),(Input!$L$147*(1+vanilla5)^0.5)-SUM($L102:O102),(Input!$L$147*(1+vanilla5)^0.5)/A5stdlife))</f>
        <v>0</v>
      </c>
      <c r="Q102" s="70">
        <f>IF(A5stdlife="n/a","n/a",IF(Q$3&gt;(A5stdlife+$F102),(Input!$L$147*(1+vanilla5)^0.5)-SUM($L102:P102),(Input!$L$147*(1+vanilla5)^0.5)/A5stdlife))</f>
        <v>0</v>
      </c>
      <c r="R102" s="70"/>
      <c r="S102" s="105"/>
      <c r="T102" s="105"/>
      <c r="U102" s="105"/>
      <c r="V102" s="105"/>
      <c r="W102" s="105"/>
      <c r="X102" s="105"/>
      <c r="Y102" s="105"/>
      <c r="Z102" s="105"/>
      <c r="AA102" s="105"/>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49"/>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49"/>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49"/>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49"/>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49"/>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Distribution Equipment  </v>
      </c>
      <c r="E108" s="9"/>
      <c r="F108" s="9"/>
      <c r="G108" s="126"/>
      <c r="H108" s="170">
        <f>-SUM(H96:H107)</f>
        <v>-3.5179566516967862</v>
      </c>
      <c r="I108" s="170">
        <f>-SUM(I96:I107)</f>
        <v>-3.5179566516967862</v>
      </c>
      <c r="J108" s="170">
        <f>-SUM(J96:J107)</f>
        <v>-3.5179566516967862</v>
      </c>
      <c r="K108" s="170">
        <f>-SUM(K96:K107)</f>
        <v>-3.5179566516967862</v>
      </c>
      <c r="L108" s="170">
        <f>-SUM(L96:L107)</f>
        <v>-3.5179566516967862</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Substation Bays</v>
      </c>
      <c r="D109" s="166"/>
      <c r="E109" s="34" t="s">
        <v>28</v>
      </c>
      <c r="F109" s="33"/>
      <c r="G109" s="181"/>
      <c r="H109" s="69">
        <f>IF(H$3&gt;A6remlife,A6value-SUM($G109:G109),IF(A6remlife="N/A","n/a",A6value/A6remlife))</f>
        <v>25.306395465557859</v>
      </c>
      <c r="I109" s="69">
        <f>IF(I$3&gt;A6remlife,A6value-SUM($G109:H109),IF(A6remlife="N/A","n/a",A6value/A6remlife))</f>
        <v>25.306395465557859</v>
      </c>
      <c r="J109" s="69">
        <f>IF(J$3&gt;A6remlife,A6value-SUM($G109:I109),IF(A6remlife="N/A","n/a",A6value/A6remlife))</f>
        <v>25.306395465557859</v>
      </c>
      <c r="K109" s="69">
        <f>IF(K$3&gt;A6remlife,A6value-SUM($G109:J109),IF(A6remlife="N/A","n/a",A6value/A6remlife))</f>
        <v>25.306395465557859</v>
      </c>
      <c r="L109" s="69">
        <f>IF(L$3&gt;A6remlife,A6value-SUM($G109:K109),IF(A6remlife="N/A","n/a",A6value/A6remlife))</f>
        <v>25.306395465557859</v>
      </c>
      <c r="M109" s="69">
        <f>IF(M$3&gt;A6remlife,A6value-SUM($G109:L109),IF(A6remlife="N/A","n/a",A6value/A6remlife))</f>
        <v>25.306395465557859</v>
      </c>
      <c r="N109" s="69">
        <f>IF(N$3&gt;A6remlife,A6value-SUM($G109:M109),IF(A6remlife="N/A","n/a",A6value/A6remlife))</f>
        <v>25.306395465557859</v>
      </c>
      <c r="O109" s="69">
        <f>IF(O$3&gt;A6remlife,A6value-SUM($G109:N109),IF(A6remlife="N/A","n/a",A6value/A6remlife))</f>
        <v>25.306395465557859</v>
      </c>
      <c r="P109" s="69">
        <f>IF(P$3&gt;A6remlife,A6value-SUM($G109:O109),IF(A6remlife="N/A","n/a",A6value/A6remlife))</f>
        <v>25.306395465557859</v>
      </c>
      <c r="Q109" s="69">
        <f>IF(Q$3&gt;A6remlife,A6value-SUM($G109:P109),IF(A6remlife="N/A","n/a",A6value/A6remlife))</f>
        <v>25.306395465557859</v>
      </c>
      <c r="R109" s="69"/>
      <c r="S109" s="105"/>
      <c r="T109" s="105"/>
      <c r="U109" s="105"/>
      <c r="V109" s="105"/>
      <c r="W109" s="105"/>
      <c r="X109" s="105"/>
      <c r="Y109" s="105"/>
      <c r="Z109" s="105"/>
      <c r="AA109" s="105"/>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48" t="s">
        <v>87</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49"/>
      <c r="F111" s="88">
        <v>1</v>
      </c>
      <c r="G111" s="126"/>
      <c r="H111" s="150"/>
      <c r="I111" s="315"/>
      <c r="J111" s="315"/>
      <c r="K111" s="315"/>
      <c r="L111" s="315"/>
      <c r="M111" s="315"/>
      <c r="N111" s="315"/>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49"/>
      <c r="F112" s="88">
        <v>2</v>
      </c>
      <c r="G112" s="126"/>
      <c r="H112" s="151"/>
      <c r="I112" s="316"/>
      <c r="J112" s="315"/>
      <c r="K112" s="315"/>
      <c r="L112" s="315"/>
      <c r="M112" s="315"/>
      <c r="N112" s="315"/>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49"/>
      <c r="F113" s="88">
        <v>3</v>
      </c>
      <c r="G113" s="126"/>
      <c r="H113" s="151"/>
      <c r="I113" s="315"/>
      <c r="J113" s="316"/>
      <c r="K113" s="315"/>
      <c r="L113" s="315"/>
      <c r="M113" s="315"/>
      <c r="N113" s="315"/>
      <c r="O113" s="70">
        <f>IF(A6stdlife="n/a","n/a",IF(O$3&gt;(A6stdlife+$F113),(Input!$J$148*(1+vanilla3)^0.5)-SUM($J113:N113),(Input!$J$148*(1+vanilla3)^0.5)/A6stdlife))</f>
        <v>0</v>
      </c>
      <c r="P113" s="70">
        <f>IF(A6stdlife="n/a","n/a",IF(P$3&gt;(A6stdlife+$F113),(Input!$J$148*(1+vanilla3)^0.5)-SUM($J113:O113),(Input!$J$148*(1+vanilla3)^0.5)/A6stdlife))</f>
        <v>0</v>
      </c>
      <c r="Q113" s="70">
        <f>IF(A6stdlife="n/a","n/a",IF(Q$3&gt;(A6stdlife+$F113),(Input!$J$148*(1+vanilla3)^0.5)-SUM($J113:P113),(Input!$J$148*(1+vanilla3)^0.5)/A6stdlife))</f>
        <v>0</v>
      </c>
      <c r="R113" s="70"/>
      <c r="S113" s="105"/>
      <c r="T113" s="105"/>
      <c r="U113" s="105"/>
      <c r="V113" s="105"/>
      <c r="W113" s="105"/>
      <c r="X113" s="105"/>
      <c r="Y113" s="105"/>
      <c r="Z113" s="105"/>
      <c r="AA113" s="105"/>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49"/>
      <c r="F114" s="88">
        <v>4</v>
      </c>
      <c r="G114" s="126"/>
      <c r="H114" s="151"/>
      <c r="I114" s="315"/>
      <c r="J114" s="315"/>
      <c r="K114" s="316"/>
      <c r="L114" s="315"/>
      <c r="M114" s="315"/>
      <c r="N114" s="315"/>
      <c r="O114" s="70">
        <f>IF(A6stdlife="n/a","n/a",IF(O$3&gt;(A6stdlife+$F114),(Input!$K$148*(1+vanilla4)^0.5)-SUM($K114:N114),(Input!$K$148*(1+vanilla4)^0.5)/A6stdlife))</f>
        <v>0</v>
      </c>
      <c r="P114" s="70">
        <f>IF(A6stdlife="n/a","n/a",IF(P$3&gt;(A6stdlife+$F114),(Input!$K$148*(1+vanilla4)^0.5)-SUM($K114:O114),(Input!$K$148*(1+vanilla4)^0.5)/A6stdlife))</f>
        <v>0</v>
      </c>
      <c r="Q114" s="70">
        <f>IF(A6stdlife="n/a","n/a",IF(Q$3&gt;(A6stdlife+$F114),(Input!$K$148*(1+vanilla4)^0.5)-SUM($K114:P114),(Input!$K$148*(1+vanilla4)^0.5)/A6stdlife))</f>
        <v>0</v>
      </c>
      <c r="R114" s="70"/>
      <c r="S114" s="105"/>
      <c r="T114" s="105"/>
      <c r="U114" s="105"/>
      <c r="V114" s="105"/>
      <c r="W114" s="105"/>
      <c r="X114" s="105"/>
      <c r="Y114" s="105"/>
      <c r="Z114" s="105"/>
      <c r="AA114" s="105"/>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49"/>
      <c r="F115" s="88">
        <v>5</v>
      </c>
      <c r="G115" s="126"/>
      <c r="H115" s="151"/>
      <c r="I115" s="315"/>
      <c r="J115" s="315"/>
      <c r="K115" s="315"/>
      <c r="L115" s="316"/>
      <c r="M115" s="315"/>
      <c r="N115" s="315"/>
      <c r="O115" s="70">
        <f>IF(A6stdlife="n/a","n/a",IF(O$3&gt;(A6stdlife+$F115),(Input!$L$148*(1+vanilla5)^0.5)-SUM($L115:N115),(Input!$L$148*(1+vanilla5)^0.5)/A6stdlife))</f>
        <v>0</v>
      </c>
      <c r="P115" s="70">
        <f>IF(A6stdlife="n/a","n/a",IF(P$3&gt;(A6stdlife+$F115),(Input!$L$148*(1+vanilla5)^0.5)-SUM($L115:O115),(Input!$L$148*(1+vanilla5)^0.5)/A6stdlife))</f>
        <v>0</v>
      </c>
      <c r="Q115" s="70">
        <f>IF(A6stdlife="n/a","n/a",IF(Q$3&gt;(A6stdlife+$F115),(Input!$L$148*(1+vanilla5)^0.5)-SUM($L115:P115),(Input!$L$148*(1+vanilla5)^0.5)/A6stdlife))</f>
        <v>0</v>
      </c>
      <c r="R115" s="70"/>
      <c r="S115" s="105"/>
      <c r="T115" s="105"/>
      <c r="U115" s="105"/>
      <c r="V115" s="105"/>
      <c r="W115" s="105"/>
      <c r="X115" s="105"/>
      <c r="Y115" s="105"/>
      <c r="Z115" s="105"/>
      <c r="AA115" s="105"/>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49"/>
      <c r="F116" s="88">
        <v>6</v>
      </c>
      <c r="G116" s="126"/>
      <c r="H116" s="151"/>
      <c r="I116" s="315"/>
      <c r="J116" s="315"/>
      <c r="K116" s="315"/>
      <c r="L116" s="315"/>
      <c r="M116" s="316"/>
      <c r="N116" s="315"/>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49"/>
      <c r="F117" s="88">
        <v>7</v>
      </c>
      <c r="G117" s="126"/>
      <c r="H117" s="151"/>
      <c r="I117" s="315"/>
      <c r="J117" s="315"/>
      <c r="K117" s="315"/>
      <c r="L117" s="315"/>
      <c r="M117" s="315"/>
      <c r="N117" s="316"/>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49"/>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49"/>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49"/>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Substation Bays</v>
      </c>
      <c r="E121" s="9"/>
      <c r="F121" s="9"/>
      <c r="G121" s="126"/>
      <c r="H121" s="170">
        <f>-SUM(H109:H120)</f>
        <v>-25.306395465557859</v>
      </c>
      <c r="I121" s="170">
        <f>-SUM(I109:I120)</f>
        <v>-25.306395465557859</v>
      </c>
      <c r="J121" s="170">
        <f>-SUM(J109:J120)</f>
        <v>-25.306395465557859</v>
      </c>
      <c r="K121" s="170">
        <f>-SUM(K109:K120)</f>
        <v>-25.306395465557859</v>
      </c>
      <c r="L121" s="170">
        <f>-SUM(L109:L120)</f>
        <v>-25.306395465557859</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Substation Establishment</v>
      </c>
      <c r="D122" s="166"/>
      <c r="E122" s="34" t="s">
        <v>28</v>
      </c>
      <c r="F122" s="33"/>
      <c r="G122" s="181"/>
      <c r="H122" s="69">
        <f>IF(H$3&gt;A7remlife,A7value-SUM($G122:G122),IF(A7remlife="N/A","n/a",A7value/A7remlife))</f>
        <v>9.1776634519973452</v>
      </c>
      <c r="I122" s="69">
        <f>IF(I$3&gt;A7remlife,A7value-SUM($G122:H122),IF(A7remlife="N/A","n/a",A7value/A7remlife))</f>
        <v>9.1776634519973452</v>
      </c>
      <c r="J122" s="69">
        <f>IF(J$3&gt;A7remlife,A7value-SUM($G122:I122),IF(A7remlife="N/A","n/a",A7value/A7remlife))</f>
        <v>9.1776634519973452</v>
      </c>
      <c r="K122" s="69">
        <f>IF(K$3&gt;A7remlife,A7value-SUM($G122:J122),IF(A7remlife="N/A","n/a",A7value/A7remlife))</f>
        <v>9.1776634519973452</v>
      </c>
      <c r="L122" s="69">
        <f>IF(L$3&gt;A7remlife,A7value-SUM($G122:K122),IF(A7remlife="N/A","n/a",A7value/A7remlife))</f>
        <v>9.1776634519973452</v>
      </c>
      <c r="M122" s="69">
        <f>IF(M$3&gt;A7remlife,A7value-SUM($G122:L122),IF(A7remlife="N/A","n/a",A7value/A7remlife))</f>
        <v>9.1776634519973452</v>
      </c>
      <c r="N122" s="69">
        <f>IF(N$3&gt;A7remlife,A7value-SUM($G122:M122),IF(A7remlife="N/A","n/a",A7value/A7remlife))</f>
        <v>9.1776634519973452</v>
      </c>
      <c r="O122" s="69">
        <f>IF(O$3&gt;A7remlife,A7value-SUM($G122:N122),IF(A7remlife="N/A","n/a",A7value/A7remlife))</f>
        <v>9.1776634519973452</v>
      </c>
      <c r="P122" s="69">
        <f>IF(P$3&gt;A7remlife,A7value-SUM($G122:O122),IF(A7remlife="N/A","n/a",A7value/A7remlife))</f>
        <v>9.1776634519973452</v>
      </c>
      <c r="Q122" s="69">
        <f>IF(Q$3&gt;A7remlife,A7value-SUM($G122:P122),IF(A7remlife="N/A","n/a",A7value/A7remlife))</f>
        <v>9.1776634519973452</v>
      </c>
      <c r="R122" s="69"/>
      <c r="S122" s="105"/>
      <c r="T122" s="105"/>
      <c r="U122" s="105"/>
      <c r="V122" s="105"/>
      <c r="W122" s="105"/>
      <c r="X122" s="105"/>
      <c r="Y122" s="105"/>
      <c r="Z122" s="105"/>
      <c r="AA122" s="105"/>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48" t="s">
        <v>87</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49"/>
      <c r="F124" s="88">
        <v>1</v>
      </c>
      <c r="G124" s="126"/>
      <c r="H124" s="150"/>
      <c r="I124" s="315"/>
      <c r="J124" s="315"/>
      <c r="K124" s="315"/>
      <c r="L124" s="315"/>
      <c r="M124" s="315"/>
      <c r="N124" s="315"/>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49"/>
      <c r="F125" s="88">
        <v>2</v>
      </c>
      <c r="G125" s="126"/>
      <c r="H125" s="151"/>
      <c r="I125" s="316"/>
      <c r="J125" s="315"/>
      <c r="K125" s="315"/>
      <c r="L125" s="315"/>
      <c r="M125" s="315"/>
      <c r="N125" s="315"/>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49"/>
      <c r="F126" s="88">
        <v>3</v>
      </c>
      <c r="G126" s="126"/>
      <c r="H126" s="151"/>
      <c r="I126" s="315"/>
      <c r="J126" s="316"/>
      <c r="K126" s="315"/>
      <c r="L126" s="315"/>
      <c r="M126" s="315"/>
      <c r="N126" s="315"/>
      <c r="O126" s="70">
        <f>IF(A7stdlife="n/a","n/a",IF(O$3&gt;(A7stdlife+$F126),(Input!$J$149*(1+vanilla3)^0.5)-SUM($J126:N126),(Input!$J$149*(1+vanilla3)^0.5)/A7stdlife))</f>
        <v>0</v>
      </c>
      <c r="P126" s="70">
        <f>IF(A7stdlife="n/a","n/a",IF(P$3&gt;(A7stdlife+$F126),(Input!$J$149*(1+vanilla3)^0.5)-SUM($J126:O126),(Input!$J$149*(1+vanilla3)^0.5)/A7stdlife))</f>
        <v>0</v>
      </c>
      <c r="Q126" s="70">
        <f>IF(A7stdlife="n/a","n/a",IF(Q$3&gt;(A7stdlife+$F126),(Input!$J$149*(1+vanilla3)^0.5)-SUM($J126:P126),(Input!$J$149*(1+vanilla3)^0.5)/A7stdlife))</f>
        <v>0</v>
      </c>
      <c r="R126" s="70"/>
      <c r="S126" s="105"/>
      <c r="T126" s="105"/>
      <c r="U126" s="105"/>
      <c r="V126" s="105"/>
      <c r="W126" s="105"/>
      <c r="X126" s="105"/>
      <c r="Y126" s="105"/>
      <c r="Z126" s="105"/>
      <c r="AA126" s="105"/>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49"/>
      <c r="F127" s="88">
        <v>4</v>
      </c>
      <c r="G127" s="126"/>
      <c r="H127" s="151"/>
      <c r="I127" s="315"/>
      <c r="J127" s="315"/>
      <c r="K127" s="316"/>
      <c r="L127" s="315"/>
      <c r="M127" s="315"/>
      <c r="N127" s="315"/>
      <c r="O127" s="70">
        <f>IF(A7stdlife="n/a","n/a",IF(O$3&gt;(A7stdlife+$F127),(Input!$K$149*(1+vanilla4)^0.5)-SUM($K127:N127),(Input!$K$149*(1+vanilla4)^0.5)/A7stdlife))</f>
        <v>0</v>
      </c>
      <c r="P127" s="70">
        <f>IF(A7stdlife="n/a","n/a",IF(P$3&gt;(A7stdlife+$F127),(Input!$K$149*(1+vanilla4)^0.5)-SUM($K127:O127),(Input!$K$149*(1+vanilla4)^0.5)/A7stdlife))</f>
        <v>0</v>
      </c>
      <c r="Q127" s="70">
        <f>IF(A7stdlife="n/a","n/a",IF(Q$3&gt;(A7stdlife+$F127),(Input!$K$149*(1+vanilla4)^0.5)-SUM($K127:P127),(Input!$K$149*(1+vanilla4)^0.5)/A7stdlife))</f>
        <v>0</v>
      </c>
      <c r="R127" s="70"/>
      <c r="S127" s="105"/>
      <c r="T127" s="105"/>
      <c r="U127" s="105"/>
      <c r="V127" s="105"/>
      <c r="W127" s="105"/>
      <c r="X127" s="105"/>
      <c r="Y127" s="105"/>
      <c r="Z127" s="105"/>
      <c r="AA127" s="105"/>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49"/>
      <c r="F128" s="88">
        <v>5</v>
      </c>
      <c r="G128" s="126"/>
      <c r="H128" s="151"/>
      <c r="I128" s="315"/>
      <c r="J128" s="315"/>
      <c r="K128" s="315"/>
      <c r="L128" s="316"/>
      <c r="M128" s="315"/>
      <c r="N128" s="315"/>
      <c r="O128" s="70">
        <f>IF(A7stdlife="n/a","n/a",IF(O$3&gt;(A7stdlife+$F128),(Input!$L$149*(1+vanilla5)^0.5)-SUM($L128:N128),(Input!$L$149*(1+vanilla5)^0.5)/A7stdlife))</f>
        <v>0</v>
      </c>
      <c r="P128" s="70">
        <f>IF(A7stdlife="n/a","n/a",IF(P$3&gt;(A7stdlife+$F128),(Input!$L$149*(1+vanilla5)^0.5)-SUM($L128:O128),(Input!$L$149*(1+vanilla5)^0.5)/A7stdlife))</f>
        <v>0</v>
      </c>
      <c r="Q128" s="70">
        <f>IF(A7stdlife="n/a","n/a",IF(Q$3&gt;(A7stdlife+$F128),(Input!$L$149*(1+vanilla5)^0.5)-SUM($L128:P128),(Input!$L$149*(1+vanilla5)^0.5)/A7stdlife))</f>
        <v>0</v>
      </c>
      <c r="R128" s="70"/>
      <c r="S128" s="105"/>
      <c r="T128" s="105"/>
      <c r="U128" s="105"/>
      <c r="V128" s="105"/>
      <c r="W128" s="105"/>
      <c r="X128" s="105"/>
      <c r="Y128" s="105"/>
      <c r="Z128" s="105"/>
      <c r="AA128" s="105"/>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49"/>
      <c r="F129" s="88">
        <v>6</v>
      </c>
      <c r="G129" s="126"/>
      <c r="H129" s="151"/>
      <c r="I129" s="315"/>
      <c r="J129" s="315"/>
      <c r="K129" s="315"/>
      <c r="L129" s="315"/>
      <c r="M129" s="316"/>
      <c r="N129" s="315"/>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49"/>
      <c r="F130" s="88">
        <v>7</v>
      </c>
      <c r="G130" s="126"/>
      <c r="H130" s="151"/>
      <c r="I130" s="315"/>
      <c r="J130" s="315"/>
      <c r="K130" s="315"/>
      <c r="L130" s="315"/>
      <c r="M130" s="315"/>
      <c r="N130" s="316"/>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49"/>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49"/>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49"/>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Substation Establishment</v>
      </c>
      <c r="E134" s="9"/>
      <c r="F134" s="9"/>
      <c r="G134" s="126"/>
      <c r="H134" s="170">
        <f>-SUM(H122:H133)</f>
        <v>-9.1776634519973452</v>
      </c>
      <c r="I134" s="170">
        <f>-SUM(I122:I133)</f>
        <v>-9.1776634519973452</v>
      </c>
      <c r="J134" s="170">
        <f>-SUM(J122:J133)</f>
        <v>-9.1776634519973452</v>
      </c>
      <c r="K134" s="170">
        <f>-SUM(K122:K133)</f>
        <v>-9.1776634519973452</v>
      </c>
      <c r="L134" s="170">
        <f>-SUM(L122:L133)</f>
        <v>-9.1776634519973452</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Distribution Substation Switchgear</v>
      </c>
      <c r="D135" s="166"/>
      <c r="E135" s="34" t="s">
        <v>28</v>
      </c>
      <c r="F135" s="33"/>
      <c r="G135" s="181"/>
      <c r="H135" s="69">
        <f>IF(H$3&gt;A8remlife,A8value-SUM($G135:G135),IF(A8remlife="N/A","n/a",A8value/A8remlife))</f>
        <v>2.6564052920748167</v>
      </c>
      <c r="I135" s="69">
        <f>IF(I$3&gt;A8remlife,A8value-SUM($G135:H135),IF(A8remlife="N/A","n/a",A8value/A8remlife))</f>
        <v>2.6564052920748167</v>
      </c>
      <c r="J135" s="69">
        <f>IF(J$3&gt;A8remlife,A8value-SUM($G135:I135),IF(A8remlife="N/A","n/a",A8value/A8remlife))</f>
        <v>2.6564052920748167</v>
      </c>
      <c r="K135" s="69">
        <f>IF(K$3&gt;A8remlife,A8value-SUM($G135:J135),IF(A8remlife="N/A","n/a",A8value/A8remlife))</f>
        <v>2.6564052920748167</v>
      </c>
      <c r="L135" s="69">
        <f>IF(L$3&gt;A8remlife,A8value-SUM($G135:K135),IF(A8remlife="N/A","n/a",A8value/A8remlife))</f>
        <v>2.6564052920748167</v>
      </c>
      <c r="M135" s="69">
        <f>IF(M$3&gt;A8remlife,A8value-SUM($G135:L135),IF(A8remlife="N/A","n/a",A8value/A8remlife))</f>
        <v>2.6564052920748167</v>
      </c>
      <c r="N135" s="69">
        <f>IF(N$3&gt;A8remlife,A8value-SUM($G135:M135),IF(A8remlife="N/A","n/a",A8value/A8remlife))</f>
        <v>2.6564052920748167</v>
      </c>
      <c r="O135" s="69">
        <f>IF(O$3&gt;A8remlife,A8value-SUM($G135:N135),IF(A8remlife="N/A","n/a",A8value/A8remlife))</f>
        <v>2.6564052920748167</v>
      </c>
      <c r="P135" s="69">
        <f>IF(P$3&gt;A8remlife,A8value-SUM($G135:O135),IF(A8remlife="N/A","n/a",A8value/A8remlife))</f>
        <v>2.6564052920748167</v>
      </c>
      <c r="Q135" s="69">
        <f>IF(Q$3&gt;A8remlife,A8value-SUM($G135:P135),IF(A8remlife="N/A","n/a",A8value/A8remlife))</f>
        <v>2.6564052920748167</v>
      </c>
      <c r="R135" s="69"/>
      <c r="S135" s="105"/>
      <c r="T135" s="105"/>
      <c r="U135" s="105"/>
      <c r="V135" s="105"/>
      <c r="W135" s="105"/>
      <c r="X135" s="105"/>
      <c r="Y135" s="105"/>
      <c r="Z135" s="105"/>
      <c r="AA135" s="105"/>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48" t="s">
        <v>87</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49"/>
      <c r="F137" s="88">
        <v>1</v>
      </c>
      <c r="G137" s="126"/>
      <c r="H137" s="150"/>
      <c r="I137" s="315"/>
      <c r="J137" s="315"/>
      <c r="K137" s="315"/>
      <c r="L137" s="315"/>
      <c r="M137" s="315"/>
      <c r="N137" s="315"/>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49"/>
      <c r="F138" s="88">
        <v>2</v>
      </c>
      <c r="G138" s="126"/>
      <c r="H138" s="151"/>
      <c r="I138" s="316"/>
      <c r="J138" s="315"/>
      <c r="K138" s="315"/>
      <c r="L138" s="315"/>
      <c r="M138" s="315"/>
      <c r="N138" s="315"/>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49"/>
      <c r="F139" s="88">
        <v>3</v>
      </c>
      <c r="G139" s="126"/>
      <c r="H139" s="151"/>
      <c r="I139" s="315"/>
      <c r="J139" s="316"/>
      <c r="K139" s="315"/>
      <c r="L139" s="315"/>
      <c r="M139" s="315"/>
      <c r="N139" s="315"/>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49"/>
      <c r="F140" s="88">
        <v>4</v>
      </c>
      <c r="G140" s="126"/>
      <c r="H140" s="151"/>
      <c r="I140" s="315"/>
      <c r="J140" s="315"/>
      <c r="K140" s="316"/>
      <c r="L140" s="315"/>
      <c r="M140" s="315"/>
      <c r="N140" s="315"/>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49"/>
      <c r="F141" s="88">
        <v>5</v>
      </c>
      <c r="G141" s="126"/>
      <c r="H141" s="151"/>
      <c r="I141" s="315"/>
      <c r="J141" s="315"/>
      <c r="K141" s="315"/>
      <c r="L141" s="316"/>
      <c r="M141" s="315"/>
      <c r="N141" s="315"/>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49"/>
      <c r="F142" s="88">
        <v>6</v>
      </c>
      <c r="G142" s="126"/>
      <c r="H142" s="151"/>
      <c r="I142" s="315"/>
      <c r="J142" s="315"/>
      <c r="K142" s="315"/>
      <c r="L142" s="315"/>
      <c r="M142" s="316"/>
      <c r="N142" s="315"/>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49"/>
      <c r="F143" s="88">
        <v>7</v>
      </c>
      <c r="G143" s="126"/>
      <c r="H143" s="151"/>
      <c r="I143" s="315"/>
      <c r="J143" s="315"/>
      <c r="K143" s="315"/>
      <c r="L143" s="315"/>
      <c r="M143" s="315"/>
      <c r="N143" s="316"/>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49"/>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49"/>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49"/>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Distribution Substation Switchgear</v>
      </c>
      <c r="E147" s="9"/>
      <c r="F147" s="9"/>
      <c r="G147" s="126"/>
      <c r="H147" s="170">
        <f>-SUM(H135:H146)</f>
        <v>-2.6564052920748167</v>
      </c>
      <c r="I147" s="170">
        <f>-SUM(I135:I146)</f>
        <v>-2.6564052920748167</v>
      </c>
      <c r="J147" s="170">
        <f>-SUM(J135:J146)</f>
        <v>-2.6564052920748167</v>
      </c>
      <c r="K147" s="170">
        <f>-SUM(K135:K146)</f>
        <v>-2.6564052920748167</v>
      </c>
      <c r="L147" s="170">
        <f>-SUM(L135:L146)</f>
        <v>-2.6564052920748167</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Zone Transformers</v>
      </c>
      <c r="D148" s="166"/>
      <c r="E148" s="34" t="s">
        <v>28</v>
      </c>
      <c r="F148" s="33"/>
      <c r="G148" s="181"/>
      <c r="H148" s="69">
        <f>IF(H$3&gt;A9remlife,A9value-SUM($G148:G148),IF(A9remlife="N/A","n/a",A9value/A9remlife))</f>
        <v>8.7505055181909128</v>
      </c>
      <c r="I148" s="69">
        <f>IF(I$3&gt;A9remlife,A9value-SUM($G148:H148),IF(A9remlife="N/A","n/a",A9value/A9remlife))</f>
        <v>8.7505055181909128</v>
      </c>
      <c r="J148" s="69">
        <f>IF(J$3&gt;A9remlife,A9value-SUM($G148:I148),IF(A9remlife="N/A","n/a",A9value/A9remlife))</f>
        <v>8.7505055181909128</v>
      </c>
      <c r="K148" s="69">
        <f>IF(K$3&gt;A9remlife,A9value-SUM($G148:J148),IF(A9remlife="N/A","n/a",A9value/A9remlife))</f>
        <v>8.7505055181909128</v>
      </c>
      <c r="L148" s="69">
        <f>IF(L$3&gt;A9remlife,A9value-SUM($G148:K148),IF(A9remlife="N/A","n/a",A9value/A9remlife))</f>
        <v>8.7505055181909128</v>
      </c>
      <c r="M148" s="69">
        <f>IF(M$3&gt;A9remlife,A9value-SUM($G148:L148),IF(A9remlife="N/A","n/a",A9value/A9remlife))</f>
        <v>8.7505055181909128</v>
      </c>
      <c r="N148" s="69">
        <f>IF(N$3&gt;A9remlife,A9value-SUM($G148:M148),IF(A9remlife="N/A","n/a",A9value/A9remlife))</f>
        <v>8.7505055181909128</v>
      </c>
      <c r="O148" s="69">
        <f>IF(O$3&gt;A9remlife,A9value-SUM($G148:N148),IF(A9remlife="N/A","n/a",A9value/A9remlife))</f>
        <v>8.7505055181909128</v>
      </c>
      <c r="P148" s="69">
        <f>IF(P$3&gt;A9remlife,A9value-SUM($G148:O148),IF(A9remlife="N/A","n/a",A9value/A9remlife))</f>
        <v>8.7505055181909128</v>
      </c>
      <c r="Q148" s="69">
        <f>IF(Q$3&gt;A9remlife,A9value-SUM($G148:P148),IF(A9remlife="N/A","n/a",A9value/A9remlife))</f>
        <v>8.7505055181909128</v>
      </c>
      <c r="R148" s="69"/>
      <c r="S148" s="105"/>
      <c r="T148" s="105"/>
      <c r="U148" s="105"/>
      <c r="V148" s="105"/>
      <c r="W148" s="105"/>
      <c r="X148" s="105"/>
      <c r="Y148" s="105"/>
      <c r="Z148" s="105"/>
      <c r="AA148" s="105"/>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48" t="s">
        <v>87</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49"/>
      <c r="F150" s="88">
        <v>1</v>
      </c>
      <c r="G150" s="126"/>
      <c r="H150" s="150"/>
      <c r="I150" s="315"/>
      <c r="J150" s="315"/>
      <c r="K150" s="315"/>
      <c r="L150" s="315"/>
      <c r="M150" s="315"/>
      <c r="N150" s="315"/>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49"/>
      <c r="F151" s="88">
        <v>2</v>
      </c>
      <c r="G151" s="126"/>
      <c r="H151" s="151"/>
      <c r="I151" s="316"/>
      <c r="J151" s="315"/>
      <c r="K151" s="315"/>
      <c r="L151" s="315"/>
      <c r="M151" s="315"/>
      <c r="N151" s="315"/>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49"/>
      <c r="F152" s="88">
        <v>3</v>
      </c>
      <c r="G152" s="126"/>
      <c r="H152" s="151"/>
      <c r="I152" s="315"/>
      <c r="J152" s="316"/>
      <c r="K152" s="315"/>
      <c r="L152" s="315"/>
      <c r="M152" s="315"/>
      <c r="N152" s="315"/>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49"/>
      <c r="F153" s="88">
        <v>4</v>
      </c>
      <c r="G153" s="126"/>
      <c r="H153" s="151"/>
      <c r="I153" s="315"/>
      <c r="J153" s="315"/>
      <c r="K153" s="316"/>
      <c r="L153" s="315"/>
      <c r="M153" s="315"/>
      <c r="N153" s="315"/>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49"/>
      <c r="F154" s="88">
        <v>5</v>
      </c>
      <c r="G154" s="126"/>
      <c r="H154" s="151"/>
      <c r="I154" s="315"/>
      <c r="J154" s="315"/>
      <c r="K154" s="315"/>
      <c r="L154" s="316"/>
      <c r="M154" s="315"/>
      <c r="N154" s="315"/>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49"/>
      <c r="F155" s="88">
        <v>6</v>
      </c>
      <c r="G155" s="126"/>
      <c r="H155" s="151"/>
      <c r="I155" s="315"/>
      <c r="J155" s="315"/>
      <c r="K155" s="315"/>
      <c r="L155" s="315"/>
      <c r="M155" s="316"/>
      <c r="N155" s="315"/>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49"/>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49"/>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49"/>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49"/>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Zone Transformers</v>
      </c>
      <c r="E160" s="9"/>
      <c r="F160" s="9"/>
      <c r="G160" s="126"/>
      <c r="H160" s="170">
        <f>-SUM(H148:H159)</f>
        <v>-8.7505055181909128</v>
      </c>
      <c r="I160" s="170">
        <f>-SUM(I148:I159)</f>
        <v>-8.7505055181909128</v>
      </c>
      <c r="J160" s="170">
        <f>-SUM(J148:J159)</f>
        <v>-8.7505055181909128</v>
      </c>
      <c r="K160" s="170">
        <f>-SUM(K148:K159)</f>
        <v>-8.7505055181909128</v>
      </c>
      <c r="L160" s="170">
        <f>-SUM(L148:L159)</f>
        <v>-8.7505055181909128</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Distribution Transformers</v>
      </c>
      <c r="D161" s="166"/>
      <c r="E161" s="34" t="s">
        <v>28</v>
      </c>
      <c r="F161" s="33"/>
      <c r="G161" s="181"/>
      <c r="H161" s="69">
        <f>IF(H$3&gt;A10remlife,A10value-SUM($G161:G161),IF(A10remlife="N/A","n/a",A10value/A10remlife))</f>
        <v>37.064238079530533</v>
      </c>
      <c r="I161" s="69">
        <f>IF(I$3&gt;A10remlife,A10value-SUM($G161:H161),IF(A10remlife="N/A","n/a",A10value/A10remlife))</f>
        <v>37.064238079530533</v>
      </c>
      <c r="J161" s="69">
        <f>IF(J$3&gt;A10remlife,A10value-SUM($G161:I161),IF(A10remlife="N/A","n/a",A10value/A10remlife))</f>
        <v>37.064238079530533</v>
      </c>
      <c r="K161" s="69">
        <f>IF(K$3&gt;A10remlife,A10value-SUM($G161:J161),IF(A10remlife="N/A","n/a",A10value/A10remlife))</f>
        <v>37.064238079530533</v>
      </c>
      <c r="L161" s="69">
        <f>IF(L$3&gt;A10remlife,A10value-SUM($G161:K161),IF(A10remlife="N/A","n/a",A10value/A10remlife))</f>
        <v>37.064238079530533</v>
      </c>
      <c r="M161" s="69">
        <f>IF(M$3&gt;A10remlife,A10value-SUM($G161:L161),IF(A10remlife="N/A","n/a",A10value/A10remlife))</f>
        <v>37.064238079530533</v>
      </c>
      <c r="N161" s="69">
        <f>IF(N$3&gt;A10remlife,A10value-SUM($G161:M161),IF(A10remlife="N/A","n/a",A10value/A10remlife))</f>
        <v>37.064238079530533</v>
      </c>
      <c r="O161" s="69">
        <f>IF(O$3&gt;A10remlife,A10value-SUM($G161:N161),IF(A10remlife="N/A","n/a",A10value/A10remlife))</f>
        <v>37.064238079530533</v>
      </c>
      <c r="P161" s="69">
        <f>IF(P$3&gt;A10remlife,A10value-SUM($G161:O161),IF(A10remlife="N/A","n/a",A10value/A10remlife))</f>
        <v>37.064238079530533</v>
      </c>
      <c r="Q161" s="69">
        <f>IF(Q$3&gt;A10remlife,A10value-SUM($G161:P161),IF(A10remlife="N/A","n/a",A10value/A10remlife))</f>
        <v>37.064238079530533</v>
      </c>
      <c r="R161" s="69"/>
      <c r="S161" s="105"/>
      <c r="T161" s="105"/>
      <c r="U161" s="105"/>
      <c r="V161" s="105"/>
      <c r="W161" s="105"/>
      <c r="X161" s="105"/>
      <c r="Y161" s="105"/>
      <c r="Z161" s="105"/>
      <c r="AA161" s="105"/>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348" t="s">
        <v>87</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49"/>
      <c r="F163" s="88">
        <v>1</v>
      </c>
      <c r="G163" s="126"/>
      <c r="H163" s="150"/>
      <c r="I163" s="315"/>
      <c r="J163" s="315"/>
      <c r="K163" s="315"/>
      <c r="L163" s="315"/>
      <c r="M163" s="315"/>
      <c r="N163" s="315"/>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49"/>
      <c r="F164" s="88">
        <v>2</v>
      </c>
      <c r="G164" s="126"/>
      <c r="H164" s="151"/>
      <c r="I164" s="316"/>
      <c r="J164" s="315"/>
      <c r="K164" s="315"/>
      <c r="L164" s="315"/>
      <c r="M164" s="315"/>
      <c r="N164" s="315"/>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49"/>
      <c r="F165" s="88">
        <v>3</v>
      </c>
      <c r="G165" s="126"/>
      <c r="H165" s="151"/>
      <c r="I165" s="315"/>
      <c r="J165" s="316"/>
      <c r="K165" s="315"/>
      <c r="L165" s="315"/>
      <c r="M165" s="315"/>
      <c r="N165" s="315"/>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49"/>
      <c r="F166" s="88">
        <v>4</v>
      </c>
      <c r="G166" s="126"/>
      <c r="H166" s="151"/>
      <c r="I166" s="315"/>
      <c r="J166" s="315"/>
      <c r="K166" s="316"/>
      <c r="L166" s="315"/>
      <c r="M166" s="315"/>
      <c r="N166" s="315"/>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49"/>
      <c r="F167" s="88">
        <v>5</v>
      </c>
      <c r="G167" s="27"/>
      <c r="H167" s="151"/>
      <c r="I167" s="315"/>
      <c r="J167" s="315"/>
      <c r="K167" s="315"/>
      <c r="L167" s="316"/>
      <c r="M167" s="315"/>
      <c r="N167" s="315"/>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49"/>
      <c r="F168" s="88">
        <v>6</v>
      </c>
      <c r="G168" s="27"/>
      <c r="H168" s="151"/>
      <c r="I168" s="315"/>
      <c r="J168" s="315"/>
      <c r="K168" s="315"/>
      <c r="L168" s="315"/>
      <c r="M168" s="316"/>
      <c r="N168" s="315"/>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49"/>
      <c r="F169" s="88">
        <v>7</v>
      </c>
      <c r="G169" s="27"/>
      <c r="H169" s="151"/>
      <c r="I169" s="315"/>
      <c r="J169" s="315"/>
      <c r="K169" s="315"/>
      <c r="L169" s="315"/>
      <c r="M169" s="315"/>
      <c r="N169" s="316"/>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49"/>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49"/>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49"/>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Distribution Transformers</v>
      </c>
      <c r="E173" s="9"/>
      <c r="F173" s="9"/>
      <c r="G173" s="126"/>
      <c r="H173" s="170">
        <f>-SUM(H161:H172)</f>
        <v>-37.064238079530533</v>
      </c>
      <c r="I173" s="170">
        <f>-SUM(I161:I172)</f>
        <v>-37.064238079530533</v>
      </c>
      <c r="J173" s="170">
        <f>-SUM(J161:J172)</f>
        <v>-37.064238079530533</v>
      </c>
      <c r="K173" s="170">
        <f>-SUM(K161:K172)</f>
        <v>-37.064238079530533</v>
      </c>
      <c r="L173" s="170">
        <f>-SUM(L161:L172)</f>
        <v>-37.064238079530533</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Low Voltage Services</v>
      </c>
      <c r="D174" s="166"/>
      <c r="E174" s="34" t="s">
        <v>28</v>
      </c>
      <c r="F174" s="33"/>
      <c r="G174" s="181"/>
      <c r="H174" s="69">
        <f>IF(H$3&gt;A11remlife,A11value-SUM($G174:G174),IF(A11remlife="N/A","n/a",A11value/A11remlife))</f>
        <v>23.000245715287395</v>
      </c>
      <c r="I174" s="69">
        <f>IF(I$3&gt;A11remlife,A11value-SUM($G174:H174),IF(A11remlife="N/A","n/a",A11value/A11remlife))</f>
        <v>23.000245715287395</v>
      </c>
      <c r="J174" s="69">
        <f>IF(J$3&gt;A11remlife,A11value-SUM($G174:I174),IF(A11remlife="N/A","n/a",A11value/A11remlife))</f>
        <v>23.000245715287395</v>
      </c>
      <c r="K174" s="69">
        <f>IF(K$3&gt;A11remlife,A11value-SUM($G174:J174),IF(A11remlife="N/A","n/a",A11value/A11remlife))</f>
        <v>23.000245715287395</v>
      </c>
      <c r="L174" s="69">
        <f>IF(L$3&gt;A11remlife,A11value-SUM($G174:K174),IF(A11remlife="N/A","n/a",A11value/A11remlife))</f>
        <v>1.3561511388504215</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48" t="s">
        <v>87</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49"/>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49"/>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49"/>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49"/>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49"/>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49"/>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49"/>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49"/>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49"/>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49"/>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Low Voltage Services</v>
      </c>
      <c r="E186" s="9"/>
      <c r="F186" s="9"/>
      <c r="G186" s="126"/>
      <c r="H186" s="170">
        <f>-SUM(H174:H185)</f>
        <v>-23.000245715287395</v>
      </c>
      <c r="I186" s="170">
        <f>-SUM(I174:I185)</f>
        <v>-23.000245715287395</v>
      </c>
      <c r="J186" s="170">
        <f>-SUM(J174:J185)</f>
        <v>-23.000245715287395</v>
      </c>
      <c r="K186" s="170">
        <f>-SUM(K174:K185)</f>
        <v>-23.000245715287395</v>
      </c>
      <c r="L186" s="170">
        <f>-SUM(L174:L185)</f>
        <v>-1.3561511388504215</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Metering</v>
      </c>
      <c r="D187" s="166"/>
      <c r="E187" s="34" t="s">
        <v>28</v>
      </c>
      <c r="F187" s="33"/>
      <c r="G187" s="181"/>
      <c r="H187" s="69">
        <f>IF(H$3&gt;A12remlife,A12value-SUM($G187:G187),IF(A12remlife="N/A","n/a",A12value/A12remlife))</f>
        <v>13.172531064819134</v>
      </c>
      <c r="I187" s="69">
        <f>IF(I$3&gt;A12remlife,A12value-SUM($G187:H187),IF(A12remlife="N/A","n/a",A12value/A12remlife))</f>
        <v>13.172531064819134</v>
      </c>
      <c r="J187" s="69">
        <f>IF(J$3&gt;A12remlife,A12value-SUM($G187:I187),IF(A12remlife="N/A","n/a",A12value/A12remlife))</f>
        <v>13.172531064819134</v>
      </c>
      <c r="K187" s="69">
        <f>IF(K$3&gt;A12remlife,A12value-SUM($G187:J187),IF(A12remlife="N/A","n/a",A12value/A12remlife))</f>
        <v>13.172531064819134</v>
      </c>
      <c r="L187" s="69">
        <f>IF(L$3&gt;A12remlife,A12value-SUM($G187:K187),IF(A12remlife="N/A","n/a",A12value/A12remlife))</f>
        <v>13.172531064819134</v>
      </c>
      <c r="M187" s="69">
        <f>IF(M$3&gt;A12remlife,A12value-SUM($G187:L187),IF(A12remlife="N/A","n/a",A12value/A12remlife))</f>
        <v>0.14246667590433049</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48" t="s">
        <v>87</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49"/>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49"/>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49"/>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49"/>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49"/>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49"/>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49"/>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49"/>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49"/>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49"/>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Metering</v>
      </c>
      <c r="E199" s="9"/>
      <c r="F199" s="9"/>
      <c r="G199" s="126"/>
      <c r="H199" s="170">
        <f>-SUM(H187:H198)</f>
        <v>-13.172531064819134</v>
      </c>
      <c r="I199" s="170">
        <f>-SUM(I187:I198)</f>
        <v>-13.172531064819134</v>
      </c>
      <c r="J199" s="170">
        <f>-SUM(J187:J198)</f>
        <v>-13.172531064819134</v>
      </c>
      <c r="K199" s="170">
        <f>-SUM(K187:K198)</f>
        <v>-13.172531064819134</v>
      </c>
      <c r="L199" s="170">
        <f>-SUM(L187:L198)</f>
        <v>-13.172531064819134</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Communications – Pilot Wires </v>
      </c>
      <c r="D200" s="166"/>
      <c r="E200" s="34" t="s">
        <v>28</v>
      </c>
      <c r="F200" s="33"/>
      <c r="G200" s="181"/>
      <c r="H200" s="69">
        <f>IF(H$3&gt;A13remlife,A13value-SUM($G200:G200),IF(A13remlife="N/A","n/a",A13value/A13remlife))</f>
        <v>4.0306996995701567</v>
      </c>
      <c r="I200" s="69">
        <f>IF(I$3&gt;A13remlife,A13value-SUM($G200:H200),IF(A13remlife="N/A","n/a",A13value/A13remlife))</f>
        <v>4.0306996995701567</v>
      </c>
      <c r="J200" s="69">
        <f>IF(J$3&gt;A13remlife,A13value-SUM($G200:I200),IF(A13remlife="N/A","n/a",A13value/A13remlife))</f>
        <v>4.0306996995701567</v>
      </c>
      <c r="K200" s="69">
        <f>IF(K$3&gt;A13remlife,A13value-SUM($G200:J200),IF(A13remlife="N/A","n/a",A13value/A13remlife))</f>
        <v>4.0306996995701567</v>
      </c>
      <c r="L200" s="69">
        <f>IF(L$3&gt;A13remlife,A13value-SUM($G200:K200),IF(A13remlife="N/A","n/a",A13value/A13remlife))</f>
        <v>4.0306996995701567</v>
      </c>
      <c r="M200" s="69">
        <f>IF(M$3&gt;A13remlife,A13value-SUM($G200:L200),IF(A13remlife="N/A","n/a",A13value/A13remlife))</f>
        <v>4.0306996995701567</v>
      </c>
      <c r="N200" s="69">
        <f>IF(N$3&gt;A13remlife,A13value-SUM($G200:M200),IF(A13remlife="N/A","n/a",A13value/A13remlife))</f>
        <v>4.0306996995701567</v>
      </c>
      <c r="O200" s="69">
        <f>IF(O$3&gt;A13remlife,A13value-SUM($G200:N200),IF(A13remlife="N/A","n/a",A13value/A13remlife))</f>
        <v>4.0306996995701567</v>
      </c>
      <c r="P200" s="69">
        <f>IF(P$3&gt;A13remlife,A13value-SUM($G200:O200),IF(A13remlife="N/A","n/a",A13value/A13remlife))</f>
        <v>4.0306996995701567</v>
      </c>
      <c r="Q200" s="69">
        <f>IF(Q$3&gt;A13remlife,A13value-SUM($G200:P200),IF(A13remlife="N/A","n/a",A13value/A13remlife))</f>
        <v>4.0306996995701567</v>
      </c>
      <c r="R200" s="69"/>
      <c r="S200" s="105"/>
      <c r="T200" s="105"/>
      <c r="U200" s="105"/>
      <c r="V200" s="105"/>
      <c r="W200" s="105"/>
      <c r="X200" s="105"/>
      <c r="Y200" s="105"/>
      <c r="Z200" s="105"/>
      <c r="AA200" s="105"/>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48" t="s">
        <v>87</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49"/>
      <c r="F202" s="88">
        <v>1</v>
      </c>
      <c r="G202" s="126"/>
      <c r="H202" s="150"/>
      <c r="I202" s="315"/>
      <c r="J202" s="315"/>
      <c r="K202" s="315"/>
      <c r="L202" s="315"/>
      <c r="M202" s="315"/>
      <c r="N202" s="315"/>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49"/>
      <c r="F203" s="88">
        <v>2</v>
      </c>
      <c r="G203" s="126"/>
      <c r="H203" s="151"/>
      <c r="I203" s="316"/>
      <c r="J203" s="315"/>
      <c r="K203" s="315"/>
      <c r="L203" s="315"/>
      <c r="M203" s="315"/>
      <c r="N203" s="315"/>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49"/>
      <c r="F204" s="88">
        <v>3</v>
      </c>
      <c r="G204" s="126"/>
      <c r="H204" s="151"/>
      <c r="I204" s="315"/>
      <c r="J204" s="316"/>
      <c r="K204" s="315"/>
      <c r="L204" s="315"/>
      <c r="M204" s="315"/>
      <c r="N204" s="315"/>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49"/>
      <c r="F205" s="88">
        <v>4</v>
      </c>
      <c r="G205" s="126"/>
      <c r="H205" s="151"/>
      <c r="I205" s="315"/>
      <c r="J205" s="315"/>
      <c r="K205" s="316"/>
      <c r="L205" s="315"/>
      <c r="M205" s="315"/>
      <c r="N205" s="315"/>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49"/>
      <c r="F206" s="88">
        <v>5</v>
      </c>
      <c r="G206" s="27"/>
      <c r="H206" s="151"/>
      <c r="I206" s="315"/>
      <c r="J206" s="315"/>
      <c r="K206" s="315"/>
      <c r="L206" s="316"/>
      <c r="M206" s="315"/>
      <c r="N206" s="315"/>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49"/>
      <c r="F207" s="88">
        <v>6</v>
      </c>
      <c r="G207" s="27"/>
      <c r="H207" s="151"/>
      <c r="I207" s="315"/>
      <c r="J207" s="315"/>
      <c r="K207" s="315"/>
      <c r="L207" s="315"/>
      <c r="M207" s="316"/>
      <c r="N207" s="315"/>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49"/>
      <c r="F208" s="88">
        <v>7</v>
      </c>
      <c r="G208" s="27"/>
      <c r="H208" s="151"/>
      <c r="I208" s="315"/>
      <c r="J208" s="315"/>
      <c r="K208" s="315"/>
      <c r="L208" s="315"/>
      <c r="M208" s="315"/>
      <c r="N208" s="316"/>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49"/>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49"/>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49"/>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 xml:space="preserve">Communications – Pilot Wires </v>
      </c>
      <c r="E212" s="9"/>
      <c r="F212" s="9"/>
      <c r="G212" s="126"/>
      <c r="H212" s="170">
        <f>-SUM(H200:H211)</f>
        <v>-4.0306996995701567</v>
      </c>
      <c r="I212" s="170">
        <f>-SUM(I200:I211)</f>
        <v>-4.0306996995701567</v>
      </c>
      <c r="J212" s="170">
        <f>-SUM(J200:J211)</f>
        <v>-4.0306996995701567</v>
      </c>
      <c r="K212" s="170">
        <f>-SUM(K200:K211)</f>
        <v>-4.0306996995701567</v>
      </c>
      <c r="L212" s="170">
        <f>-SUM(L200:L211)</f>
        <v>-4.0306996995701567</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Generation Assets</v>
      </c>
      <c r="D213" s="166"/>
      <c r="E213" s="34" t="s">
        <v>28</v>
      </c>
      <c r="F213" s="33"/>
      <c r="G213" s="181"/>
      <c r="H213" s="69">
        <f>IF(H$3&gt;A14remlife,A14value-SUM($G213:G213),IF(A14remlife="N/A","n/a",A14value/A14remlife))</f>
        <v>0.61824118277505113</v>
      </c>
      <c r="I213" s="69">
        <f>IF(I$3&gt;A14remlife,A14value-SUM($G213:H213),IF(A14remlife="N/A","n/a",A14value/A14remlife))</f>
        <v>0.61824118277505113</v>
      </c>
      <c r="J213" s="69">
        <f>IF(J$3&gt;A14remlife,A14value-SUM($G213:I213),IF(A14remlife="N/A","n/a",A14value/A14remlife))</f>
        <v>0.61824118277505113</v>
      </c>
      <c r="K213" s="69">
        <f>IF(K$3&gt;A14remlife,A14value-SUM($G213:J213),IF(A14remlife="N/A","n/a",A14value/A14remlife))</f>
        <v>0.61824118277505113</v>
      </c>
      <c r="L213" s="69">
        <f>IF(L$3&gt;A14remlife,A14value-SUM($G213:K213),IF(A14remlife="N/A","n/a",A14value/A14remlife))</f>
        <v>0.61824118277505113</v>
      </c>
      <c r="M213" s="69">
        <f>IF(M$3&gt;A14remlife,A14value-SUM($G213:L213),IF(A14remlife="N/A","n/a",A14value/A14remlife))</f>
        <v>0.37646408612474414</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48" t="s">
        <v>87</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49"/>
      <c r="F215" s="88">
        <v>1</v>
      </c>
      <c r="G215" s="126"/>
      <c r="H215" s="150"/>
      <c r="I215" s="315"/>
      <c r="J215" s="315"/>
      <c r="K215" s="315"/>
      <c r="L215" s="315"/>
      <c r="M215" s="315"/>
      <c r="N215" s="315"/>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49"/>
      <c r="F216" s="88">
        <v>2</v>
      </c>
      <c r="G216" s="126"/>
      <c r="H216" s="151"/>
      <c r="I216" s="316"/>
      <c r="J216" s="315"/>
      <c r="K216" s="315"/>
      <c r="L216" s="315"/>
      <c r="M216" s="315"/>
      <c r="N216" s="315"/>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49"/>
      <c r="F217" s="88">
        <v>3</v>
      </c>
      <c r="G217" s="126"/>
      <c r="H217" s="151"/>
      <c r="I217" s="315"/>
      <c r="J217" s="316"/>
      <c r="K217" s="315"/>
      <c r="L217" s="315"/>
      <c r="M217" s="315"/>
      <c r="N217" s="315"/>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49"/>
      <c r="F218" s="88">
        <v>4</v>
      </c>
      <c r="G218" s="126"/>
      <c r="H218" s="151"/>
      <c r="I218" s="315"/>
      <c r="J218" s="315"/>
      <c r="K218" s="316"/>
      <c r="L218" s="315"/>
      <c r="M218" s="315"/>
      <c r="N218" s="315"/>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49"/>
      <c r="F219" s="88">
        <v>5</v>
      </c>
      <c r="G219" s="27"/>
      <c r="H219" s="151"/>
      <c r="I219" s="315"/>
      <c r="J219" s="315"/>
      <c r="K219" s="315"/>
      <c r="L219" s="316"/>
      <c r="M219" s="315"/>
      <c r="N219" s="315"/>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49"/>
      <c r="F220" s="88">
        <v>6</v>
      </c>
      <c r="G220" s="27"/>
      <c r="H220" s="151"/>
      <c r="I220" s="315"/>
      <c r="J220" s="315"/>
      <c r="K220" s="315"/>
      <c r="L220" s="315"/>
      <c r="M220" s="316"/>
      <c r="N220" s="315"/>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49"/>
      <c r="F221" s="88">
        <v>7</v>
      </c>
      <c r="G221" s="27"/>
      <c r="H221" s="151"/>
      <c r="I221" s="315"/>
      <c r="J221" s="315"/>
      <c r="K221" s="315"/>
      <c r="L221" s="315"/>
      <c r="M221" s="315"/>
      <c r="N221" s="316"/>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49"/>
      <c r="F222" s="88">
        <v>8</v>
      </c>
      <c r="G222" s="27"/>
      <c r="H222" s="151"/>
      <c r="I222" s="315"/>
      <c r="J222" s="315"/>
      <c r="K222" s="315"/>
      <c r="L222" s="315"/>
      <c r="M222" s="315"/>
      <c r="N222" s="315"/>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49"/>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49"/>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t="str">
        <f>Asset14</f>
        <v>Generation Assets</v>
      </c>
      <c r="E225" s="9"/>
      <c r="F225" s="9"/>
      <c r="G225" s="126"/>
      <c r="H225" s="170">
        <f>-SUM(H213:H224)</f>
        <v>-0.61824118277505113</v>
      </c>
      <c r="I225" s="170">
        <f>-SUM(I213:I224)</f>
        <v>-0.61824118277505113</v>
      </c>
      <c r="J225" s="170">
        <f>-SUM(J213:J224)</f>
        <v>-0.61824118277505113</v>
      </c>
      <c r="K225" s="170">
        <f>-SUM(K213:K224)</f>
        <v>-0.61824118277505113</v>
      </c>
      <c r="L225" s="170">
        <f>-SUM(L213:L224)</f>
        <v>-0.61824118277505113</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Street Lighting</v>
      </c>
      <c r="D226" s="166"/>
      <c r="E226" s="34" t="s">
        <v>28</v>
      </c>
      <c r="F226" s="33"/>
      <c r="G226" s="181"/>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48" t="s">
        <v>87</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49"/>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49"/>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49"/>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49"/>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49"/>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49"/>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49"/>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49"/>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49"/>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49"/>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t="str">
        <f>Asset15</f>
        <v>Street Lighting</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Other Equipment</v>
      </c>
      <c r="D239" s="166"/>
      <c r="E239" s="34" t="s">
        <v>28</v>
      </c>
      <c r="F239" s="33"/>
      <c r="G239" s="181"/>
      <c r="H239" s="69">
        <f>IF(H$3&gt;A16remlife,A16value-SUM($G239:G239),IF(A16remlife="N/A","n/a",A16value/A16remlife))</f>
        <v>0.49419792202265617</v>
      </c>
      <c r="I239" s="69">
        <f>IF(I$3&gt;A16remlife,A16value-SUM($G239:H239),IF(A16remlife="N/A","n/a",A16value/A16remlife))</f>
        <v>0.49419792202265617</v>
      </c>
      <c r="J239" s="69">
        <f>IF(J$3&gt;A16remlife,A16value-SUM($G239:I239),IF(A16remlife="N/A","n/a",A16value/A16remlife))</f>
        <v>0.49419792202265617</v>
      </c>
      <c r="K239" s="69">
        <f>IF(K$3&gt;A16remlife,A16value-SUM($G239:J239),IF(A16remlife="N/A","n/a",A16value/A16remlife))</f>
        <v>0.49419792202265617</v>
      </c>
      <c r="L239" s="69">
        <f>IF(L$3&gt;A16remlife,A16value-SUM($G239:K239),IF(A16remlife="N/A","n/a",A16value/A16remlife))</f>
        <v>0.49419792202265617</v>
      </c>
      <c r="M239" s="69">
        <f>IF(M$3&gt;A16remlife,A16value-SUM($G239:L239),IF(A16remlife="N/A","n/a",A16value/A16remlife))</f>
        <v>0.49419792202265617</v>
      </c>
      <c r="N239" s="69">
        <f>IF(N$3&gt;A16remlife,A16value-SUM($G239:M239),IF(A16remlife="N/A","n/a",A16value/A16remlife))</f>
        <v>0.49419792202265617</v>
      </c>
      <c r="O239" s="69">
        <f>IF(O$3&gt;A16remlife,A16value-SUM($G239:N239),IF(A16remlife="N/A","n/a",A16value/A16remlife))</f>
        <v>0.49419792202265617</v>
      </c>
      <c r="P239" s="69">
        <f>IF(P$3&gt;A16remlife,A16value-SUM($G239:O239),IF(A16remlife="N/A","n/a",A16value/A16remlife))</f>
        <v>0.49419792202265617</v>
      </c>
      <c r="Q239" s="69">
        <f>IF(Q$3&gt;A16remlife,A16value-SUM($G239:P239),IF(A16remlife="N/A","n/a",A16value/A16remlife))</f>
        <v>0.49419792202265617</v>
      </c>
      <c r="R239" s="69"/>
      <c r="S239" s="105"/>
      <c r="T239" s="105"/>
      <c r="U239" s="105"/>
      <c r="V239" s="105"/>
      <c r="W239" s="105"/>
      <c r="X239" s="105"/>
      <c r="Y239" s="105"/>
      <c r="Z239" s="105"/>
      <c r="AA239" s="105"/>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48" t="s">
        <v>87</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49"/>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49"/>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49"/>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49"/>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49"/>
      <c r="F245" s="88">
        <v>5</v>
      </c>
      <c r="G245" s="27"/>
      <c r="H245" s="151"/>
      <c r="I245" s="153"/>
      <c r="J245" s="153"/>
      <c r="K245" s="153"/>
      <c r="L245" s="152"/>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49"/>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49"/>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49"/>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49"/>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49"/>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t="str">
        <f>Asset16</f>
        <v>Other Equipment</v>
      </c>
      <c r="E251" s="9"/>
      <c r="F251" s="9"/>
      <c r="G251" s="126"/>
      <c r="H251" s="170">
        <f>-SUM(H239:H250)</f>
        <v>-0.49419792202265617</v>
      </c>
      <c r="I251" s="170">
        <f>-SUM(I239:I250)</f>
        <v>-0.49419792202265617</v>
      </c>
      <c r="J251" s="170">
        <f>-SUM(J239:J250)</f>
        <v>-0.49419792202265617</v>
      </c>
      <c r="K251" s="170">
        <f>-SUM(K239:K250)</f>
        <v>-0.49419792202265617</v>
      </c>
      <c r="L251" s="170">
        <f>-SUM(L239:L250)</f>
        <v>-0.49419792202265617</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Control Centre - SCADA</v>
      </c>
      <c r="D252" s="166"/>
      <c r="E252" s="34" t="s">
        <v>28</v>
      </c>
      <c r="F252" s="33"/>
      <c r="G252" s="181"/>
      <c r="H252" s="69">
        <f>IF(H$3&gt;A17remlife,A17value-SUM($G252:G252),IF(A17remlife="N/A","n/a",A17value/A17remlife))</f>
        <v>12.843601796666317</v>
      </c>
      <c r="I252" s="69">
        <f>IF(I$3&gt;A17remlife,A17value-SUM($G252:H252),IF(A17remlife="N/A","n/a",A17value/A17remlife))</f>
        <v>12.843601796666317</v>
      </c>
      <c r="J252" s="69">
        <f>IF(J$3&gt;A17remlife,A17value-SUM($G252:I252),IF(A17remlife="N/A","n/a",A17value/A17remlife))</f>
        <v>12.843601796666317</v>
      </c>
      <c r="K252" s="69">
        <f>IF(K$3&gt;A17remlife,A17value-SUM($G252:J252),IF(A17remlife="N/A","n/a",A17value/A17remlife))</f>
        <v>5.5616926100010531</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48" t="s">
        <v>87</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49"/>
      <c r="F254" s="88">
        <v>1</v>
      </c>
      <c r="G254" s="126"/>
      <c r="H254" s="150"/>
      <c r="I254" s="315"/>
      <c r="J254" s="315"/>
      <c r="K254" s="315"/>
      <c r="L254" s="315"/>
      <c r="M254" s="315"/>
      <c r="N254" s="315"/>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49"/>
      <c r="F255" s="88">
        <v>2</v>
      </c>
      <c r="G255" s="126"/>
      <c r="H255" s="151"/>
      <c r="I255" s="316"/>
      <c r="J255" s="315"/>
      <c r="K255" s="315"/>
      <c r="L255" s="315"/>
      <c r="M255" s="315"/>
      <c r="N255" s="315"/>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49"/>
      <c r="F256" s="88">
        <v>3</v>
      </c>
      <c r="G256" s="126"/>
      <c r="H256" s="151"/>
      <c r="I256" s="315"/>
      <c r="J256" s="316"/>
      <c r="K256" s="315"/>
      <c r="L256" s="315"/>
      <c r="M256" s="315"/>
      <c r="N256" s="315"/>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49"/>
      <c r="F257" s="88">
        <v>4</v>
      </c>
      <c r="G257" s="126"/>
      <c r="H257" s="151"/>
      <c r="I257" s="315"/>
      <c r="J257" s="315"/>
      <c r="K257" s="316"/>
      <c r="L257" s="315"/>
      <c r="M257" s="315"/>
      <c r="N257" s="315"/>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49"/>
      <c r="F258" s="88">
        <v>5</v>
      </c>
      <c r="G258" s="27"/>
      <c r="H258" s="151"/>
      <c r="I258" s="315"/>
      <c r="J258" s="315"/>
      <c r="K258" s="315"/>
      <c r="L258" s="316"/>
      <c r="M258" s="315"/>
      <c r="N258" s="315"/>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49"/>
      <c r="F259" s="88">
        <v>6</v>
      </c>
      <c r="G259" s="27"/>
      <c r="H259" s="151"/>
      <c r="I259" s="315"/>
      <c r="J259" s="315"/>
      <c r="K259" s="315"/>
      <c r="L259" s="315"/>
      <c r="M259" s="316"/>
      <c r="N259" s="315"/>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49"/>
      <c r="F260" s="88">
        <v>7</v>
      </c>
      <c r="G260" s="27"/>
      <c r="H260" s="151"/>
      <c r="I260" s="315"/>
      <c r="J260" s="315"/>
      <c r="K260" s="315"/>
      <c r="L260" s="315"/>
      <c r="M260" s="315"/>
      <c r="N260" s="316"/>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49"/>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49"/>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49"/>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t="str">
        <f>Asset17</f>
        <v>Control Centre - SCADA</v>
      </c>
      <c r="E264" s="9"/>
      <c r="F264" s="9"/>
      <c r="G264" s="126"/>
      <c r="H264" s="170">
        <f>-SUM(H252:H263)</f>
        <v>-12.843601796666317</v>
      </c>
      <c r="I264" s="170">
        <f>-SUM(I252:I263)</f>
        <v>-12.843601796666317</v>
      </c>
      <c r="J264" s="170">
        <f>-SUM(J252:J263)</f>
        <v>-12.843601796666317</v>
      </c>
      <c r="K264" s="170">
        <f>-SUM(K252:K263)</f>
        <v>-5.5616926100010531</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Land &amp; Easements (System)</v>
      </c>
      <c r="D265" s="166"/>
      <c r="E265" s="34" t="s">
        <v>28</v>
      </c>
      <c r="F265" s="33"/>
      <c r="G265" s="181"/>
      <c r="H265" s="69" t="str">
        <f>IF(H$3&gt;A18remlife,A18value-SUM($G265:G265),IF(A18remlife="N/A","n/a",A18value/A18remlife))</f>
        <v>n/a</v>
      </c>
      <c r="I265" s="69" t="str">
        <f>IF(I$3&gt;A18remlife,A18value-SUM($G265:H265),IF(A18remlife="N/A","n/a",A18value/A18remlife))</f>
        <v>n/a</v>
      </c>
      <c r="J265" s="69" t="str">
        <f>IF(J$3&gt;A18remlife,A18value-SUM($G265:I265),IF(A18remlife="N/A","n/a",A18value/A18remlife))</f>
        <v>n/a</v>
      </c>
      <c r="K265" s="69" t="str">
        <f>IF(K$3&gt;A18remlife,A18value-SUM($G265:J265),IF(A18remlife="N/A","n/a",A18value/A18remlife))</f>
        <v>n/a</v>
      </c>
      <c r="L265" s="69" t="str">
        <f>IF(L$3&gt;A18remlife,A18value-SUM($G265:K265),IF(A18remlife="N/A","n/a",A18value/A18remlife))</f>
        <v>n/a</v>
      </c>
      <c r="M265" s="69" t="str">
        <f>IF(M$3&gt;A18remlife,A18value-SUM($G265:L265),IF(A18remlife="N/A","n/a",A18value/A18remlife))</f>
        <v>n/a</v>
      </c>
      <c r="N265" s="69" t="str">
        <f>IF(N$3&gt;A18remlife,A18value-SUM($G265:M265),IF(A18remlife="N/A","n/a",A18value/A18remlife))</f>
        <v>n/a</v>
      </c>
      <c r="O265" s="69" t="str">
        <f>IF(O$3&gt;A18remlife,A18value-SUM($G265:N265),IF(A18remlife="N/A","n/a",A18value/A18remlife))</f>
        <v>n/a</v>
      </c>
      <c r="P265" s="69" t="str">
        <f>IF(P$3&gt;A18remlife,A18value-SUM($G265:O265),IF(A18remlife="N/A","n/a",A18value/A18remlife))</f>
        <v>n/a</v>
      </c>
      <c r="Q265" s="69" t="str">
        <f>IF(Q$3&gt;A18remlife,A18value-SUM($G265:P265),IF(A18remlife="N/A","n/a",A18value/A18remlife))</f>
        <v>n/a</v>
      </c>
      <c r="R265" s="69"/>
      <c r="S265" s="105"/>
      <c r="T265" s="105"/>
      <c r="U265" s="105"/>
      <c r="V265" s="105"/>
      <c r="W265" s="105"/>
      <c r="X265" s="105"/>
      <c r="Y265" s="105"/>
      <c r="Z265" s="105"/>
      <c r="AA265" s="105"/>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48" t="s">
        <v>87</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49"/>
      <c r="F267" s="88">
        <v>1</v>
      </c>
      <c r="G267" s="126"/>
      <c r="H267" s="150"/>
      <c r="I267" s="70" t="str">
        <f>IF(A18stdlife="n/a","n/a",IF(I$3&gt;(A18stdlife+$F267),(Input!$H$160*(1+vanilla1)^0.5)-SUM($H267:H267),(Input!$H$160*(1+vanilla1)^0.5)/A18stdlife))</f>
        <v>n/a</v>
      </c>
      <c r="J267" s="70" t="str">
        <f>IF(A18stdlife="n/a","n/a",IF(J$3&gt;(A18stdlife+$F267),(Input!$H$160*(1+vanilla1)^0.5)-SUM($H267:I267),(Input!$H$160*(1+vanilla1)^0.5)/A18stdlife))</f>
        <v>n/a</v>
      </c>
      <c r="K267" s="70" t="str">
        <f>IF(A18stdlife="n/a","n/a",IF(K$3&gt;(A18stdlife+$F267),(Input!$H$160*(1+vanilla1)^0.5)-SUM($H267:J267),(Input!$H$160*(1+vanilla1)^0.5)/A18stdlife))</f>
        <v>n/a</v>
      </c>
      <c r="L267" s="70" t="str">
        <f>IF(A18stdlife="n/a","n/a",IF(L$3&gt;(A18stdlife+$F267),(Input!$H$160*(1+vanilla1)^0.5)-SUM($H267:K267),(Input!$H$160*(1+vanilla1)^0.5)/A18stdlife))</f>
        <v>n/a</v>
      </c>
      <c r="M267" s="70" t="str">
        <f>IF(A18stdlife="n/a","n/a",IF(M$3&gt;(A18stdlife+$F267),(Input!$H$160*(1+vanilla1)^0.5)-SUM($H267:L267),(Input!$H$160*(1+vanilla1)^0.5)/A18stdlife))</f>
        <v>n/a</v>
      </c>
      <c r="N267" s="70" t="str">
        <f>IF(A18stdlife="n/a","n/a",IF(N$3&gt;(A18stdlife+$F267),(Input!$H$160*(1+vanilla1)^0.5)-SUM($H267:M267),(Input!$H$160*(1+vanilla1)^0.5)/A18stdlife))</f>
        <v>n/a</v>
      </c>
      <c r="O267" s="70" t="str">
        <f>IF(A18stdlife="n/a","n/a",IF(O$3&gt;(A18stdlife+$F267),(Input!$H$160*(1+vanilla1)^0.5)-SUM($H267:N267),(Input!$H$160*(1+vanilla1)^0.5)/A18stdlife))</f>
        <v>n/a</v>
      </c>
      <c r="P267" s="70" t="str">
        <f>IF(A18stdlife="n/a","n/a",IF(P$3&gt;(A18stdlife+$F267),(Input!$H$160*(1+vanilla1)^0.5)-SUM($H267:O267),(Input!$H$160*(1+vanilla1)^0.5)/A18stdlife))</f>
        <v>n/a</v>
      </c>
      <c r="Q267" s="70" t="str">
        <f>IF(A18stdlife="n/a","n/a",IF(Q$3&gt;(A18stdlife+$F267),(Input!$H$160*(1+vanilla1)^0.5)-SUM($H267:P267),(Input!$H$160*(1+vanilla1)^0.5)/A18stdlife))</f>
        <v>n/a</v>
      </c>
      <c r="R267" s="70"/>
      <c r="S267" s="105"/>
      <c r="T267" s="105"/>
      <c r="U267" s="105"/>
      <c r="V267" s="105"/>
      <c r="W267" s="105"/>
      <c r="X267" s="105"/>
      <c r="Y267" s="105"/>
      <c r="Z267" s="105"/>
      <c r="AA267" s="105"/>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49"/>
      <c r="F268" s="88">
        <v>2</v>
      </c>
      <c r="G268" s="126"/>
      <c r="H268" s="151"/>
      <c r="I268" s="152"/>
      <c r="J268" s="70" t="str">
        <f>IF(A18stdlife="n/a","n/a",IF(J$3&gt;(A18stdlife+$F268),(Input!$I$160*(1+vanilla2)^0.5)-SUM($I268:I268),(Input!$I$160*(1+vanilla2)^0.5)/A18stdlife))</f>
        <v>n/a</v>
      </c>
      <c r="K268" s="70" t="str">
        <f>IF(A18stdlife="n/a","n/a",IF(K$3&gt;(A18stdlife+$F268),(Input!$I$160*(1+vanilla2)^0.5)-SUM($I268:J268),(Input!$I$160*(1+vanilla2)^0.5)/A18stdlife))</f>
        <v>n/a</v>
      </c>
      <c r="L268" s="70" t="str">
        <f>IF(A18stdlife="n/a","n/a",IF(L$3&gt;(A18stdlife+$F268),(Input!$I$160*(1+vanilla2)^0.5)-SUM($I268:K268),(Input!$I$160*(1+vanilla2)^0.5)/A18stdlife))</f>
        <v>n/a</v>
      </c>
      <c r="M268" s="70" t="str">
        <f>IF(A18stdlife="n/a","n/a",IF(M$3&gt;(A18stdlife+$F268),(Input!$I$160*(1+vanilla2)^0.5)-SUM($I268:L268),(Input!$I$160*(1+vanilla2)^0.5)/A18stdlife))</f>
        <v>n/a</v>
      </c>
      <c r="N268" s="70" t="str">
        <f>IF(A18stdlife="n/a","n/a",IF(N$3&gt;(A18stdlife+$F268),(Input!$I$160*(1+vanilla2)^0.5)-SUM($I268:M268),(Input!$I$160*(1+vanilla2)^0.5)/A18stdlife))</f>
        <v>n/a</v>
      </c>
      <c r="O268" s="70" t="str">
        <f>IF(A18stdlife="n/a","n/a",IF(O$3&gt;(A18stdlife+$F268),(Input!$I$160*(1+vanilla2)^0.5)-SUM($I268:N268),(Input!$I$160*(1+vanilla2)^0.5)/A18stdlife))</f>
        <v>n/a</v>
      </c>
      <c r="P268" s="70" t="str">
        <f>IF(A18stdlife="n/a","n/a",IF(P$3&gt;(A18stdlife+$F268),(Input!$I$160*(1+vanilla2)^0.5)-SUM($I268:O268),(Input!$I$160*(1+vanilla2)^0.5)/A18stdlife))</f>
        <v>n/a</v>
      </c>
      <c r="Q268" s="70" t="str">
        <f>IF(A18stdlife="n/a","n/a",IF(Q$3&gt;(A18stdlife+$F268),(Input!$I$160*(1+vanilla2)^0.5)-SUM($I268:P268),(Input!$I$160*(1+vanilla2)^0.5)/A18stdlife))</f>
        <v>n/a</v>
      </c>
      <c r="R268" s="70"/>
      <c r="S268" s="105"/>
      <c r="T268" s="105"/>
      <c r="U268" s="105"/>
      <c r="V268" s="105"/>
      <c r="W268" s="105"/>
      <c r="X268" s="105"/>
      <c r="Y268" s="105"/>
      <c r="Z268" s="105"/>
      <c r="AA268" s="105"/>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49"/>
      <c r="F269" s="88">
        <v>3</v>
      </c>
      <c r="G269" s="126"/>
      <c r="H269" s="151"/>
      <c r="I269" s="153"/>
      <c r="J269" s="152"/>
      <c r="K269" s="70" t="str">
        <f>IF(A18stdlife="n/a","n/a",IF(K$3&gt;(A18stdlife+$F269),(Input!$J$160*(1+vanilla3)^0.5)-SUM($J269:J269),(Input!$J$160*(1+vanilla3)^0.5)/A18stdlife))</f>
        <v>n/a</v>
      </c>
      <c r="L269" s="70" t="str">
        <f>IF(A18stdlife="n/a","n/a",IF(L$3&gt;(A18stdlife+$F269),(Input!$J$160*(1+vanilla3)^0.5)-SUM($J269:K269),(Input!$J$160*(1+vanilla3)^0.5)/A18stdlife))</f>
        <v>n/a</v>
      </c>
      <c r="M269" s="70" t="str">
        <f>IF(A18stdlife="n/a","n/a",IF(M$3&gt;(A18stdlife+$F269),(Input!$J$160*(1+vanilla3)^0.5)-SUM($J269:L269),(Input!$J$160*(1+vanilla3)^0.5)/A18stdlife))</f>
        <v>n/a</v>
      </c>
      <c r="N269" s="70" t="str">
        <f>IF(A18stdlife="n/a","n/a",IF(N$3&gt;(A18stdlife+$F269),(Input!$J$160*(1+vanilla3)^0.5)-SUM($J269:M269),(Input!$J$160*(1+vanilla3)^0.5)/A18stdlife))</f>
        <v>n/a</v>
      </c>
      <c r="O269" s="70" t="str">
        <f>IF(A18stdlife="n/a","n/a",IF(O$3&gt;(A18stdlife+$F269),(Input!$J$160*(1+vanilla3)^0.5)-SUM($J269:N269),(Input!$J$160*(1+vanilla3)^0.5)/A18stdlife))</f>
        <v>n/a</v>
      </c>
      <c r="P269" s="70" t="str">
        <f>IF(A18stdlife="n/a","n/a",IF(P$3&gt;(A18stdlife+$F269),(Input!$J$160*(1+vanilla3)^0.5)-SUM($J269:O269),(Input!$J$160*(1+vanilla3)^0.5)/A18stdlife))</f>
        <v>n/a</v>
      </c>
      <c r="Q269" s="70" t="str">
        <f>IF(A18stdlife="n/a","n/a",IF(Q$3&gt;(A18stdlife+$F269),(Input!$J$160*(1+vanilla3)^0.5)-SUM($J269:P269),(Input!$J$160*(1+vanilla3)^0.5)/A18stdlife))</f>
        <v>n/a</v>
      </c>
      <c r="R269" s="70"/>
      <c r="S269" s="105"/>
      <c r="T269" s="105"/>
      <c r="U269" s="105"/>
      <c r="V269" s="105"/>
      <c r="W269" s="105"/>
      <c r="X269" s="105"/>
      <c r="Y269" s="105"/>
      <c r="Z269" s="105"/>
      <c r="AA269" s="105"/>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49"/>
      <c r="F270" s="88">
        <v>4</v>
      </c>
      <c r="G270" s="126"/>
      <c r="H270" s="151"/>
      <c r="I270" s="153"/>
      <c r="J270" s="153"/>
      <c r="K270" s="152"/>
      <c r="L270" s="70" t="str">
        <f>IF(A18stdlife="n/a","n/a",IF(L$3&gt;(A18stdlife+$F270),(Input!$K$160*(1+vanilla4)^0.5)-SUM($K270:K270),(Input!$K$160*(1+vanilla4)^0.5)/A18stdlife))</f>
        <v>n/a</v>
      </c>
      <c r="M270" s="70" t="str">
        <f>IF(A18stdlife="n/a","n/a",IF(M$3&gt;(A18stdlife+$F270),(Input!$K$160*(1+vanilla4)^0.5)-SUM($K270:L270),(Input!$K$160*(1+vanilla4)^0.5)/A18stdlife))</f>
        <v>n/a</v>
      </c>
      <c r="N270" s="70" t="str">
        <f>IF(A18stdlife="n/a","n/a",IF(N$3&gt;(A18stdlife+$F270),(Input!$K$160*(1+vanilla4)^0.5)-SUM($K270:M270),(Input!$K$160*(1+vanilla4)^0.5)/A18stdlife))</f>
        <v>n/a</v>
      </c>
      <c r="O270" s="70" t="str">
        <f>IF(A18stdlife="n/a","n/a",IF(O$3&gt;(A18stdlife+$F270),(Input!$K$160*(1+vanilla4)^0.5)-SUM($K270:N270),(Input!$K$160*(1+vanilla4)^0.5)/A18stdlife))</f>
        <v>n/a</v>
      </c>
      <c r="P270" s="70" t="str">
        <f>IF(A18stdlife="n/a","n/a",IF(P$3&gt;(A18stdlife+$F270),(Input!$K$160*(1+vanilla4)^0.5)-SUM($K270:O270),(Input!$K$160*(1+vanilla4)^0.5)/A18stdlife))</f>
        <v>n/a</v>
      </c>
      <c r="Q270" s="70" t="str">
        <f>IF(A18stdlife="n/a","n/a",IF(Q$3&gt;(A18stdlife+$F270),(Input!$K$160*(1+vanilla4)^0.5)-SUM($K270:P270),(Input!$K$160*(1+vanilla4)^0.5)/A18stdlife))</f>
        <v>n/a</v>
      </c>
      <c r="R270" s="70"/>
      <c r="S270" s="105"/>
      <c r="T270" s="105"/>
      <c r="U270" s="105"/>
      <c r="V270" s="105"/>
      <c r="W270" s="105"/>
      <c r="X270" s="105"/>
      <c r="Y270" s="105"/>
      <c r="Z270" s="105"/>
      <c r="AA270" s="105"/>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49"/>
      <c r="F271" s="88">
        <v>5</v>
      </c>
      <c r="G271" s="27"/>
      <c r="H271" s="151"/>
      <c r="I271" s="153"/>
      <c r="J271" s="153"/>
      <c r="K271" s="153"/>
      <c r="L271" s="152"/>
      <c r="M271" s="70" t="str">
        <f>IF(A18stdlife="n/a","n/a",IF(M$3&gt;(A18stdlife+$F271),(Input!$L$160*(1+vanilla5)^0.5)-SUM($L271:L271),(Input!$L$160*(1+vanilla5)^0.5)/A18stdlife))</f>
        <v>n/a</v>
      </c>
      <c r="N271" s="70" t="str">
        <f>IF(A18stdlife="n/a","n/a",IF(N$3&gt;(A18stdlife+$F271),(Input!$L$160*(1+vanilla5)^0.5)-SUM($L271:M271),(Input!$L$160*(1+vanilla5)^0.5)/A18stdlife))</f>
        <v>n/a</v>
      </c>
      <c r="O271" s="70" t="str">
        <f>IF(A18stdlife="n/a","n/a",IF(O$3&gt;(A18stdlife+$F271),(Input!$L$160*(1+vanilla5)^0.5)-SUM($L271:N271),(Input!$L$160*(1+vanilla5)^0.5)/A18stdlife))</f>
        <v>n/a</v>
      </c>
      <c r="P271" s="70" t="str">
        <f>IF(A18stdlife="n/a","n/a",IF(P$3&gt;(A18stdlife+$F271),(Input!$L$160*(1+vanilla5)^0.5)-SUM($L271:O271),(Input!$L$160*(1+vanilla5)^0.5)/A18stdlife))</f>
        <v>n/a</v>
      </c>
      <c r="Q271" s="70" t="str">
        <f>IF(A18stdlife="n/a","n/a",IF(Q$3&gt;(A18stdlife+$F271),(Input!$L$160*(1+vanilla5)^0.5)-SUM($L271:P271),(Input!$L$160*(1+vanilla5)^0.5)/A18stdlife))</f>
        <v>n/a</v>
      </c>
      <c r="R271" s="70"/>
      <c r="S271" s="105"/>
      <c r="T271" s="105"/>
      <c r="U271" s="105"/>
      <c r="V271" s="105"/>
      <c r="W271" s="105"/>
      <c r="X271" s="105"/>
      <c r="Y271" s="105"/>
      <c r="Z271" s="105"/>
      <c r="AA271" s="105"/>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49"/>
      <c r="F272" s="88">
        <v>6</v>
      </c>
      <c r="G272" s="27"/>
      <c r="H272" s="151"/>
      <c r="I272" s="153"/>
      <c r="J272" s="153"/>
      <c r="K272" s="153"/>
      <c r="L272" s="153"/>
      <c r="M272" s="152"/>
      <c r="N272" s="70" t="str">
        <f>IF(A18stdlife="n/a","n/a",IF(N$3&gt;(A18stdlife+$F272),(Input!$M$160*(1+vanilla6)^0.5)-SUM($M272:M272),(Input!$M$160*(1+vanilla6)^0.5)/A18stdlife))</f>
        <v>n/a</v>
      </c>
      <c r="O272" s="70" t="str">
        <f>IF(A18stdlife="n/a","n/a",IF(O$3&gt;(A18stdlife+$F272),(Input!$M$160*(1+vanilla6)^0.5)-SUM($M272:N272),(Input!$M$160*(1+vanilla6)^0.5)/A18stdlife))</f>
        <v>n/a</v>
      </c>
      <c r="P272" s="70" t="str">
        <f>IF(A18stdlife="n/a","n/a",IF(P$3&gt;(A18stdlife+$F272),(Input!$M$160*(1+vanilla6)^0.5)-SUM($M272:O272),(Input!$M$160*(1+vanilla6)^0.5)/A18stdlife))</f>
        <v>n/a</v>
      </c>
      <c r="Q272" s="70" t="str">
        <f>IF(A18stdlife="n/a","n/a",IF(Q$3&gt;(A18stdlife+$F272),(Input!$M$160*(1+vanilla6)^0.5)-SUM($M272:P272),(Input!$M$160*(1+vanilla6)^0.5)/A18stdlife))</f>
        <v>n/a</v>
      </c>
      <c r="R272" s="70"/>
      <c r="S272" s="105"/>
      <c r="T272" s="105"/>
      <c r="U272" s="105"/>
      <c r="V272" s="105"/>
      <c r="W272" s="105"/>
      <c r="X272" s="105"/>
      <c r="Y272" s="105"/>
      <c r="Z272" s="105"/>
      <c r="AA272" s="105"/>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49"/>
      <c r="F273" s="88">
        <v>7</v>
      </c>
      <c r="G273" s="27"/>
      <c r="H273" s="151"/>
      <c r="I273" s="153"/>
      <c r="J273" s="153"/>
      <c r="K273" s="153"/>
      <c r="L273" s="153"/>
      <c r="M273" s="153"/>
      <c r="N273" s="152"/>
      <c r="O273" s="70" t="str">
        <f>IF(A18stdlife="n/a","n/a",IF(O$3&gt;(A18stdlife+$F273),(Input!$N$160*(1+vanilla7)^0.5)-SUM($N273:N273),(Input!$N$160*(1+vanilla7)^0.5)/A18stdlife))</f>
        <v>n/a</v>
      </c>
      <c r="P273" s="70" t="str">
        <f>IF(A18stdlife="n/a","n/a",IF(P$3&gt;(A18stdlife+$F273),(Input!$N$160*(1+vanilla7)^0.5)-SUM($N273:O273),(Input!$N$160*(1+vanilla7)^0.5)/A18stdlife))</f>
        <v>n/a</v>
      </c>
      <c r="Q273" s="70" t="str">
        <f>IF(A18stdlife="n/a","n/a",IF(Q$3&gt;(A18stdlife+$F273),(Input!$N$160*(1+vanilla7)^0.5)-SUM($N273:P273),(Input!$N$160*(1+vanilla7)^0.5)/A18stdlife))</f>
        <v>n/a</v>
      </c>
      <c r="R273" s="70"/>
      <c r="S273" s="105"/>
      <c r="T273" s="105"/>
      <c r="U273" s="105"/>
      <c r="V273" s="105"/>
      <c r="W273" s="105"/>
      <c r="X273" s="105"/>
      <c r="Y273" s="105"/>
      <c r="Z273" s="105"/>
      <c r="AA273" s="105"/>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49"/>
      <c r="F274" s="88">
        <v>8</v>
      </c>
      <c r="G274" s="27"/>
      <c r="H274" s="151"/>
      <c r="I274" s="153"/>
      <c r="J274" s="153"/>
      <c r="K274" s="153"/>
      <c r="L274" s="153"/>
      <c r="M274" s="153"/>
      <c r="N274" s="153"/>
      <c r="O274" s="152"/>
      <c r="P274" s="70" t="str">
        <f>IF(A18stdlife="n/a","n/a",IF(P$3&gt;(A18stdlife+$F274),(Input!$O$160*(1+vanilla8)^0.5)-SUM($O274:O274),(Input!$O$160*(1+vanilla8)^0.5)/A18stdlife))</f>
        <v>n/a</v>
      </c>
      <c r="Q274" s="70" t="str">
        <f>IF(A18stdlife="n/a","n/a",IF(Q$3&gt;(A18stdlife+$F274),(Input!$O$160*(1+vanilla8)^0.5)-SUM($O274:P274),(Input!$O$160*(1+vanilla8)^0.5)/A18stdlife))</f>
        <v>n/a</v>
      </c>
      <c r="R274" s="70"/>
      <c r="S274" s="105"/>
      <c r="T274" s="105"/>
      <c r="U274" s="105"/>
      <c r="V274" s="105"/>
      <c r="W274" s="105"/>
      <c r="X274" s="105"/>
      <c r="Y274" s="105"/>
      <c r="Z274" s="105"/>
      <c r="AA274" s="105"/>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49"/>
      <c r="F275" s="88">
        <v>9</v>
      </c>
      <c r="G275" s="27"/>
      <c r="H275" s="151"/>
      <c r="I275" s="153"/>
      <c r="J275" s="153"/>
      <c r="K275" s="153"/>
      <c r="L275" s="153"/>
      <c r="M275" s="153"/>
      <c r="N275" s="153"/>
      <c r="O275" s="153"/>
      <c r="P275" s="152"/>
      <c r="Q275" s="70" t="str">
        <f>IF(A18stdlife="n/a","n/a",IF(Q$3&gt;(A18stdlife+$F275),(Input!$P$160*(1+vanilla9)^0.5)-SUM($P275:P275),(Input!$P$160*(1+vanilla9)^0.5)/A18stdlife))</f>
        <v>n/a</v>
      </c>
      <c r="R275" s="70"/>
      <c r="S275" s="105"/>
      <c r="T275" s="105"/>
      <c r="U275" s="105"/>
      <c r="V275" s="105"/>
      <c r="W275" s="105"/>
      <c r="X275" s="105"/>
      <c r="Y275" s="105"/>
      <c r="Z275" s="105"/>
      <c r="AA275" s="105"/>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49"/>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t="str">
        <f>Asset18</f>
        <v>Land &amp; Easements (System)</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6"/>
      <c r="E278" s="34" t="s">
        <v>28</v>
      </c>
      <c r="F278" s="33"/>
      <c r="G278" s="181"/>
      <c r="H278" s="69" t="str">
        <f>IF(H$3&gt;A19remlife,A19value-SUM($G278:G278),IF(A19remlife="N/A","n/a",A19value/A19remlife))</f>
        <v>n/a</v>
      </c>
      <c r="I278" s="69" t="str">
        <f>IF(I$3&gt;A19remlife,A19value-SUM($G278:H278),IF(A19remlife="N/A","n/a",A19value/A19remlife))</f>
        <v>n/a</v>
      </c>
      <c r="J278" s="69" t="str">
        <f>IF(J$3&gt;A19remlife,A19value-SUM($G278:I278),IF(A19remlife="N/A","n/a",A19value/A19remlife))</f>
        <v>n/a</v>
      </c>
      <c r="K278" s="69" t="str">
        <f>IF(K$3&gt;A19remlife,A19value-SUM($G278:J278),IF(A19remlife="N/A","n/a",A19value/A19remlife))</f>
        <v>n/a</v>
      </c>
      <c r="L278" s="69" t="str">
        <f>IF(L$3&gt;A19remlife,A19value-SUM($G278:K278),IF(A19remlife="N/A","n/a",A19value/A19remlife))</f>
        <v>n/a</v>
      </c>
      <c r="M278" s="69" t="str">
        <f>IF(M$3&gt;A19remlife,A19value-SUM($G278:L278),IF(A19remlife="N/A","n/a",A19value/A19remlife))</f>
        <v>n/a</v>
      </c>
      <c r="N278" s="69" t="str">
        <f>IF(N$3&gt;A19remlife,A19value-SUM($G278:M278),IF(A19remlife="N/A","n/a",A19value/A19remlife))</f>
        <v>n/a</v>
      </c>
      <c r="O278" s="69" t="str">
        <f>IF(O$3&gt;A19remlife,A19value-SUM($G278:N278),IF(A19remlife="N/A","n/a",A19value/A19remlife))</f>
        <v>n/a</v>
      </c>
      <c r="P278" s="69" t="str">
        <f>IF(P$3&gt;A19remlife,A19value-SUM($G278:O278),IF(A19remlife="N/A","n/a",A19value/A19remlife))</f>
        <v>n/a</v>
      </c>
      <c r="Q278" s="69" t="str">
        <f>IF(Q$3&gt;A19remlife,A19value-SUM($G278:P278),IF(A19remlife="N/A","n/a",A19value/A19remlife))</f>
        <v>n/a</v>
      </c>
      <c r="R278" s="69"/>
      <c r="S278" s="105"/>
      <c r="T278" s="105"/>
      <c r="U278" s="105"/>
      <c r="V278" s="105"/>
      <c r="W278" s="105"/>
      <c r="X278" s="105"/>
      <c r="Y278" s="105"/>
      <c r="Z278" s="105"/>
      <c r="AA278" s="105"/>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48" t="s">
        <v>87</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49"/>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49"/>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49"/>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49"/>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49"/>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49"/>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49"/>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49"/>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49"/>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49"/>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t="str">
        <f>Asset19</f>
        <v>Metering Type 5-6</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Communications</v>
      </c>
      <c r="D291" s="166"/>
      <c r="E291" s="34" t="s">
        <v>28</v>
      </c>
      <c r="F291" s="33"/>
      <c r="G291" s="181"/>
      <c r="H291" s="69">
        <f>IF(H$3&gt;A20remlife,A20value-SUM($G291:G291),IF(A20remlife="N/A","n/a",A20value/A20remlife))</f>
        <v>1.2213146442043965</v>
      </c>
      <c r="I291" s="69">
        <f>IF(I$3&gt;A20remlife,A20value-SUM($G291:H291),IF(A20remlife="N/A","n/a",A20value/A20remlife))</f>
        <v>1.2213146442043965</v>
      </c>
      <c r="J291" s="69">
        <f>IF(J$3&gt;A20remlife,A20value-SUM($G291:I291),IF(A20remlife="N/A","n/a",A20value/A20remlife))</f>
        <v>1.2213146442043965</v>
      </c>
      <c r="K291" s="69">
        <f>IF(K$3&gt;A20remlife,A20value-SUM($G291:J291),IF(A20remlife="N/A","n/a",A20value/A20remlife))</f>
        <v>1.2213146442043965</v>
      </c>
      <c r="L291" s="69">
        <f>IF(L$3&gt;A20remlife,A20value-SUM($G291:K291),IF(A20remlife="N/A","n/a",A20value/A20remlife))</f>
        <v>1.2213146442043965</v>
      </c>
      <c r="M291" s="69">
        <f>IF(M$3&gt;A20remlife,A20value-SUM($G291:L291),IF(A20remlife="N/A","n/a",A20value/A20remlife))</f>
        <v>1.2213146442043965</v>
      </c>
      <c r="N291" s="69">
        <f>IF(N$3&gt;A20remlife,A20value-SUM($G291:M291),IF(A20remlife="N/A","n/a",A20value/A20remlife))</f>
        <v>0.73145213477362248</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48" t="s">
        <v>87</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49"/>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49"/>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49"/>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49"/>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49"/>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49"/>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49"/>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49"/>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49"/>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49"/>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t="str">
        <f>Asset20</f>
        <v>Communications</v>
      </c>
      <c r="E303" s="9"/>
      <c r="F303" s="9"/>
      <c r="G303" s="126"/>
      <c r="H303" s="170">
        <f>-SUM(H291:H302)</f>
        <v>-1.2213146442043965</v>
      </c>
      <c r="I303" s="170">
        <f>-SUM(I291:I302)</f>
        <v>-1.2213146442043965</v>
      </c>
      <c r="J303" s="170">
        <f>-SUM(J291:J302)</f>
        <v>-1.2213146442043965</v>
      </c>
      <c r="K303" s="170">
        <f>-SUM(K291:K302)</f>
        <v>-1.2213146442043965</v>
      </c>
      <c r="L303" s="170">
        <f>-SUM(L291:L302)</f>
        <v>-1.2213146442043965</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IT Systems</v>
      </c>
      <c r="D304" s="166"/>
      <c r="E304" s="34" t="s">
        <v>28</v>
      </c>
      <c r="F304" s="33"/>
      <c r="G304" s="181"/>
      <c r="H304" s="69">
        <f>IF(H$3&gt;A21remlife,A21value-SUM($G304:G304),IF(A21remlife="N/A","n/a",A21value/A21remlife))</f>
        <v>33.389007806715732</v>
      </c>
      <c r="I304" s="69">
        <f>IF(I$3&gt;A21remlife,A21value-SUM($G304:H304),IF(A21remlife="N/A","n/a",A21value/A21remlife))</f>
        <v>9.9131932842695392E-3</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48" t="s">
        <v>87</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49"/>
      <c r="F306" s="88">
        <v>1</v>
      </c>
      <c r="G306" s="126"/>
      <c r="H306" s="150"/>
      <c r="I306" s="315"/>
      <c r="J306" s="315"/>
      <c r="K306" s="315"/>
      <c r="L306" s="315"/>
      <c r="M306" s="315"/>
      <c r="N306" s="315"/>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49"/>
      <c r="F307" s="88">
        <v>2</v>
      </c>
      <c r="G307" s="126"/>
      <c r="H307" s="151"/>
      <c r="I307" s="316"/>
      <c r="J307" s="315"/>
      <c r="K307" s="315"/>
      <c r="L307" s="315"/>
      <c r="M307" s="315"/>
      <c r="N307" s="315"/>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49"/>
      <c r="F308" s="88">
        <v>3</v>
      </c>
      <c r="G308" s="126"/>
      <c r="H308" s="151"/>
      <c r="I308" s="315"/>
      <c r="J308" s="316"/>
      <c r="K308" s="315"/>
      <c r="L308" s="315"/>
      <c r="M308" s="315"/>
      <c r="N308" s="315"/>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49"/>
      <c r="F309" s="88">
        <v>4</v>
      </c>
      <c r="G309" s="126"/>
      <c r="H309" s="151"/>
      <c r="I309" s="315"/>
      <c r="J309" s="315"/>
      <c r="K309" s="316"/>
      <c r="L309" s="315"/>
      <c r="M309" s="315"/>
      <c r="N309" s="315"/>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49"/>
      <c r="F310" s="88">
        <v>5</v>
      </c>
      <c r="G310" s="27"/>
      <c r="H310" s="151"/>
      <c r="I310" s="315"/>
      <c r="J310" s="315"/>
      <c r="K310" s="315"/>
      <c r="L310" s="316"/>
      <c r="M310" s="315"/>
      <c r="N310" s="315"/>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49"/>
      <c r="F311" s="88">
        <v>6</v>
      </c>
      <c r="G311" s="27"/>
      <c r="H311" s="151"/>
      <c r="I311" s="315"/>
      <c r="J311" s="315"/>
      <c r="K311" s="315"/>
      <c r="L311" s="315"/>
      <c r="M311" s="316"/>
      <c r="N311" s="315"/>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49"/>
      <c r="F312" s="88">
        <v>7</v>
      </c>
      <c r="G312" s="27"/>
      <c r="H312" s="151"/>
      <c r="I312" s="315"/>
      <c r="J312" s="315"/>
      <c r="K312" s="315"/>
      <c r="L312" s="315"/>
      <c r="M312" s="315"/>
      <c r="N312" s="316"/>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49"/>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49"/>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49"/>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t="str">
        <f>Asset21</f>
        <v>IT Systems</v>
      </c>
      <c r="E316" s="9"/>
      <c r="F316" s="9"/>
      <c r="G316" s="126"/>
      <c r="H316" s="170">
        <f>-SUM(H304:H315)</f>
        <v>-33.389007806715732</v>
      </c>
      <c r="I316" s="170">
        <f>-SUM(I304:I315)</f>
        <v>-9.9131932842695392E-3</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Office Equipment &amp; Furniture</v>
      </c>
      <c r="D317" s="166"/>
      <c r="E317" s="34" t="s">
        <v>28</v>
      </c>
      <c r="F317" s="33"/>
      <c r="G317" s="181"/>
      <c r="H317" s="69">
        <f>IF(H$3&gt;A22remlife,A22value-SUM($G317:G317),IF(A22remlife="N/A","n/a",A22value/A22remlife))</f>
        <v>4.3402554412726246</v>
      </c>
      <c r="I317" s="69">
        <f>IF(I$3&gt;A22remlife,A22value-SUM($G317:H317),IF(A22remlife="N/A","n/a",A22value/A22remlife))</f>
        <v>4.3402554412726246</v>
      </c>
      <c r="J317" s="69">
        <f>IF(J$3&gt;A22remlife,A22value-SUM($G317:I317),IF(A22remlife="N/A","n/a",A22value/A22remlife))</f>
        <v>4.3402554412726246</v>
      </c>
      <c r="K317" s="69">
        <f>IF(K$3&gt;A22remlife,A22value-SUM($G317:J317),IF(A22remlife="N/A","n/a",A22value/A22remlife))</f>
        <v>4.3402554412726246</v>
      </c>
      <c r="L317" s="69">
        <f>IF(L$3&gt;A22remlife,A22value-SUM($G317:K317),IF(A22remlife="N/A","n/a",A22value/A22remlife))</f>
        <v>4.3402554412726246</v>
      </c>
      <c r="M317" s="69">
        <f>IF(M$3&gt;A22remlife,A22value-SUM($G317:L317),IF(A22remlife="N/A","n/a",A22value/A22remlife))</f>
        <v>1.0167587936368783</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48" t="s">
        <v>87</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49"/>
      <c r="F319" s="88">
        <v>1</v>
      </c>
      <c r="G319" s="126"/>
      <c r="H319" s="150"/>
      <c r="I319" s="315"/>
      <c r="J319" s="315"/>
      <c r="K319" s="315"/>
      <c r="L319" s="315"/>
      <c r="M319" s="315"/>
      <c r="N319" s="315"/>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49"/>
      <c r="F320" s="88">
        <v>2</v>
      </c>
      <c r="G320" s="126"/>
      <c r="H320" s="151"/>
      <c r="I320" s="316"/>
      <c r="J320" s="315"/>
      <c r="K320" s="315"/>
      <c r="L320" s="315"/>
      <c r="M320" s="315"/>
      <c r="N320" s="315"/>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49"/>
      <c r="F321" s="88">
        <v>3</v>
      </c>
      <c r="G321" s="126"/>
      <c r="H321" s="151"/>
      <c r="I321" s="315"/>
      <c r="J321" s="316"/>
      <c r="K321" s="315"/>
      <c r="L321" s="315"/>
      <c r="M321" s="315"/>
      <c r="N321" s="315"/>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49"/>
      <c r="F322" s="88">
        <v>4</v>
      </c>
      <c r="G322" s="126"/>
      <c r="H322" s="151"/>
      <c r="I322" s="315"/>
      <c r="J322" s="315"/>
      <c r="K322" s="316"/>
      <c r="L322" s="315"/>
      <c r="M322" s="315"/>
      <c r="N322" s="315"/>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49"/>
      <c r="F323" s="88">
        <v>5</v>
      </c>
      <c r="G323" s="27"/>
      <c r="H323" s="151"/>
      <c r="I323" s="315"/>
      <c r="J323" s="315"/>
      <c r="K323" s="315"/>
      <c r="L323" s="316"/>
      <c r="M323" s="315"/>
      <c r="N323" s="315"/>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49"/>
      <c r="F324" s="88">
        <v>6</v>
      </c>
      <c r="G324" s="27"/>
      <c r="H324" s="151"/>
      <c r="I324" s="315"/>
      <c r="J324" s="315"/>
      <c r="K324" s="315"/>
      <c r="L324" s="315"/>
      <c r="M324" s="316"/>
      <c r="N324" s="315"/>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49"/>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49"/>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49"/>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49"/>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t="str">
        <f>Asset22</f>
        <v>Office Equipment &amp; Furniture</v>
      </c>
      <c r="E329" s="9"/>
      <c r="F329" s="9"/>
      <c r="G329" s="126"/>
      <c r="H329" s="170">
        <f>-SUM(H317:H328)</f>
        <v>-4.3402554412726246</v>
      </c>
      <c r="I329" s="170">
        <f>-SUM(I317:I328)</f>
        <v>-4.3402554412726246</v>
      </c>
      <c r="J329" s="170">
        <f>-SUM(J317:J328)</f>
        <v>-4.3402554412726246</v>
      </c>
      <c r="K329" s="170">
        <f>-SUM(K317:K328)</f>
        <v>-4.3402554412726246</v>
      </c>
      <c r="L329" s="170">
        <f>-SUM(L317:L328)</f>
        <v>-4.3402554412726246</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Motor Vehicles</v>
      </c>
      <c r="D330" s="166"/>
      <c r="E330" s="34" t="s">
        <v>28</v>
      </c>
      <c r="F330" s="33"/>
      <c r="G330" s="181"/>
      <c r="H330" s="69">
        <f>IF(H$3&gt;A23remlife,A23value-SUM($G330:G330),IF(A23remlife="N/A","n/a",A23value/A23remlife))</f>
        <v>14.666239157479058</v>
      </c>
      <c r="I330" s="69">
        <f>IF(I$3&gt;A23remlife,A23value-SUM($G330:H330),IF(A23remlife="N/A","n/a",A23value/A23remlife))</f>
        <v>14.666239157479058</v>
      </c>
      <c r="J330" s="69">
        <f>IF(J$3&gt;A23remlife,A23value-SUM($G330:I330),IF(A23remlife="N/A","n/a",A23value/A23remlife))</f>
        <v>14.666239157479058</v>
      </c>
      <c r="K330" s="69">
        <f>IF(K$3&gt;A23remlife,A23value-SUM($G330:J330),IF(A23remlife="N/A","n/a",A23value/A23remlife))</f>
        <v>14.666239157479058</v>
      </c>
      <c r="L330" s="69">
        <f>IF(L$3&gt;A23remlife,A23value-SUM($G330:K330),IF(A23remlife="N/A","n/a",A23value/A23remlife))</f>
        <v>14.666239157479058</v>
      </c>
      <c r="M330" s="69">
        <f>IF(M$3&gt;A23remlife,A23value-SUM($G330:L330),IF(A23remlife="N/A","n/a",A23value/A23remlife))</f>
        <v>14.666239157479058</v>
      </c>
      <c r="N330" s="69">
        <f>IF(N$3&gt;A23remlife,A23value-SUM($G330:M330),IF(A23remlife="N/A","n/a",A23value/A23remlife))</f>
        <v>14.666239157479058</v>
      </c>
      <c r="O330" s="69">
        <f>IF(O$3&gt;A23remlife,A23value-SUM($G330:N330),IF(A23remlife="N/A","n/a",A23value/A23remlife))</f>
        <v>0.13298089764660403</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48" t="s">
        <v>87</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49"/>
      <c r="F332" s="88">
        <v>1</v>
      </c>
      <c r="G332" s="126"/>
      <c r="H332" s="150"/>
      <c r="I332" s="315"/>
      <c r="J332" s="315"/>
      <c r="K332" s="315"/>
      <c r="L332" s="315"/>
      <c r="M332" s="315"/>
      <c r="N332" s="315"/>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49"/>
      <c r="F333" s="88">
        <v>2</v>
      </c>
      <c r="G333" s="126"/>
      <c r="H333" s="151"/>
      <c r="I333" s="316"/>
      <c r="J333" s="315"/>
      <c r="K333" s="315"/>
      <c r="L333" s="315"/>
      <c r="M333" s="315"/>
      <c r="N333" s="315"/>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49"/>
      <c r="F334" s="88">
        <v>3</v>
      </c>
      <c r="G334" s="126"/>
      <c r="H334" s="151"/>
      <c r="I334" s="315"/>
      <c r="J334" s="316"/>
      <c r="K334" s="315"/>
      <c r="L334" s="315"/>
      <c r="M334" s="315"/>
      <c r="N334" s="315"/>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49"/>
      <c r="F335" s="88">
        <v>4</v>
      </c>
      <c r="G335" s="126"/>
      <c r="H335" s="151"/>
      <c r="I335" s="315"/>
      <c r="J335" s="315"/>
      <c r="K335" s="316"/>
      <c r="L335" s="315"/>
      <c r="M335" s="315"/>
      <c r="N335" s="315"/>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49"/>
      <c r="F336" s="88">
        <v>5</v>
      </c>
      <c r="G336" s="27"/>
      <c r="H336" s="151"/>
      <c r="I336" s="315"/>
      <c r="J336" s="315"/>
      <c r="K336" s="315"/>
      <c r="L336" s="316"/>
      <c r="M336" s="315"/>
      <c r="N336" s="315"/>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49"/>
      <c r="F337" s="88">
        <v>6</v>
      </c>
      <c r="G337" s="27"/>
      <c r="H337" s="151"/>
      <c r="I337" s="315"/>
      <c r="J337" s="315"/>
      <c r="K337" s="315"/>
      <c r="L337" s="315"/>
      <c r="M337" s="316"/>
      <c r="N337" s="315"/>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49"/>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49"/>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49"/>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49"/>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t="str">
        <f>Asset23</f>
        <v>Motor Vehicles</v>
      </c>
      <c r="E342" s="9"/>
      <c r="F342" s="9"/>
      <c r="G342" s="126"/>
      <c r="H342" s="170">
        <f>-SUM(H330:H341)</f>
        <v>-14.666239157479058</v>
      </c>
      <c r="I342" s="170">
        <f>-SUM(I330:I341)</f>
        <v>-14.666239157479058</v>
      </c>
      <c r="J342" s="170">
        <f>-SUM(J330:J341)</f>
        <v>-14.666239157479058</v>
      </c>
      <c r="K342" s="170">
        <f>-SUM(K330:K341)</f>
        <v>-14.666239157479058</v>
      </c>
      <c r="L342" s="170">
        <f>-SUM(L330:L341)</f>
        <v>-14.666239157479058</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Plant &amp; Equipment</v>
      </c>
      <c r="D343" s="166"/>
      <c r="E343" s="34" t="s">
        <v>28</v>
      </c>
      <c r="F343" s="33"/>
      <c r="G343" s="181"/>
      <c r="H343" s="69">
        <f>IF(H$3&gt;A24remlife,A24value-SUM($G343:G343),IF(A24remlife="N/A","n/a",A24value/A24remlife))</f>
        <v>11.566890231528951</v>
      </c>
      <c r="I343" s="69">
        <f>IF(I$3&gt;A24remlife,A24value-SUM($G343:H343),IF(A24remlife="N/A","n/a",A24value/A24remlife))</f>
        <v>11.566890231528951</v>
      </c>
      <c r="J343" s="69">
        <f>IF(J$3&gt;A24remlife,A24value-SUM($G343:I343),IF(A24remlife="N/A","n/a",A24value/A24remlife))</f>
        <v>11.566890231528951</v>
      </c>
      <c r="K343" s="69">
        <f>IF(K$3&gt;A24remlife,A24value-SUM($G343:J343),IF(A24remlife="N/A","n/a",A24value/A24remlife))</f>
        <v>11.566890231528951</v>
      </c>
      <c r="L343" s="69">
        <f>IF(L$3&gt;A24remlife,A24value-SUM($G343:K343),IF(A24remlife="N/A","n/a",A24value/A24remlife))</f>
        <v>11.566890231528951</v>
      </c>
      <c r="M343" s="69">
        <f>IF(M$3&gt;A24remlife,A24value-SUM($G343:L343),IF(A24remlife="N/A","n/a",A24value/A24remlife))</f>
        <v>11.566890231528951</v>
      </c>
      <c r="N343" s="69">
        <f>IF(N$3&gt;A24remlife,A24value-SUM($G343:M343),IF(A24remlife="N/A","n/a",A24value/A24remlife))</f>
        <v>11.566890231528951</v>
      </c>
      <c r="O343" s="69">
        <f>IF(O$3&gt;A24remlife,A24value-SUM($G343:N343),IF(A24remlife="N/A","n/a",A24value/A24remlife))</f>
        <v>4.4870023792973512</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48" t="s">
        <v>87</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49"/>
      <c r="F345" s="88">
        <v>1</v>
      </c>
      <c r="G345" s="126"/>
      <c r="H345" s="150"/>
      <c r="I345" s="315"/>
      <c r="J345" s="315"/>
      <c r="K345" s="315"/>
      <c r="L345" s="315"/>
      <c r="M345" s="315"/>
      <c r="N345" s="315"/>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49"/>
      <c r="F346" s="88">
        <v>2</v>
      </c>
      <c r="G346" s="126"/>
      <c r="H346" s="151"/>
      <c r="I346" s="316"/>
      <c r="J346" s="315"/>
      <c r="K346" s="315"/>
      <c r="L346" s="315"/>
      <c r="M346" s="315"/>
      <c r="N346" s="315"/>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49"/>
      <c r="F347" s="88">
        <v>3</v>
      </c>
      <c r="G347" s="126"/>
      <c r="H347" s="151"/>
      <c r="I347" s="315"/>
      <c r="J347" s="316"/>
      <c r="K347" s="315"/>
      <c r="L347" s="315"/>
      <c r="M347" s="315"/>
      <c r="N347" s="315"/>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49"/>
      <c r="F348" s="88">
        <v>4</v>
      </c>
      <c r="G348" s="126"/>
      <c r="H348" s="151"/>
      <c r="I348" s="315"/>
      <c r="J348" s="315"/>
      <c r="K348" s="316"/>
      <c r="L348" s="315"/>
      <c r="M348" s="315"/>
      <c r="N348" s="315"/>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49"/>
      <c r="F349" s="88">
        <v>5</v>
      </c>
      <c r="G349" s="27"/>
      <c r="H349" s="151"/>
      <c r="I349" s="315"/>
      <c r="J349" s="315"/>
      <c r="K349" s="315"/>
      <c r="L349" s="316"/>
      <c r="M349" s="315"/>
      <c r="N349" s="315"/>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49"/>
      <c r="F350" s="88">
        <v>6</v>
      </c>
      <c r="G350" s="27"/>
      <c r="H350" s="151"/>
      <c r="I350" s="315"/>
      <c r="J350" s="315"/>
      <c r="K350" s="315"/>
      <c r="L350" s="315"/>
      <c r="M350" s="316"/>
      <c r="N350" s="315"/>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49"/>
      <c r="F351" s="88">
        <v>7</v>
      </c>
      <c r="G351" s="27"/>
      <c r="H351" s="151"/>
      <c r="I351" s="315"/>
      <c r="J351" s="315"/>
      <c r="K351" s="315"/>
      <c r="L351" s="315"/>
      <c r="M351" s="315"/>
      <c r="N351" s="316"/>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49"/>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49"/>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49"/>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t="str">
        <f>Asset24</f>
        <v>Plant &amp; Equipment</v>
      </c>
      <c r="E355" s="9"/>
      <c r="F355" s="9"/>
      <c r="G355" s="126"/>
      <c r="H355" s="170">
        <f>-SUM(H343:H354)</f>
        <v>-11.566890231528951</v>
      </c>
      <c r="I355" s="170">
        <f>-SUM(I343:I354)</f>
        <v>-11.566890231528951</v>
      </c>
      <c r="J355" s="170">
        <f>-SUM(J343:J354)</f>
        <v>-11.566890231528951</v>
      </c>
      <c r="K355" s="170">
        <f>-SUM(K343:K354)</f>
        <v>-11.566890231528951</v>
      </c>
      <c r="L355" s="170">
        <f>-SUM(L343:L354)</f>
        <v>-11.566890231528951</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Buildings</v>
      </c>
      <c r="D356" s="166"/>
      <c r="E356" s="34" t="s">
        <v>28</v>
      </c>
      <c r="F356" s="33"/>
      <c r="G356" s="181"/>
      <c r="H356" s="69">
        <f>IF(H$3&gt;A25remlife,A25value-SUM($G356:G356),IF(A25remlife="N/A","n/a",A25value/A25remlife))</f>
        <v>23.469075445264014</v>
      </c>
      <c r="I356" s="69">
        <f>IF(I$3&gt;A25remlife,A25value-SUM($G356:H356),IF(A25remlife="N/A","n/a",A25value/A25remlife))</f>
        <v>23.469075445264014</v>
      </c>
      <c r="J356" s="69">
        <f>IF(J$3&gt;A25remlife,A25value-SUM($G356:I356),IF(A25remlife="N/A","n/a",A25value/A25remlife))</f>
        <v>23.469075445264014</v>
      </c>
      <c r="K356" s="69">
        <f>IF(K$3&gt;A25remlife,A25value-SUM($G356:J356),IF(A25remlife="N/A","n/a",A25value/A25remlife))</f>
        <v>23.469075445264014</v>
      </c>
      <c r="L356" s="69">
        <f>IF(L$3&gt;A25remlife,A25value-SUM($G356:K356),IF(A25remlife="N/A","n/a",A25value/A25remlife))</f>
        <v>23.469075445264014</v>
      </c>
      <c r="M356" s="69">
        <f>IF(M$3&gt;A25remlife,A25value-SUM($G356:L356),IF(A25remlife="N/A","n/a",A25value/A25remlife))</f>
        <v>23.469075445264014</v>
      </c>
      <c r="N356" s="69">
        <f>IF(N$3&gt;A25remlife,A25value-SUM($G356:M356),IF(A25remlife="N/A","n/a",A25value/A25remlife))</f>
        <v>23.469075445264014</v>
      </c>
      <c r="O356" s="69">
        <f>IF(O$3&gt;A25remlife,A25value-SUM($G356:N356),IF(A25remlife="N/A","n/a",A25value/A25remlife))</f>
        <v>23.469075445264014</v>
      </c>
      <c r="P356" s="69">
        <f>IF(P$3&gt;A25remlife,A25value-SUM($G356:O356),IF(A25remlife="N/A","n/a",A25value/A25remlife))</f>
        <v>20.41755943788786</v>
      </c>
      <c r="Q356" s="69">
        <f>IF(Q$3&gt;A25remlife,A25value-SUM($G356:P356),IF(A25remlife="N/A","n/a",A25value/A25remlife))</f>
        <v>0</v>
      </c>
      <c r="R356" s="69"/>
      <c r="S356" s="105"/>
      <c r="T356" s="105"/>
      <c r="U356" s="105"/>
      <c r="V356" s="105"/>
      <c r="W356" s="105"/>
      <c r="X356" s="105"/>
      <c r="Y356" s="105"/>
      <c r="Z356" s="105"/>
      <c r="AA356" s="105"/>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48" t="s">
        <v>87</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49"/>
      <c r="F358" s="88">
        <v>1</v>
      </c>
      <c r="G358" s="126"/>
      <c r="H358" s="150"/>
      <c r="I358" s="315"/>
      <c r="J358" s="315"/>
      <c r="K358" s="315"/>
      <c r="L358" s="315"/>
      <c r="M358" s="315"/>
      <c r="N358" s="315"/>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49"/>
      <c r="F359" s="88">
        <v>2</v>
      </c>
      <c r="G359" s="126"/>
      <c r="H359" s="151"/>
      <c r="I359" s="316"/>
      <c r="J359" s="315"/>
      <c r="K359" s="315"/>
      <c r="L359" s="315"/>
      <c r="M359" s="315"/>
      <c r="N359" s="315"/>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49"/>
      <c r="F360" s="88">
        <v>3</v>
      </c>
      <c r="G360" s="126"/>
      <c r="H360" s="151"/>
      <c r="I360" s="315"/>
      <c r="J360" s="316"/>
      <c r="K360" s="315"/>
      <c r="L360" s="315"/>
      <c r="M360" s="315"/>
      <c r="N360" s="315"/>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49"/>
      <c r="F361" s="88">
        <v>4</v>
      </c>
      <c r="G361" s="126"/>
      <c r="H361" s="151"/>
      <c r="I361" s="315"/>
      <c r="J361" s="315"/>
      <c r="K361" s="316"/>
      <c r="L361" s="315"/>
      <c r="M361" s="315"/>
      <c r="N361" s="315"/>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49"/>
      <c r="F362" s="88">
        <v>5</v>
      </c>
      <c r="G362" s="27"/>
      <c r="H362" s="151"/>
      <c r="I362" s="315"/>
      <c r="J362" s="315"/>
      <c r="K362" s="315"/>
      <c r="L362" s="316"/>
      <c r="M362" s="315"/>
      <c r="N362" s="315"/>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49"/>
      <c r="F363" s="88">
        <v>6</v>
      </c>
      <c r="G363" s="27"/>
      <c r="H363" s="151"/>
      <c r="I363" s="315"/>
      <c r="J363" s="315"/>
      <c r="K363" s="315"/>
      <c r="L363" s="315"/>
      <c r="M363" s="316"/>
      <c r="N363" s="315"/>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49"/>
      <c r="F364" s="88">
        <v>7</v>
      </c>
      <c r="G364" s="27"/>
      <c r="H364" s="151"/>
      <c r="I364" s="315"/>
      <c r="J364" s="315"/>
      <c r="K364" s="315"/>
      <c r="L364" s="315"/>
      <c r="M364" s="315"/>
      <c r="N364" s="316"/>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49"/>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49"/>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49"/>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t="str">
        <f>Asset25</f>
        <v>Buildings</v>
      </c>
      <c r="E368" s="9"/>
      <c r="F368" s="9"/>
      <c r="G368" s="126"/>
      <c r="H368" s="170">
        <f>-SUM(H356:H367)</f>
        <v>-23.469075445264014</v>
      </c>
      <c r="I368" s="170">
        <f>-SUM(I356:I367)</f>
        <v>-23.469075445264014</v>
      </c>
      <c r="J368" s="170">
        <f>-SUM(J356:J367)</f>
        <v>-23.469075445264014</v>
      </c>
      <c r="K368" s="170">
        <f>-SUM(K356:K367)</f>
        <v>-23.469075445264014</v>
      </c>
      <c r="L368" s="170">
        <f>-SUM(L356:L367)</f>
        <v>-23.469075445264014</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Land &amp; Easements</v>
      </c>
      <c r="D369" s="166"/>
      <c r="E369" s="34" t="s">
        <v>28</v>
      </c>
      <c r="F369" s="33"/>
      <c r="G369" s="181"/>
      <c r="H369" s="69" t="str">
        <f>IF(H$3&gt;A26remlife,A26value-SUM($G369:G369),IF(A26remlife="N/A","n/a",A26value/A26remlife))</f>
        <v>n/a</v>
      </c>
      <c r="I369" s="69" t="str">
        <f>IF(I$3&gt;A26remlife,A26value-SUM($G369:H369),IF(A26remlife="N/A","n/a",A26value/A26remlife))</f>
        <v>n/a</v>
      </c>
      <c r="J369" s="69" t="str">
        <f>IF(J$3&gt;A26remlife,A26value-SUM($G369:I369),IF(A26remlife="N/A","n/a",A26value/A26remlife))</f>
        <v>n/a</v>
      </c>
      <c r="K369" s="69" t="str">
        <f>IF(K$3&gt;A26remlife,A26value-SUM($G369:J369),IF(A26remlife="N/A","n/a",A26value/A26remlife))</f>
        <v>n/a</v>
      </c>
      <c r="L369" s="69" t="str">
        <f>IF(L$3&gt;A26remlife,A26value-SUM($G369:K369),IF(A26remlife="N/A","n/a",A26value/A26remlife))</f>
        <v>n/a</v>
      </c>
      <c r="M369" s="69" t="str">
        <f>IF(M$3&gt;A26remlife,A26value-SUM($G369:L369),IF(A26remlife="N/A","n/a",A26value/A26remlife))</f>
        <v>n/a</v>
      </c>
      <c r="N369" s="69" t="str">
        <f>IF(N$3&gt;A26remlife,A26value-SUM($G369:M369),IF(A26remlife="N/A","n/a",A26value/A26remlife))</f>
        <v>n/a</v>
      </c>
      <c r="O369" s="69" t="str">
        <f>IF(O$3&gt;A26remlife,A26value-SUM($G369:N369),IF(A26remlife="N/A","n/a",A26value/A26remlife))</f>
        <v>n/a</v>
      </c>
      <c r="P369" s="69" t="str">
        <f>IF(P$3&gt;A26remlife,A26value-SUM($G369:O369),IF(A26remlife="N/A","n/a",A26value/A26remlife))</f>
        <v>n/a</v>
      </c>
      <c r="Q369" s="69" t="str">
        <f>IF(Q$3&gt;A26remlife,A26value-SUM($G369:P369),IF(A26remlife="N/A","n/a",A26value/A26remlife))</f>
        <v>n/a</v>
      </c>
      <c r="R369" s="69"/>
      <c r="S369" s="105"/>
      <c r="T369" s="105"/>
      <c r="U369" s="105"/>
      <c r="V369" s="105"/>
      <c r="W369" s="105"/>
      <c r="X369" s="105"/>
      <c r="Y369" s="105"/>
      <c r="Z369" s="105"/>
      <c r="AA369" s="105"/>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48" t="s">
        <v>87</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49"/>
      <c r="F371" s="88">
        <v>1</v>
      </c>
      <c r="G371" s="126"/>
      <c r="H371" s="150"/>
      <c r="I371" s="70" t="str">
        <f>IF(A26stdlife="n/a","n/a",IF(I$3&gt;(A26stdlife+$F371),(Input!$H$168*(1+vanilla1)^0.5)-SUM($H371:H371),(Input!$H$168*(1+vanilla1)^0.5)/A26stdlife))</f>
        <v>n/a</v>
      </c>
      <c r="J371" s="70" t="str">
        <f>IF(A26stdlife="n/a","n/a",IF(J$3&gt;(A26stdlife+$F371),(Input!$H$168*(1+vanilla1)^0.5)-SUM($H371:I371),(Input!$H$168*(1+vanilla1)^0.5)/A26stdlife))</f>
        <v>n/a</v>
      </c>
      <c r="K371" s="70" t="str">
        <f>IF(A26stdlife="n/a","n/a",IF(K$3&gt;(A26stdlife+$F371),(Input!$H$168*(1+vanilla1)^0.5)-SUM($H371:J371),(Input!$H$168*(1+vanilla1)^0.5)/A26stdlife))</f>
        <v>n/a</v>
      </c>
      <c r="L371" s="70" t="str">
        <f>IF(A26stdlife="n/a","n/a",IF(L$3&gt;(A26stdlife+$F371),(Input!$H$168*(1+vanilla1)^0.5)-SUM($H371:K371),(Input!$H$168*(1+vanilla1)^0.5)/A26stdlife))</f>
        <v>n/a</v>
      </c>
      <c r="M371" s="70" t="str">
        <f>IF(A26stdlife="n/a","n/a",IF(M$3&gt;(A26stdlife+$F371),(Input!$H$168*(1+vanilla1)^0.5)-SUM($H371:L371),(Input!$H$168*(1+vanilla1)^0.5)/A26stdlife))</f>
        <v>n/a</v>
      </c>
      <c r="N371" s="70" t="str">
        <f>IF(A26stdlife="n/a","n/a",IF(N$3&gt;(A26stdlife+$F371),(Input!$H$168*(1+vanilla1)^0.5)-SUM($H371:M371),(Input!$H$168*(1+vanilla1)^0.5)/A26stdlife))</f>
        <v>n/a</v>
      </c>
      <c r="O371" s="70" t="str">
        <f>IF(A26stdlife="n/a","n/a",IF(O$3&gt;(A26stdlife+$F371),(Input!$H$168*(1+vanilla1)^0.5)-SUM($H371:N371),(Input!$H$168*(1+vanilla1)^0.5)/A26stdlife))</f>
        <v>n/a</v>
      </c>
      <c r="P371" s="70" t="str">
        <f>IF(A26stdlife="n/a","n/a",IF(P$3&gt;(A26stdlife+$F371),(Input!$H$168*(1+vanilla1)^0.5)-SUM($H371:O371),(Input!$H$168*(1+vanilla1)^0.5)/A26stdlife))</f>
        <v>n/a</v>
      </c>
      <c r="Q371" s="70" t="str">
        <f>IF(A26stdlife="n/a","n/a",IF(Q$3&gt;(A26stdlife+$F371),(Input!$H$168*(1+vanilla1)^0.5)-SUM($H371:P371),(Input!$H$168*(1+vanilla1)^0.5)/A26stdlife))</f>
        <v>n/a</v>
      </c>
      <c r="R371" s="70"/>
      <c r="S371" s="105"/>
      <c r="T371" s="105"/>
      <c r="U371" s="105"/>
      <c r="V371" s="105"/>
      <c r="W371" s="105"/>
      <c r="X371" s="105"/>
      <c r="Y371" s="105"/>
      <c r="Z371" s="105"/>
      <c r="AA371" s="105"/>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49"/>
      <c r="F372" s="88">
        <v>2</v>
      </c>
      <c r="G372" s="126"/>
      <c r="H372" s="151"/>
      <c r="I372" s="152"/>
      <c r="J372" s="70" t="str">
        <f>IF(A26stdlife="n/a","n/a",IF(J$3&gt;(A26stdlife+$F372),(Input!$I$168*(1+vanilla2)^0.5)-SUM($I372:I372),(Input!$I$168*(1+vanilla2)^0.5)/A26stdlife))</f>
        <v>n/a</v>
      </c>
      <c r="K372" s="70" t="str">
        <f>IF(A26stdlife="n/a","n/a",IF(K$3&gt;(A26stdlife+$F372),(Input!$I$168*(1+vanilla2)^0.5)-SUM($I372:J372),(Input!$I$168*(1+vanilla2)^0.5)/A26stdlife))</f>
        <v>n/a</v>
      </c>
      <c r="L372" s="70" t="str">
        <f>IF(A26stdlife="n/a","n/a",IF(L$3&gt;(A26stdlife+$F372),(Input!$I$168*(1+vanilla2)^0.5)-SUM($I372:K372),(Input!$I$168*(1+vanilla2)^0.5)/A26stdlife))</f>
        <v>n/a</v>
      </c>
      <c r="M372" s="70" t="str">
        <f>IF(A26stdlife="n/a","n/a",IF(M$3&gt;(A26stdlife+$F372),(Input!$I$168*(1+vanilla2)^0.5)-SUM($I372:L372),(Input!$I$168*(1+vanilla2)^0.5)/A26stdlife))</f>
        <v>n/a</v>
      </c>
      <c r="N372" s="70" t="str">
        <f>IF(A26stdlife="n/a","n/a",IF(N$3&gt;(A26stdlife+$F372),(Input!$I$168*(1+vanilla2)^0.5)-SUM($I372:M372),(Input!$I$168*(1+vanilla2)^0.5)/A26stdlife))</f>
        <v>n/a</v>
      </c>
      <c r="O372" s="70" t="str">
        <f>IF(A26stdlife="n/a","n/a",IF(O$3&gt;(A26stdlife+$F372),(Input!$I$168*(1+vanilla2)^0.5)-SUM($I372:N372),(Input!$I$168*(1+vanilla2)^0.5)/A26stdlife))</f>
        <v>n/a</v>
      </c>
      <c r="P372" s="70" t="str">
        <f>IF(A26stdlife="n/a","n/a",IF(P$3&gt;(A26stdlife+$F372),(Input!$I$168*(1+vanilla2)^0.5)-SUM($I372:O372),(Input!$I$168*(1+vanilla2)^0.5)/A26stdlife))</f>
        <v>n/a</v>
      </c>
      <c r="Q372" s="70" t="str">
        <f>IF(A26stdlife="n/a","n/a",IF(Q$3&gt;(A26stdlife+$F372),(Input!$I$168*(1+vanilla2)^0.5)-SUM($I372:P372),(Input!$I$168*(1+vanilla2)^0.5)/A26stdlife))</f>
        <v>n/a</v>
      </c>
      <c r="R372" s="70"/>
      <c r="S372" s="105"/>
      <c r="T372" s="105"/>
      <c r="U372" s="105"/>
      <c r="V372" s="105"/>
      <c r="W372" s="105"/>
      <c r="X372" s="105"/>
      <c r="Y372" s="105"/>
      <c r="Z372" s="105"/>
      <c r="AA372" s="105"/>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49"/>
      <c r="F373" s="88">
        <v>3</v>
      </c>
      <c r="G373" s="126"/>
      <c r="H373" s="151"/>
      <c r="I373" s="153"/>
      <c r="J373" s="152"/>
      <c r="K373" s="70" t="str">
        <f>IF(A26stdlife="n/a","n/a",IF(K$3&gt;(A26stdlife+$F373),(Input!$J$168*(1+vanilla3)^0.5)-SUM($J373:J373),(Input!$J$168*(1+vanilla3)^0.5)/A26stdlife))</f>
        <v>n/a</v>
      </c>
      <c r="L373" s="70" t="str">
        <f>IF(A26stdlife="n/a","n/a",IF(L$3&gt;(A26stdlife+$F373),(Input!$J$168*(1+vanilla3)^0.5)-SUM($J373:K373),(Input!$J$168*(1+vanilla3)^0.5)/A26stdlife))</f>
        <v>n/a</v>
      </c>
      <c r="M373" s="70" t="str">
        <f>IF(A26stdlife="n/a","n/a",IF(M$3&gt;(A26stdlife+$F373),(Input!$J$168*(1+vanilla3)^0.5)-SUM($J373:L373),(Input!$J$168*(1+vanilla3)^0.5)/A26stdlife))</f>
        <v>n/a</v>
      </c>
      <c r="N373" s="70" t="str">
        <f>IF(A26stdlife="n/a","n/a",IF(N$3&gt;(A26stdlife+$F373),(Input!$J$168*(1+vanilla3)^0.5)-SUM($J373:M373),(Input!$J$168*(1+vanilla3)^0.5)/A26stdlife))</f>
        <v>n/a</v>
      </c>
      <c r="O373" s="70" t="str">
        <f>IF(A26stdlife="n/a","n/a",IF(O$3&gt;(A26stdlife+$F373),(Input!$J$168*(1+vanilla3)^0.5)-SUM($J373:N373),(Input!$J$168*(1+vanilla3)^0.5)/A26stdlife))</f>
        <v>n/a</v>
      </c>
      <c r="P373" s="70" t="str">
        <f>IF(A26stdlife="n/a","n/a",IF(P$3&gt;(A26stdlife+$F373),(Input!$J$168*(1+vanilla3)^0.5)-SUM($J373:O373),(Input!$J$168*(1+vanilla3)^0.5)/A26stdlife))</f>
        <v>n/a</v>
      </c>
      <c r="Q373" s="70" t="str">
        <f>IF(A26stdlife="n/a","n/a",IF(Q$3&gt;(A26stdlife+$F373),(Input!$J$168*(1+vanilla3)^0.5)-SUM($J373:P373),(Input!$J$168*(1+vanilla3)^0.5)/A26stdlife))</f>
        <v>n/a</v>
      </c>
      <c r="R373" s="70"/>
      <c r="S373" s="105"/>
      <c r="T373" s="105"/>
      <c r="U373" s="105"/>
      <c r="V373" s="105"/>
      <c r="W373" s="105"/>
      <c r="X373" s="105"/>
      <c r="Y373" s="105"/>
      <c r="Z373" s="105"/>
      <c r="AA373" s="105"/>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49"/>
      <c r="F374" s="88">
        <v>4</v>
      </c>
      <c r="G374" s="126"/>
      <c r="H374" s="151"/>
      <c r="I374" s="153"/>
      <c r="J374" s="153"/>
      <c r="K374" s="152"/>
      <c r="L374" s="70" t="str">
        <f>IF(A26stdlife="n/a","n/a",IF(L$3&gt;(A26stdlife+$F374),(Input!$K$168*(1+vanilla4)^0.5)-SUM($K374:K374),(Input!$K$168*(1+vanilla4)^0.5)/A26stdlife))</f>
        <v>n/a</v>
      </c>
      <c r="M374" s="70" t="str">
        <f>IF(A26stdlife="n/a","n/a",IF(M$3&gt;(A26stdlife+$F374),(Input!$K$168*(1+vanilla4)^0.5)-SUM($K374:L374),(Input!$K$168*(1+vanilla4)^0.5)/A26stdlife))</f>
        <v>n/a</v>
      </c>
      <c r="N374" s="70" t="str">
        <f>IF(A26stdlife="n/a","n/a",IF(N$3&gt;(A26stdlife+$F374),(Input!$K$168*(1+vanilla4)^0.5)-SUM($K374:M374),(Input!$K$168*(1+vanilla4)^0.5)/A26stdlife))</f>
        <v>n/a</v>
      </c>
      <c r="O374" s="70" t="str">
        <f>IF(A26stdlife="n/a","n/a",IF(O$3&gt;(A26stdlife+$F374),(Input!$K$168*(1+vanilla4)^0.5)-SUM($K374:N374),(Input!$K$168*(1+vanilla4)^0.5)/A26stdlife))</f>
        <v>n/a</v>
      </c>
      <c r="P374" s="70" t="str">
        <f>IF(A26stdlife="n/a","n/a",IF(P$3&gt;(A26stdlife+$F374),(Input!$K$168*(1+vanilla4)^0.5)-SUM($K374:O374),(Input!$K$168*(1+vanilla4)^0.5)/A26stdlife))</f>
        <v>n/a</v>
      </c>
      <c r="Q374" s="70" t="str">
        <f>IF(A26stdlife="n/a","n/a",IF(Q$3&gt;(A26stdlife+$F374),(Input!$K$168*(1+vanilla4)^0.5)-SUM($K374:P374),(Input!$K$168*(1+vanilla4)^0.5)/A26stdlife))</f>
        <v>n/a</v>
      </c>
      <c r="R374" s="70"/>
      <c r="S374" s="105"/>
      <c r="T374" s="105"/>
      <c r="U374" s="105"/>
      <c r="V374" s="105"/>
      <c r="W374" s="105"/>
      <c r="X374" s="105"/>
      <c r="Y374" s="105"/>
      <c r="Z374" s="105"/>
      <c r="AA374" s="105"/>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49"/>
      <c r="F375" s="88">
        <v>5</v>
      </c>
      <c r="G375" s="27"/>
      <c r="H375" s="151"/>
      <c r="I375" s="153"/>
      <c r="J375" s="153"/>
      <c r="K375" s="153"/>
      <c r="L375" s="152"/>
      <c r="M375" s="70" t="str">
        <f>IF(A26stdlife="n/a","n/a",IF(M$3&gt;(A26stdlife+$F375),(Input!$L$168*(1+vanilla5)^0.5)-SUM($L375:L375),(Input!$L$168*(1+vanilla5)^0.5)/A26stdlife))</f>
        <v>n/a</v>
      </c>
      <c r="N375" s="70" t="str">
        <f>IF(A26stdlife="n/a","n/a",IF(N$3&gt;(A26stdlife+$F375),(Input!$L$168*(1+vanilla5)^0.5)-SUM($L375:M375),(Input!$L$168*(1+vanilla5)^0.5)/A26stdlife))</f>
        <v>n/a</v>
      </c>
      <c r="O375" s="70" t="str">
        <f>IF(A26stdlife="n/a","n/a",IF(O$3&gt;(A26stdlife+$F375),(Input!$L$168*(1+vanilla5)^0.5)-SUM($L375:N375),(Input!$L$168*(1+vanilla5)^0.5)/A26stdlife))</f>
        <v>n/a</v>
      </c>
      <c r="P375" s="70" t="str">
        <f>IF(A26stdlife="n/a","n/a",IF(P$3&gt;(A26stdlife+$F375),(Input!$L$168*(1+vanilla5)^0.5)-SUM($L375:O375),(Input!$L$168*(1+vanilla5)^0.5)/A26stdlife))</f>
        <v>n/a</v>
      </c>
      <c r="Q375" s="70" t="str">
        <f>IF(A26stdlife="n/a","n/a",IF(Q$3&gt;(A26stdlife+$F375),(Input!$L$168*(1+vanilla5)^0.5)-SUM($L375:P375),(Input!$L$168*(1+vanilla5)^0.5)/A26stdlife))</f>
        <v>n/a</v>
      </c>
      <c r="R375" s="70"/>
      <c r="S375" s="105"/>
      <c r="T375" s="105"/>
      <c r="U375" s="105"/>
      <c r="V375" s="105"/>
      <c r="W375" s="105"/>
      <c r="X375" s="105"/>
      <c r="Y375" s="105"/>
      <c r="Z375" s="105"/>
      <c r="AA375" s="105"/>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49"/>
      <c r="F376" s="88">
        <v>6</v>
      </c>
      <c r="G376" s="27"/>
      <c r="H376" s="151"/>
      <c r="I376" s="153"/>
      <c r="J376" s="153"/>
      <c r="K376" s="153"/>
      <c r="L376" s="153"/>
      <c r="M376" s="152"/>
      <c r="N376" s="70" t="str">
        <f>IF(A26stdlife="n/a","n/a",IF(N$3&gt;(A26stdlife+$F376),(Input!$M$168*(1+vanilla6)^0.5)-SUM($M376:M376),(Input!$M$168*(1+vanilla6)^0.5)/A26stdlife))</f>
        <v>n/a</v>
      </c>
      <c r="O376" s="70" t="str">
        <f>IF(A26stdlife="n/a","n/a",IF(O$3&gt;(A26stdlife+$F376),(Input!$M$168*(1+vanilla6)^0.5)-SUM($M376:N376),(Input!$M$168*(1+vanilla6)^0.5)/A26stdlife))</f>
        <v>n/a</v>
      </c>
      <c r="P376" s="70" t="str">
        <f>IF(A26stdlife="n/a","n/a",IF(P$3&gt;(A26stdlife+$F376),(Input!$M$168*(1+vanilla6)^0.5)-SUM($M376:O376),(Input!$M$168*(1+vanilla6)^0.5)/A26stdlife))</f>
        <v>n/a</v>
      </c>
      <c r="Q376" s="70" t="str">
        <f>IF(A26stdlife="n/a","n/a",IF(Q$3&gt;(A26stdlife+$F376),(Input!$M$168*(1+vanilla6)^0.5)-SUM($M376:P376),(Input!$M$168*(1+vanilla6)^0.5)/A26stdlife))</f>
        <v>n/a</v>
      </c>
      <c r="R376" s="70"/>
      <c r="S376" s="105"/>
      <c r="T376" s="105"/>
      <c r="U376" s="105"/>
      <c r="V376" s="105"/>
      <c r="W376" s="105"/>
      <c r="X376" s="105"/>
      <c r="Y376" s="105"/>
      <c r="Z376" s="105"/>
      <c r="AA376" s="105"/>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49"/>
      <c r="F377" s="88">
        <v>7</v>
      </c>
      <c r="G377" s="27"/>
      <c r="H377" s="151"/>
      <c r="I377" s="153"/>
      <c r="J377" s="153"/>
      <c r="K377" s="153"/>
      <c r="L377" s="153"/>
      <c r="M377" s="153"/>
      <c r="N377" s="152"/>
      <c r="O377" s="70" t="str">
        <f>IF(A26stdlife="n/a","n/a",IF(O$3&gt;(A26stdlife+$F377),(Input!N$168*(1+vanilla7)^0.5)-SUM($N377:N377),(Input!$N$168*(1+vanilla7)^0.5)/A26stdlife))</f>
        <v>n/a</v>
      </c>
      <c r="P377" s="70" t="str">
        <f>IF(A26stdlife="n/a","n/a",IF(P$3&gt;(A26stdlife+$F377),(Input!O$168*(1+vanilla7)^0.5)-SUM($N377:O377),(Input!$N$168*(1+vanilla7)^0.5)/A26stdlife))</f>
        <v>n/a</v>
      </c>
      <c r="Q377" s="70" t="str">
        <f>IF(A26stdlife="n/a","n/a",IF(Q$3&gt;(A26stdlife+$F377),(Input!P$168*(1+vanilla7)^0.5)-SUM($N377:P377),(Input!$N$168*(1+vanilla7)^0.5)/A26stdlife))</f>
        <v>n/a</v>
      </c>
      <c r="R377" s="70"/>
      <c r="S377" s="105"/>
      <c r="T377" s="105"/>
      <c r="U377" s="105"/>
      <c r="V377" s="105"/>
      <c r="W377" s="105"/>
      <c r="X377" s="105"/>
      <c r="Y377" s="105"/>
      <c r="Z377" s="105"/>
      <c r="AA377" s="105"/>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49"/>
      <c r="F378" s="88">
        <v>8</v>
      </c>
      <c r="G378" s="27"/>
      <c r="H378" s="151"/>
      <c r="I378" s="153"/>
      <c r="J378" s="153"/>
      <c r="K378" s="153"/>
      <c r="L378" s="153"/>
      <c r="M378" s="153"/>
      <c r="N378" s="153"/>
      <c r="O378" s="152"/>
      <c r="P378" s="70" t="str">
        <f>IF(A26stdlife="n/a","n/a",IF(P$3&gt;(A26stdlife+$F378),(Input!$O$168*(1+vanilla8)^0.5)-SUM($O378:O378),(Input!$O$168*(1+vanilla8)^0.5)/A26stdlife))</f>
        <v>n/a</v>
      </c>
      <c r="Q378" s="70" t="str">
        <f>IF(A26stdlife="n/a","n/a",IF(Q$3&gt;(A26stdlife+$F378),(Input!$O$168*(1+vanilla8)^0.5)-SUM($O378:P378),(Input!$O$168*(1+vanilla8)^0.5)/A26stdlife))</f>
        <v>n/a</v>
      </c>
      <c r="R378" s="70"/>
      <c r="S378" s="105"/>
      <c r="T378" s="105"/>
      <c r="U378" s="105"/>
      <c r="V378" s="105"/>
      <c r="W378" s="105"/>
      <c r="X378" s="105"/>
      <c r="Y378" s="105"/>
      <c r="Z378" s="105"/>
      <c r="AA378" s="105"/>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49"/>
      <c r="F379" s="88">
        <v>9</v>
      </c>
      <c r="G379" s="27"/>
      <c r="H379" s="151"/>
      <c r="I379" s="153"/>
      <c r="J379" s="153"/>
      <c r="K379" s="153"/>
      <c r="L379" s="153"/>
      <c r="M379" s="153"/>
      <c r="N379" s="153"/>
      <c r="O379" s="153"/>
      <c r="P379" s="152"/>
      <c r="Q379" s="70" t="str">
        <f>IF(A26stdlife="n/a","n/a",IF(Q$3&gt;(A26stdlife+$F379),(Input!$P$168*(1+vanilla9)^0.5)-SUM($P379:P379),(Input!$P$168*(1+vanilla9)^0.5)/A26stdlife))</f>
        <v>n/a</v>
      </c>
      <c r="R379" s="70"/>
      <c r="S379" s="105"/>
      <c r="T379" s="105"/>
      <c r="U379" s="105"/>
      <c r="V379" s="105"/>
      <c r="W379" s="105"/>
      <c r="X379" s="105"/>
      <c r="Y379" s="105"/>
      <c r="Z379" s="105"/>
      <c r="AA379" s="105"/>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49"/>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t="str">
        <f>Asset26</f>
        <v>Land &amp; Easements</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Land Improvements</v>
      </c>
      <c r="D382" s="166"/>
      <c r="E382" s="34" t="s">
        <v>28</v>
      </c>
      <c r="F382" s="33"/>
      <c r="G382" s="181"/>
      <c r="H382" s="69">
        <f>IF(H$3&gt;A27remlife,A27value-SUM($G382:G382),IF(A27remlife="N/A","n/a",A27value/A27remlife))</f>
        <v>0.32160703664285545</v>
      </c>
      <c r="I382" s="69">
        <f>IF(I$3&gt;A27remlife,A27value-SUM($G382:H382),IF(A27remlife="N/A","n/a",A27value/A27remlife))</f>
        <v>0.32160703664285545</v>
      </c>
      <c r="J382" s="69">
        <f>IF(J$3&gt;A27remlife,A27value-SUM($G382:I382),IF(A27remlife="N/A","n/a",A27value/A27remlife))</f>
        <v>0.32160703664285545</v>
      </c>
      <c r="K382" s="69">
        <f>IF(K$3&gt;A27remlife,A27value-SUM($G382:J382),IF(A27remlife="N/A","n/a",A27value/A27remlife))</f>
        <v>0.32160703664285545</v>
      </c>
      <c r="L382" s="69">
        <f>IF(L$3&gt;A27remlife,A27value-SUM($G382:K382),IF(A27remlife="N/A","n/a",A27value/A27remlife))</f>
        <v>0.32160703664285545</v>
      </c>
      <c r="M382" s="69">
        <f>IF(M$3&gt;A27remlife,A27value-SUM($G382:L382),IF(A27remlife="N/A","n/a",A27value/A27remlife))</f>
        <v>0.32160703664285545</v>
      </c>
      <c r="N382" s="69">
        <f>IF(N$3&gt;A27remlife,A27value-SUM($G382:M382),IF(A27remlife="N/A","n/a",A27value/A27remlife))</f>
        <v>0.32160703664285545</v>
      </c>
      <c r="O382" s="69">
        <f>IF(O$3&gt;A27remlife,A27value-SUM($G382:N382),IF(A27remlife="N/A","n/a",A27value/A27remlife))</f>
        <v>0.32160703664285545</v>
      </c>
      <c r="P382" s="69">
        <f>IF(P$3&gt;A27remlife,A27value-SUM($G382:O382),IF(A27remlife="N/A","n/a",A27value/A27remlife))</f>
        <v>0.32160703664285545</v>
      </c>
      <c r="Q382" s="69">
        <f>IF(Q$3&gt;A27remlife,A27value-SUM($G382:P382),IF(A27remlife="N/A","n/a",A27value/A27remlife))</f>
        <v>0.32160703664285545</v>
      </c>
      <c r="R382" s="69"/>
      <c r="S382" s="105"/>
      <c r="T382" s="105"/>
      <c r="U382" s="105"/>
      <c r="V382" s="105"/>
      <c r="W382" s="105"/>
      <c r="X382" s="105"/>
      <c r="Y382" s="105"/>
      <c r="Z382" s="105"/>
      <c r="AA382" s="105"/>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48" t="s">
        <v>87</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49"/>
      <c r="F384" s="88">
        <v>1</v>
      </c>
      <c r="G384" s="126"/>
      <c r="H384" s="150"/>
      <c r="I384" s="315"/>
      <c r="J384" s="315"/>
      <c r="K384" s="315"/>
      <c r="L384" s="315"/>
      <c r="M384" s="315"/>
      <c r="N384" s="315"/>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49"/>
      <c r="F385" s="88">
        <v>2</v>
      </c>
      <c r="G385" s="126"/>
      <c r="H385" s="151"/>
      <c r="I385" s="316"/>
      <c r="J385" s="315"/>
      <c r="K385" s="315"/>
      <c r="L385" s="315"/>
      <c r="M385" s="315"/>
      <c r="N385" s="315"/>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49"/>
      <c r="F386" s="88">
        <v>3</v>
      </c>
      <c r="G386" s="126"/>
      <c r="H386" s="151"/>
      <c r="I386" s="315"/>
      <c r="J386" s="316"/>
      <c r="K386" s="315"/>
      <c r="L386" s="315"/>
      <c r="M386" s="315"/>
      <c r="N386" s="315"/>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49"/>
      <c r="F387" s="88">
        <v>4</v>
      </c>
      <c r="G387" s="126"/>
      <c r="H387" s="151"/>
      <c r="I387" s="315"/>
      <c r="J387" s="315"/>
      <c r="K387" s="316"/>
      <c r="L387" s="315"/>
      <c r="M387" s="315"/>
      <c r="N387" s="315"/>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49"/>
      <c r="F388" s="88">
        <v>5</v>
      </c>
      <c r="G388" s="27"/>
      <c r="H388" s="151"/>
      <c r="I388" s="315"/>
      <c r="J388" s="315"/>
      <c r="K388" s="315"/>
      <c r="L388" s="316"/>
      <c r="M388" s="315"/>
      <c r="N388" s="315"/>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49"/>
      <c r="F389" s="88">
        <v>6</v>
      </c>
      <c r="G389" s="27"/>
      <c r="H389" s="151"/>
      <c r="I389" s="315"/>
      <c r="J389" s="315"/>
      <c r="K389" s="315"/>
      <c r="L389" s="315"/>
      <c r="M389" s="316"/>
      <c r="N389" s="315"/>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49"/>
      <c r="F390" s="88">
        <v>7</v>
      </c>
      <c r="G390" s="27"/>
      <c r="H390" s="151"/>
      <c r="I390" s="315"/>
      <c r="J390" s="315"/>
      <c r="K390" s="315"/>
      <c r="L390" s="315"/>
      <c r="M390" s="315"/>
      <c r="N390" s="316"/>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49"/>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49"/>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49"/>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t="str">
        <f>Asset27</f>
        <v>Land Improvements</v>
      </c>
      <c r="E394" s="9"/>
      <c r="F394" s="9"/>
      <c r="G394" s="126"/>
      <c r="H394" s="170">
        <f>-SUM(H382:H393)</f>
        <v>-0.32160703664285545</v>
      </c>
      <c r="I394" s="170">
        <f>-SUM(I382:I393)</f>
        <v>-0.32160703664285545</v>
      </c>
      <c r="J394" s="170">
        <f>-SUM(J382:J393)</f>
        <v>-0.32160703664285545</v>
      </c>
      <c r="K394" s="170">
        <f>-SUM(K382:K393)</f>
        <v>-0.32160703664285545</v>
      </c>
      <c r="L394" s="170">
        <f>-SUM(L382:L393)</f>
        <v>-0.32160703664285545</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Equity Raising Costs</v>
      </c>
      <c r="D395" s="166"/>
      <c r="E395" s="34" t="s">
        <v>28</v>
      </c>
      <c r="F395" s="33"/>
      <c r="G395" s="181"/>
      <c r="H395" s="69" t="str">
        <f>IF(H$3&gt;A28remlife,A28value-SUM($G395:G395),IF(A28remlife="N/A","n/a",A28value/A28remlife))</f>
        <v>n/a</v>
      </c>
      <c r="I395" s="69" t="str">
        <f>IF(I$3&gt;A28remlife,A28value-SUM($G395:H395),IF(A28remlife="N/A","n/a",A28value/A28remlife))</f>
        <v>n/a</v>
      </c>
      <c r="J395" s="69" t="str">
        <f>IF(J$3&gt;A28remlife,A28value-SUM($G395:I395),IF(A28remlife="N/A","n/a",A28value/A28remlife))</f>
        <v>n/a</v>
      </c>
      <c r="K395" s="69" t="str">
        <f>IF(K$3&gt;A28remlife,A28value-SUM($G395:J395),IF(A28remlife="N/A","n/a",A28value/A28remlife))</f>
        <v>n/a</v>
      </c>
      <c r="L395" s="69" t="str">
        <f>IF(L$3&gt;A28remlife,A28value-SUM($G395:K395),IF(A28remlife="N/A","n/a",A28value/A28remlife))</f>
        <v>n/a</v>
      </c>
      <c r="M395" s="69" t="str">
        <f>IF(M$3&gt;A28remlife,A28value-SUM($G395:L395),IF(A28remlife="N/A","n/a",A28value/A28remlife))</f>
        <v>n/a</v>
      </c>
      <c r="N395" s="69" t="str">
        <f>IF(N$3&gt;A28remlife,A28value-SUM($G395:M395),IF(A28remlife="N/A","n/a",A28value/A28remlife))</f>
        <v>n/a</v>
      </c>
      <c r="O395" s="69" t="str">
        <f>IF(O$3&gt;A28remlife,A28value-SUM($G395:N395),IF(A28remlife="N/A","n/a",A28value/A28remlife))</f>
        <v>n/a</v>
      </c>
      <c r="P395" s="69" t="str">
        <f>IF(P$3&gt;A28remlife,A28value-SUM($G395:O395),IF(A28remlife="N/A","n/a",A28value/A28remlife))</f>
        <v>n/a</v>
      </c>
      <c r="Q395" s="69" t="str">
        <f>IF(Q$3&gt;A28remlife,A28value-SUM($G395:P395),IF(A28remlife="N/A","n/a",A28value/A28remlife))</f>
        <v>n/a</v>
      </c>
      <c r="R395" s="69"/>
      <c r="S395" s="105"/>
      <c r="T395" s="105"/>
      <c r="U395" s="105"/>
      <c r="V395" s="105"/>
      <c r="W395" s="105"/>
      <c r="X395" s="105"/>
      <c r="Y395" s="105"/>
      <c r="Z395" s="105"/>
      <c r="AA395" s="105"/>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48" t="s">
        <v>87</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49"/>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49"/>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49"/>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49"/>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49"/>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49"/>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49"/>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49"/>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49"/>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49"/>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Equity Raising Costs</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Not Used</v>
      </c>
      <c r="D408" s="166"/>
      <c r="E408" s="34" t="s">
        <v>28</v>
      </c>
      <c r="F408" s="33"/>
      <c r="G408" s="181"/>
      <c r="H408" s="69" t="str">
        <f>IF(H$3&gt;A29remlife,A29value-SUM($G408:G408),IF(A29remlife="N/A","n/a",A29value/A29remlife))</f>
        <v>n/a</v>
      </c>
      <c r="I408" s="69" t="str">
        <f>IF(I$3&gt;A29remlife,A29value-SUM($G408:H408),IF(A29remlife="N/A","n/a",A29value/A29remlife))</f>
        <v>n/a</v>
      </c>
      <c r="J408" s="69" t="str">
        <f>IF(J$3&gt;A29remlife,A29value-SUM($G408:I408),IF(A29remlife="N/A","n/a",A29value/A29remlife))</f>
        <v>n/a</v>
      </c>
      <c r="K408" s="69" t="str">
        <f>IF(K$3&gt;A29remlife,A29value-SUM($G408:J408),IF(A29remlife="N/A","n/a",A29value/A29remlife))</f>
        <v>n/a</v>
      </c>
      <c r="L408" s="69" t="str">
        <f>IF(L$3&gt;A29remlife,A29value-SUM($G408:K408),IF(A29remlife="N/A","n/a",A29value/A29remlife))</f>
        <v>n/a</v>
      </c>
      <c r="M408" s="69" t="str">
        <f>IF(M$3&gt;A29remlife,A29value-SUM($G408:L408),IF(A29remlife="N/A","n/a",A29value/A29remlife))</f>
        <v>n/a</v>
      </c>
      <c r="N408" s="69" t="str">
        <f>IF(N$3&gt;A29remlife,A29value-SUM($G408:M408),IF(A29remlife="N/A","n/a",A29value/A29remlife))</f>
        <v>n/a</v>
      </c>
      <c r="O408" s="69" t="str">
        <f>IF(O$3&gt;A29remlife,A29value-SUM($G408:N408),IF(A29remlife="N/A","n/a",A29value/A29remlife))</f>
        <v>n/a</v>
      </c>
      <c r="P408" s="69" t="str">
        <f>IF(P$3&gt;A29remlife,A29value-SUM($G408:O408),IF(A29remlife="N/A","n/a",A29value/A29remlife))</f>
        <v>n/a</v>
      </c>
      <c r="Q408" s="69" t="str">
        <f>IF(Q$3&gt;A29remlife,A29value-SUM($G408:P408),IF(A29remlife="N/A","n/a",A29value/A29remlife))</f>
        <v>n/a</v>
      </c>
      <c r="R408" s="69"/>
      <c r="S408" s="105"/>
      <c r="T408" s="105"/>
      <c r="U408" s="105"/>
      <c r="V408" s="105"/>
      <c r="W408" s="105"/>
      <c r="X408" s="105"/>
      <c r="Y408" s="105"/>
      <c r="Z408" s="105"/>
      <c r="AA408" s="105"/>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48" t="s">
        <v>87</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49"/>
      <c r="F410" s="88">
        <v>1</v>
      </c>
      <c r="G410" s="126"/>
      <c r="H410" s="150"/>
      <c r="I410" s="70" t="str">
        <f>IF(A29stdlife="n/a","n/a",IF(I$3&gt;(A29stdlife+$F410),(Input!$H$171*(1+vanilla1)^0.5)-SUM($H410:H410),(Input!$H$171*(1+vanilla1)^0.5)/A29stdlife))</f>
        <v>n/a</v>
      </c>
      <c r="J410" s="70" t="str">
        <f>IF(A29stdlife="n/a","n/a",IF(J$3&gt;(A29stdlife+$F410),(Input!$H$171*(1+vanilla1)^0.5)-SUM($H410:I410),(Input!$H$171*(1+vanilla1)^0.5)/A29stdlife))</f>
        <v>n/a</v>
      </c>
      <c r="K410" s="70" t="str">
        <f>IF(A29stdlife="n/a","n/a",IF(K$3&gt;(A29stdlife+$F410),(Input!$H$171*(1+vanilla1)^0.5)-SUM($H410:J410),(Input!$H$171*(1+vanilla1)^0.5)/A29stdlife))</f>
        <v>n/a</v>
      </c>
      <c r="L410" s="70" t="str">
        <f>IF(A29stdlife="n/a","n/a",IF(L$3&gt;(A29stdlife+$F410),(Input!$H$171*(1+vanilla1)^0.5)-SUM($H410:K410),(Input!$H$171*(1+vanilla1)^0.5)/A29stdlife))</f>
        <v>n/a</v>
      </c>
      <c r="M410" s="70" t="str">
        <f>IF(A29stdlife="n/a","n/a",IF(M$3&gt;(A29stdlife+$F410),(Input!$H$171*(1+vanilla1)^0.5)-SUM($H410:L410),(Input!$H$171*(1+vanilla1)^0.5)/A29stdlife))</f>
        <v>n/a</v>
      </c>
      <c r="N410" s="70" t="str">
        <f>IF(A29stdlife="n/a","n/a",IF(N$3&gt;(A29stdlife+$F410),(Input!$H$171*(1+vanilla1)^0.5)-SUM($H410:M410),(Input!$H$171*(1+vanilla1)^0.5)/A29stdlife))</f>
        <v>n/a</v>
      </c>
      <c r="O410" s="70" t="str">
        <f>IF(A29stdlife="n/a","n/a",IF(O$3&gt;(A29stdlife+$F410),(Input!$H$171*(1+vanilla1)^0.5)-SUM($H410:N410),(Input!$H$171*(1+vanilla1)^0.5)/A29stdlife))</f>
        <v>n/a</v>
      </c>
      <c r="P410" s="70" t="str">
        <f>IF(A29stdlife="n/a","n/a",IF(P$3&gt;(A29stdlife+$F410),(Input!$H$171*(1+vanilla1)^0.5)-SUM($H410:O410),(Input!$H$171*(1+vanilla1)^0.5)/A29stdlife))</f>
        <v>n/a</v>
      </c>
      <c r="Q410" s="70" t="str">
        <f>IF(A29stdlife="n/a","n/a",IF(Q$3&gt;(A29stdlife+$F410),(Input!$H$171*(1+vanilla1)^0.5)-SUM($H410:P410),(Input!$H$171*(1+vanilla1)^0.5)/A29stdlife))</f>
        <v>n/a</v>
      </c>
      <c r="R410" s="70"/>
      <c r="S410" s="105"/>
      <c r="T410" s="105"/>
      <c r="U410" s="105"/>
      <c r="V410" s="105"/>
      <c r="W410" s="105"/>
      <c r="X410" s="105"/>
      <c r="Y410" s="105"/>
      <c r="Z410" s="105"/>
      <c r="AA410" s="105"/>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49"/>
      <c r="F411" s="88">
        <v>2</v>
      </c>
      <c r="G411" s="126"/>
      <c r="H411" s="151"/>
      <c r="I411" s="152"/>
      <c r="J411" s="70" t="str">
        <f>IF(A29stdlife="n/a","n/a",IF(J$3&gt;(A29stdlife+$F411),(Input!$I$171*(1+vanilla2)^0.5)-SUM($I411:I411),(Input!$I$171*(1+vanilla2)^0.5)/A29stdlife))</f>
        <v>n/a</v>
      </c>
      <c r="K411" s="70" t="str">
        <f>IF(A29stdlife="n/a","n/a",IF(K$3&gt;(A29stdlife+$F411),(Input!$I$171*(1+vanilla2)^0.5)-SUM($I411:J411),(Input!$I$171*(1+vanilla2)^0.5)/A29stdlife))</f>
        <v>n/a</v>
      </c>
      <c r="L411" s="70" t="str">
        <f>IF(A29stdlife="n/a","n/a",IF(L$3&gt;(A29stdlife+$F411),(Input!$I$171*(1+vanilla2)^0.5)-SUM($I411:K411),(Input!$I$171*(1+vanilla2)^0.5)/A29stdlife))</f>
        <v>n/a</v>
      </c>
      <c r="M411" s="70" t="str">
        <f>IF(A29stdlife="n/a","n/a",IF(M$3&gt;(A29stdlife+$F411),(Input!$I$171*(1+vanilla2)^0.5)-SUM($I411:L411),(Input!$I$171*(1+vanilla2)^0.5)/A29stdlife))</f>
        <v>n/a</v>
      </c>
      <c r="N411" s="70" t="str">
        <f>IF(A29stdlife="n/a","n/a",IF(N$3&gt;(A29stdlife+$F411),(Input!$I$171*(1+vanilla2)^0.5)-SUM($I411:M411),(Input!$I$171*(1+vanilla2)^0.5)/A29stdlife))</f>
        <v>n/a</v>
      </c>
      <c r="O411" s="70" t="str">
        <f>IF(A29stdlife="n/a","n/a",IF(O$3&gt;(A29stdlife+$F411),(Input!$I$171*(1+vanilla2)^0.5)-SUM($I411:N411),(Input!$I$171*(1+vanilla2)^0.5)/A29stdlife))</f>
        <v>n/a</v>
      </c>
      <c r="P411" s="70" t="str">
        <f>IF(A29stdlife="n/a","n/a",IF(P$3&gt;(A29stdlife+$F411),(Input!$I$171*(1+vanilla2)^0.5)-SUM($I411:O411),(Input!$I$171*(1+vanilla2)^0.5)/A29stdlife))</f>
        <v>n/a</v>
      </c>
      <c r="Q411" s="70" t="str">
        <f>IF(A29stdlife="n/a","n/a",IF(Q$3&gt;(A29stdlife+$F411),(Input!$I$171*(1+vanilla2)^0.5)-SUM($I411:P411),(Input!$I$171*(1+vanilla2)^0.5)/A29stdlife))</f>
        <v>n/a</v>
      </c>
      <c r="R411" s="70"/>
      <c r="S411" s="105"/>
      <c r="T411" s="105"/>
      <c r="U411" s="105"/>
      <c r="V411" s="105"/>
      <c r="W411" s="105"/>
      <c r="X411" s="105"/>
      <c r="Y411" s="105"/>
      <c r="Z411" s="105"/>
      <c r="AA411" s="105"/>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49"/>
      <c r="F412" s="88">
        <v>3</v>
      </c>
      <c r="G412" s="126"/>
      <c r="H412" s="151"/>
      <c r="I412" s="153"/>
      <c r="J412" s="152"/>
      <c r="K412" s="70" t="str">
        <f>IF(A29stdlife="n/a","n/a",IF(K$3&gt;(A29stdlife+$F412),(Input!$J$171*(1+vanilla3)^0.5)-SUM($J412:J412),(Input!$J$171*(1+vanilla3)^0.5)/A29stdlife))</f>
        <v>n/a</v>
      </c>
      <c r="L412" s="70" t="str">
        <f>IF(A29stdlife="n/a","n/a",IF(L$3&gt;(A29stdlife+$F412),(Input!$J$171*(1+vanilla3)^0.5)-SUM($J412:K412),(Input!$J$171*(1+vanilla3)^0.5)/A29stdlife))</f>
        <v>n/a</v>
      </c>
      <c r="M412" s="70" t="str">
        <f>IF(A29stdlife="n/a","n/a",IF(M$3&gt;(A29stdlife+$F412),(Input!$J$171*(1+vanilla3)^0.5)-SUM($J412:L412),(Input!$J$171*(1+vanilla3)^0.5)/A29stdlife))</f>
        <v>n/a</v>
      </c>
      <c r="N412" s="70" t="str">
        <f>IF(A29stdlife="n/a","n/a",IF(N$3&gt;(A29stdlife+$F412),(Input!$J$171*(1+vanilla3)^0.5)-SUM($J412:M412),(Input!$J$171*(1+vanilla3)^0.5)/A29stdlife))</f>
        <v>n/a</v>
      </c>
      <c r="O412" s="70" t="str">
        <f>IF(A29stdlife="n/a","n/a",IF(O$3&gt;(A29stdlife+$F412),(Input!$J$171*(1+vanilla3)^0.5)-SUM($J412:N412),(Input!$J$171*(1+vanilla3)^0.5)/A29stdlife))</f>
        <v>n/a</v>
      </c>
      <c r="P412" s="70" t="str">
        <f>IF(A29stdlife="n/a","n/a",IF(P$3&gt;(A29stdlife+$F412),(Input!$J$171*(1+vanilla3)^0.5)-SUM($J412:O412),(Input!$J$171*(1+vanilla3)^0.5)/A29stdlife))</f>
        <v>n/a</v>
      </c>
      <c r="Q412" s="70" t="str">
        <f>IF(A29stdlife="n/a","n/a",IF(Q$3&gt;(A29stdlife+$F412),(Input!$J$171*(1+vanilla3)^0.5)-SUM($J412:P412),(Input!$J$171*(1+vanilla3)^0.5)/A29stdlife))</f>
        <v>n/a</v>
      </c>
      <c r="R412" s="70"/>
      <c r="S412" s="105"/>
      <c r="T412" s="105"/>
      <c r="U412" s="105"/>
      <c r="V412" s="105"/>
      <c r="W412" s="105"/>
      <c r="X412" s="105"/>
      <c r="Y412" s="105"/>
      <c r="Z412" s="105"/>
      <c r="AA412" s="105"/>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49"/>
      <c r="F413" s="88">
        <v>4</v>
      </c>
      <c r="G413" s="126"/>
      <c r="H413" s="151"/>
      <c r="I413" s="153"/>
      <c r="J413" s="153"/>
      <c r="K413" s="152"/>
      <c r="L413" s="70" t="str">
        <f>IF(A29stdlife="n/a","n/a",IF(L$3&gt;(A29stdlife+$F413),(Input!$K$171*(1+vanilla4)^0.5)-SUM($K413:K413),(Input!$K$171*(1+vanilla4)^0.5)/A29stdlife))</f>
        <v>n/a</v>
      </c>
      <c r="M413" s="70" t="str">
        <f>IF(A29stdlife="n/a","n/a",IF(M$3&gt;(A29stdlife+$F413),(Input!$K$171*(1+vanilla4)^0.5)-SUM($K413:L413),(Input!$K$171*(1+vanilla4)^0.5)/A29stdlife))</f>
        <v>n/a</v>
      </c>
      <c r="N413" s="70" t="str">
        <f>IF(A29stdlife="n/a","n/a",IF(N$3&gt;(A29stdlife+$F413),(Input!$K$171*(1+vanilla4)^0.5)-SUM($K413:M413),(Input!$K$171*(1+vanilla4)^0.5)/A29stdlife))</f>
        <v>n/a</v>
      </c>
      <c r="O413" s="70" t="str">
        <f>IF(A29stdlife="n/a","n/a",IF(O$3&gt;(A29stdlife+$F413),(Input!$K$171*(1+vanilla4)^0.5)-SUM($K413:N413),(Input!$K$171*(1+vanilla4)^0.5)/A29stdlife))</f>
        <v>n/a</v>
      </c>
      <c r="P413" s="70" t="str">
        <f>IF(A29stdlife="n/a","n/a",IF(P$3&gt;(A29stdlife+$F413),(Input!$K$171*(1+vanilla4)^0.5)-SUM($K413:O413),(Input!$K$171*(1+vanilla4)^0.5)/A29stdlife))</f>
        <v>n/a</v>
      </c>
      <c r="Q413" s="70" t="str">
        <f>IF(A29stdlife="n/a","n/a",IF(Q$3&gt;(A29stdlife+$F413),(Input!$K$171*(1+vanilla4)^0.5)-SUM($K413:P413),(Input!$K$171*(1+vanilla4)^0.5)/A29stdlife))</f>
        <v>n/a</v>
      </c>
      <c r="R413" s="70"/>
      <c r="S413" s="105"/>
      <c r="T413" s="105"/>
      <c r="U413" s="105"/>
      <c r="V413" s="105"/>
      <c r="W413" s="105"/>
      <c r="X413" s="105"/>
      <c r="Y413" s="105"/>
      <c r="Z413" s="105"/>
      <c r="AA413" s="105"/>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49"/>
      <c r="F414" s="88">
        <v>5</v>
      </c>
      <c r="G414" s="27"/>
      <c r="H414" s="151"/>
      <c r="I414" s="153"/>
      <c r="J414" s="153"/>
      <c r="K414" s="153"/>
      <c r="L414" s="152"/>
      <c r="M414" s="70" t="str">
        <f>IF(A29stdlife="n/a","n/a",IF(M$3&gt;(A29stdlife+$F414),(Input!$L$171*(1+vanilla5)^0.5)-SUM($L414:L414),(Input!$L$171*(1+vanilla5)^0.5)/A29stdlife))</f>
        <v>n/a</v>
      </c>
      <c r="N414" s="70" t="str">
        <f>IF(A29stdlife="n/a","n/a",IF(N$3&gt;(A29stdlife+$F414),(Input!$L$171*(1+vanilla5)^0.5)-SUM($L414:M414),(Input!$L$171*(1+vanilla5)^0.5)/A29stdlife))</f>
        <v>n/a</v>
      </c>
      <c r="O414" s="70" t="str">
        <f>IF(A29stdlife="n/a","n/a",IF(O$3&gt;(A29stdlife+$F414),(Input!$L$171*(1+vanilla5)^0.5)-SUM($L414:N414),(Input!$L$171*(1+vanilla5)^0.5)/A29stdlife))</f>
        <v>n/a</v>
      </c>
      <c r="P414" s="70" t="str">
        <f>IF(A29stdlife="n/a","n/a",IF(P$3&gt;(A29stdlife+$F414),(Input!$L$171*(1+vanilla5)^0.5)-SUM($L414:O414),(Input!$L$171*(1+vanilla5)^0.5)/A29stdlife))</f>
        <v>n/a</v>
      </c>
      <c r="Q414" s="70" t="str">
        <f>IF(A29stdlife="n/a","n/a",IF(Q$3&gt;(A29stdlife+$F414),(Input!$L$171*(1+vanilla5)^0.5)-SUM($L414:P414),(Input!$L$171*(1+vanilla5)^0.5)/A29stdlife))</f>
        <v>n/a</v>
      </c>
      <c r="R414" s="70"/>
      <c r="S414" s="105"/>
      <c r="T414" s="105"/>
      <c r="U414" s="105"/>
      <c r="V414" s="105"/>
      <c r="W414" s="105"/>
      <c r="X414" s="105"/>
      <c r="Y414" s="105"/>
      <c r="Z414" s="105"/>
      <c r="AA414" s="105"/>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49"/>
      <c r="F415" s="88">
        <v>6</v>
      </c>
      <c r="G415" s="27"/>
      <c r="H415" s="151"/>
      <c r="I415" s="153"/>
      <c r="J415" s="153"/>
      <c r="K415" s="153"/>
      <c r="L415" s="153"/>
      <c r="M415" s="152"/>
      <c r="N415" s="70" t="str">
        <f>IF(A29stdlife="n/a","n/a",IF(N$3&gt;(A29stdlife+$F415),(Input!$M$171*(1+vanilla6)^0.5)-SUM($M415:M415),(Input!$M$171*(1+vanilla6)^0.5)/A29stdlife))</f>
        <v>n/a</v>
      </c>
      <c r="O415" s="70" t="str">
        <f>IF(A29stdlife="n/a","n/a",IF(O$3&gt;(A29stdlife+$F415),(Input!$M$171*(1+vanilla6)^0.5)-SUM($M415:N415),(Input!$M$171*(1+vanilla6)^0.5)/A29stdlife))</f>
        <v>n/a</v>
      </c>
      <c r="P415" s="70" t="str">
        <f>IF(A29stdlife="n/a","n/a",IF(P$3&gt;(A29stdlife+$F415),(Input!$M$171*(1+vanilla6)^0.5)-SUM($M415:O415),(Input!$M$171*(1+vanilla6)^0.5)/A29stdlife))</f>
        <v>n/a</v>
      </c>
      <c r="Q415" s="70" t="str">
        <f>IF(A29stdlife="n/a","n/a",IF(Q$3&gt;(A29stdlife+$F415),(Input!$M$171*(1+vanilla6)^0.5)-SUM($M415:P415),(Input!$M$171*(1+vanilla6)^0.5)/A29stdlife))</f>
        <v>n/a</v>
      </c>
      <c r="R415" s="70"/>
      <c r="S415" s="105"/>
      <c r="T415" s="105"/>
      <c r="U415" s="105"/>
      <c r="V415" s="105"/>
      <c r="W415" s="105"/>
      <c r="X415" s="105"/>
      <c r="Y415" s="105"/>
      <c r="Z415" s="105"/>
      <c r="AA415" s="105"/>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49"/>
      <c r="F416" s="88">
        <v>7</v>
      </c>
      <c r="G416" s="27"/>
      <c r="H416" s="151"/>
      <c r="I416" s="153"/>
      <c r="J416" s="153"/>
      <c r="K416" s="153"/>
      <c r="L416" s="153"/>
      <c r="M416" s="153"/>
      <c r="N416" s="152"/>
      <c r="O416" s="70" t="str">
        <f>IF(A29stdlife="n/a","n/a",IF(O$3&gt;(A29stdlife+$F416),(Input!N$171*(1+vanilla7)^0.5)-SUM($N416:N416),(Input!$N$171*(1+vanilla7)^0.5)/A29stdlife))</f>
        <v>n/a</v>
      </c>
      <c r="P416" s="70" t="str">
        <f>IF(A29stdlife="n/a","n/a",IF(P$3&gt;(A29stdlife+$F416),(Input!O$171*(1+vanilla7)^0.5)-SUM($N416:O416),(Input!$N$171*(1+vanilla7)^0.5)/A29stdlife))</f>
        <v>n/a</v>
      </c>
      <c r="Q416" s="70" t="str">
        <f>IF(A29stdlife="n/a","n/a",IF(Q$3&gt;(A29stdlife+$F416),(Input!P$171*(1+vanilla7)^0.5)-SUM($N416:P416),(Input!$N$171*(1+vanilla7)^0.5)/A29stdlife))</f>
        <v>n/a</v>
      </c>
      <c r="R416" s="70"/>
      <c r="S416" s="105"/>
      <c r="T416" s="105"/>
      <c r="U416" s="105"/>
      <c r="V416" s="105"/>
      <c r="W416" s="105"/>
      <c r="X416" s="105"/>
      <c r="Y416" s="105"/>
      <c r="Z416" s="105"/>
      <c r="AA416" s="105"/>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49"/>
      <c r="F417" s="88">
        <v>8</v>
      </c>
      <c r="G417" s="27"/>
      <c r="H417" s="151"/>
      <c r="I417" s="153"/>
      <c r="J417" s="153"/>
      <c r="K417" s="153"/>
      <c r="L417" s="153"/>
      <c r="M417" s="153"/>
      <c r="N417" s="153"/>
      <c r="O417" s="152"/>
      <c r="P417" s="70" t="str">
        <f>IF(A29stdlife="n/a","n/a",IF(P$3&gt;(A29stdlife+$F417),(Input!$O$171*(1+vanilla8)^0.5)-SUM($O417:O417),(Input!$O$171*(1+vanilla8)^0.5)/A29stdlife))</f>
        <v>n/a</v>
      </c>
      <c r="Q417" s="70" t="str">
        <f>IF(A29stdlife="n/a","n/a",IF(Q$3&gt;(A29stdlife+$F417),(Input!$O$171*(1+vanilla8)^0.5)-SUM($O417:P417),(Input!$O$171*(1+vanilla8)^0.5)/A29stdlife))</f>
        <v>n/a</v>
      </c>
      <c r="R417" s="70"/>
      <c r="S417" s="105"/>
      <c r="T417" s="105"/>
      <c r="U417" s="105"/>
      <c r="V417" s="105"/>
      <c r="W417" s="105"/>
      <c r="X417" s="105"/>
      <c r="Y417" s="105"/>
      <c r="Z417" s="105"/>
      <c r="AA417" s="105"/>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49"/>
      <c r="F418" s="88">
        <v>9</v>
      </c>
      <c r="G418" s="27"/>
      <c r="H418" s="151"/>
      <c r="I418" s="153"/>
      <c r="J418" s="153"/>
      <c r="K418" s="153"/>
      <c r="L418" s="153"/>
      <c r="M418" s="153"/>
      <c r="N418" s="153"/>
      <c r="O418" s="153"/>
      <c r="P418" s="152"/>
      <c r="Q418" s="70" t="str">
        <f>IF(A29stdlife="n/a","n/a",IF(Q$3&gt;(A29stdlife+$F418),(Input!$P$171*(1+vanilla9)^0.5)-SUM($P418:P418),(Input!$P$171*(1+vanilla9)^0.5)/A29stdlife))</f>
        <v>n/a</v>
      </c>
      <c r="R418" s="70"/>
      <c r="S418" s="105"/>
      <c r="T418" s="105"/>
      <c r="U418" s="105"/>
      <c r="V418" s="105"/>
      <c r="W418" s="105"/>
      <c r="X418" s="105"/>
      <c r="Y418" s="105"/>
      <c r="Z418" s="105"/>
      <c r="AA418" s="105"/>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49"/>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Not Used</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Not Used</v>
      </c>
      <c r="D421" s="166"/>
      <c r="E421" s="34" t="s">
        <v>28</v>
      </c>
      <c r="F421" s="33"/>
      <c r="G421" s="181"/>
      <c r="H421" s="69" t="str">
        <f>IF(H$3&gt;A30remlife,A30value-SUM($G421:G421),IF(A30remlife="N/A","n/a",A30value/A30remlife))</f>
        <v>n/a</v>
      </c>
      <c r="I421" s="69" t="str">
        <f>IF(I$3&gt;A30remlife,A30value-SUM($G421:H421),IF(A30remlife="N/A","n/a",A30value/A30remlife))</f>
        <v>n/a</v>
      </c>
      <c r="J421" s="69" t="str">
        <f>IF(J$3&gt;A30remlife,A30value-SUM($G421:I421),IF(A30remlife="N/A","n/a",A30value/A30remlife))</f>
        <v>n/a</v>
      </c>
      <c r="K421" s="69" t="str">
        <f>IF(K$3&gt;A30remlife,A30value-SUM($G421:J421),IF(A30remlife="N/A","n/a",A30value/A30remlife))</f>
        <v>n/a</v>
      </c>
      <c r="L421" s="69" t="str">
        <f>IF(L$3&gt;A30remlife,A30value-SUM($G421:K421),IF(A30remlife="N/A","n/a",A30value/A30remlife))</f>
        <v>n/a</v>
      </c>
      <c r="M421" s="69" t="str">
        <f>IF(M$3&gt;A30remlife,A30value-SUM($G421:L421),IF(A30remlife="N/A","n/a",A30value/A30remlife))</f>
        <v>n/a</v>
      </c>
      <c r="N421" s="69" t="str">
        <f>IF(N$3&gt;A30remlife,A30value-SUM($G421:M421),IF(A30remlife="N/A","n/a",A30value/A30remlife))</f>
        <v>n/a</v>
      </c>
      <c r="O421" s="69" t="str">
        <f>IF(O$3&gt;A30remlife,A30value-SUM($G421:N421),IF(A30remlife="N/A","n/a",A30value/A30remlife))</f>
        <v>n/a</v>
      </c>
      <c r="P421" s="69" t="str">
        <f>IF(P$3&gt;A30remlife,A30value-SUM($G421:O421),IF(A30remlife="N/A","n/a",A30value/A30remlife))</f>
        <v>n/a</v>
      </c>
      <c r="Q421" s="69" t="str">
        <f>IF(Q$3&gt;A30remlife,A30value-SUM($G421:P421),IF(A30remlife="N/A","n/a",A30value/A30remlife))</f>
        <v>n/a</v>
      </c>
      <c r="R421" s="69"/>
      <c r="S421" s="105"/>
      <c r="T421" s="105"/>
      <c r="U421" s="105"/>
      <c r="V421" s="105"/>
      <c r="W421" s="105"/>
      <c r="X421" s="105"/>
      <c r="Y421" s="105"/>
      <c r="Z421" s="105"/>
      <c r="AA421" s="105"/>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48" t="s">
        <v>87</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49"/>
      <c r="F423" s="88">
        <v>1</v>
      </c>
      <c r="G423" s="126"/>
      <c r="H423" s="150"/>
      <c r="I423" s="70" t="str">
        <f>IF(A30stdlife="n/a","n/a",IF(I$3&gt;(A30stdlife+$F423),(Input!$H$172*(1+vanilla1)^0.5)-SUM($H423:H423),(Input!$H$172*(1+vanilla1)^0.5)/A30stdlife))</f>
        <v>n/a</v>
      </c>
      <c r="J423" s="70" t="str">
        <f>IF(A30stdlife="n/a","n/a",IF(J$3&gt;(A30stdlife+$F423),(Input!$H$172*(1+vanilla1)^0.5)-SUM($H423:I423),(Input!$H$172*(1+vanilla1)^0.5)/A30stdlife))</f>
        <v>n/a</v>
      </c>
      <c r="K423" s="70" t="str">
        <f>IF(A30stdlife="n/a","n/a",IF(K$3&gt;(A30stdlife+$F423),(Input!$H$172*(1+vanilla1)^0.5)-SUM($H423:J423),(Input!$H$172*(1+vanilla1)^0.5)/A30stdlife))</f>
        <v>n/a</v>
      </c>
      <c r="L423" s="70" t="str">
        <f>IF(A30stdlife="n/a","n/a",IF(L$3&gt;(A30stdlife+$F423),(Input!$H$172*(1+vanilla1)^0.5)-SUM($H423:K423),(Input!$H$172*(1+vanilla1)^0.5)/A30stdlife))</f>
        <v>n/a</v>
      </c>
      <c r="M423" s="70" t="str">
        <f>IF(A30stdlife="n/a","n/a",IF(M$3&gt;(A30stdlife+$F423),(Input!$H$172*(1+vanilla1)^0.5)-SUM($H423:L423),(Input!$H$172*(1+vanilla1)^0.5)/A30stdlife))</f>
        <v>n/a</v>
      </c>
      <c r="N423" s="70" t="str">
        <f>IF(A30stdlife="n/a","n/a",IF(N$3&gt;(A30stdlife+$F423),(Input!$H$172*(1+vanilla1)^0.5)-SUM($H423:M423),(Input!$H$172*(1+vanilla1)^0.5)/A30stdlife))</f>
        <v>n/a</v>
      </c>
      <c r="O423" s="70" t="str">
        <f>IF(A30stdlife="n/a","n/a",IF(O$3&gt;(A30stdlife+$F423),(Input!$H$172*(1+vanilla1)^0.5)-SUM($H423:N423),(Input!$H$172*(1+vanilla1)^0.5)/A30stdlife))</f>
        <v>n/a</v>
      </c>
      <c r="P423" s="70" t="str">
        <f>IF(A30stdlife="n/a","n/a",IF(P$3&gt;(A30stdlife+$F423),(Input!$H$172*(1+vanilla1)^0.5)-SUM($H423:O423),(Input!$H$172*(1+vanilla1)^0.5)/A30stdlife))</f>
        <v>n/a</v>
      </c>
      <c r="Q423" s="70" t="str">
        <f>IF(A30stdlife="n/a","n/a",IF(Q$3&gt;(A30stdlife+$F423),(Input!$H$172*(1+vanilla1)^0.5)-SUM($H423:P423),(Input!$H$172*(1+vanilla1)^0.5)/A30stdlife))</f>
        <v>n/a</v>
      </c>
      <c r="R423" s="70"/>
      <c r="S423" s="105"/>
      <c r="T423" s="105"/>
      <c r="U423" s="105"/>
      <c r="V423" s="105"/>
      <c r="W423" s="105"/>
      <c r="X423" s="105"/>
      <c r="Y423" s="105"/>
      <c r="Z423" s="105"/>
      <c r="AA423" s="105"/>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49"/>
      <c r="F424" s="88">
        <v>2</v>
      </c>
      <c r="G424" s="126"/>
      <c r="H424" s="151"/>
      <c r="I424" s="152"/>
      <c r="J424" s="70" t="str">
        <f>IF(A30stdlife="n/a","n/a",IF(J$3&gt;(A30stdlife+$F424),(Input!$I$172*(1+vanilla2)^0.5)-SUM($I424:I424),(Input!$I$172*(1+vanilla2)^0.5)/A30stdlife))</f>
        <v>n/a</v>
      </c>
      <c r="K424" s="70" t="str">
        <f>IF(A30stdlife="n/a","n/a",IF(K$3&gt;(A30stdlife+$F424),(Input!$I$172*(1+vanilla2)^0.5)-SUM($I424:J424),(Input!$I$172*(1+vanilla2)^0.5)/A30stdlife))</f>
        <v>n/a</v>
      </c>
      <c r="L424" s="70" t="str">
        <f>IF(A30stdlife="n/a","n/a",IF(L$3&gt;(A30stdlife+$F424),(Input!$I$172*(1+vanilla2)^0.5)-SUM($I424:K424),(Input!$I$172*(1+vanilla2)^0.5)/A30stdlife))</f>
        <v>n/a</v>
      </c>
      <c r="M424" s="70" t="str">
        <f>IF(A30stdlife="n/a","n/a",IF(M$3&gt;(A30stdlife+$F424),(Input!$I$172*(1+vanilla2)^0.5)-SUM($I424:L424),(Input!$I$172*(1+vanilla2)^0.5)/A30stdlife))</f>
        <v>n/a</v>
      </c>
      <c r="N424" s="70" t="str">
        <f>IF(A30stdlife="n/a","n/a",IF(N$3&gt;(A30stdlife+$F424),(Input!$I$172*(1+vanilla2)^0.5)-SUM($I424:M424),(Input!$I$172*(1+vanilla2)^0.5)/A30stdlife))</f>
        <v>n/a</v>
      </c>
      <c r="O424" s="70" t="str">
        <f>IF(A30stdlife="n/a","n/a",IF(O$3&gt;(A30stdlife+$F424),(Input!$I$172*(1+vanilla2)^0.5)-SUM($I424:N424),(Input!$I$172*(1+vanilla2)^0.5)/A30stdlife))</f>
        <v>n/a</v>
      </c>
      <c r="P424" s="70" t="str">
        <f>IF(A30stdlife="n/a","n/a",IF(P$3&gt;(A30stdlife+$F424),(Input!$I$172*(1+vanilla2)^0.5)-SUM($I424:O424),(Input!$I$172*(1+vanilla2)^0.5)/A30stdlife))</f>
        <v>n/a</v>
      </c>
      <c r="Q424" s="70" t="str">
        <f>IF(A30stdlife="n/a","n/a",IF(Q$3&gt;(A30stdlife+$F424),(Input!$I$172*(1+vanilla2)^0.5)-SUM($I424:P424),(Input!$I$172*(1+vanilla2)^0.5)/A30stdlife))</f>
        <v>n/a</v>
      </c>
      <c r="R424" s="70"/>
      <c r="S424" s="105"/>
      <c r="T424" s="105"/>
      <c r="U424" s="105"/>
      <c r="V424" s="105"/>
      <c r="W424" s="105"/>
      <c r="X424" s="105"/>
      <c r="Y424" s="105"/>
      <c r="Z424" s="105"/>
      <c r="AA424" s="105"/>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49"/>
      <c r="F425" s="88">
        <v>3</v>
      </c>
      <c r="G425" s="126"/>
      <c r="H425" s="151"/>
      <c r="I425" s="153"/>
      <c r="J425" s="152"/>
      <c r="K425" s="70" t="str">
        <f>IF(A30stdlife="n/a","n/a",IF(K$3&gt;(A30stdlife+$F425),(Input!$J$172*(1+vanilla3)^0.5)-SUM($J425:J425),(Input!$J$172*(1+vanilla3)^0.5)/A30stdlife))</f>
        <v>n/a</v>
      </c>
      <c r="L425" s="70" t="str">
        <f>IF(A30stdlife="n/a","n/a",IF(L$3&gt;(A30stdlife+$F425),(Input!$J$172*(1+vanilla3)^0.5)-SUM($J425:K425),(Input!$J$172*(1+vanilla3)^0.5)/A30stdlife))</f>
        <v>n/a</v>
      </c>
      <c r="M425" s="70" t="str">
        <f>IF(A30stdlife="n/a","n/a",IF(M$3&gt;(A30stdlife+$F425),(Input!$J$172*(1+vanilla3)^0.5)-SUM($J425:L425),(Input!$J$172*(1+vanilla3)^0.5)/A30stdlife))</f>
        <v>n/a</v>
      </c>
      <c r="N425" s="70" t="str">
        <f>IF(A30stdlife="n/a","n/a",IF(N$3&gt;(A30stdlife+$F425),(Input!$J$172*(1+vanilla3)^0.5)-SUM($J425:M425),(Input!$J$172*(1+vanilla3)^0.5)/A30stdlife))</f>
        <v>n/a</v>
      </c>
      <c r="O425" s="70" t="str">
        <f>IF(A30stdlife="n/a","n/a",IF(O$3&gt;(A30stdlife+$F425),(Input!$J$172*(1+vanilla3)^0.5)-SUM($J425:N425),(Input!$J$172*(1+vanilla3)^0.5)/A30stdlife))</f>
        <v>n/a</v>
      </c>
      <c r="P425" s="70" t="str">
        <f>IF(A30stdlife="n/a","n/a",IF(P$3&gt;(A30stdlife+$F425),(Input!$J$172*(1+vanilla3)^0.5)-SUM($J425:O425),(Input!$J$172*(1+vanilla3)^0.5)/A30stdlife))</f>
        <v>n/a</v>
      </c>
      <c r="Q425" s="70" t="str">
        <f>IF(A30stdlife="n/a","n/a",IF(Q$3&gt;(A30stdlife+$F425),(Input!$J$172*(1+vanilla3)^0.5)-SUM($J425:P425),(Input!$J$172*(1+vanilla3)^0.5)/A30stdlife))</f>
        <v>n/a</v>
      </c>
      <c r="R425" s="70"/>
      <c r="S425" s="105"/>
      <c r="T425" s="105"/>
      <c r="U425" s="105"/>
      <c r="V425" s="105"/>
      <c r="W425" s="105"/>
      <c r="X425" s="105"/>
      <c r="Y425" s="105"/>
      <c r="Z425" s="105"/>
      <c r="AA425" s="105"/>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49"/>
      <c r="F426" s="88">
        <v>4</v>
      </c>
      <c r="G426" s="126"/>
      <c r="H426" s="151"/>
      <c r="I426" s="153"/>
      <c r="J426" s="153"/>
      <c r="K426" s="152"/>
      <c r="L426" s="70" t="str">
        <f>IF(A30stdlife="n/a","n/a",IF(L$3&gt;(A30stdlife+$F426),(Input!$K$172*(1+vanilla4)^0.5)-SUM($K426:K426),(Input!$K$172*(1+vanilla4)^0.5)/A30stdlife))</f>
        <v>n/a</v>
      </c>
      <c r="M426" s="70" t="str">
        <f>IF(A30stdlife="n/a","n/a",IF(M$3&gt;(A30stdlife+$F426),(Input!$K$172*(1+vanilla4)^0.5)-SUM($K426:L426),(Input!$K$172*(1+vanilla4)^0.5)/A30stdlife))</f>
        <v>n/a</v>
      </c>
      <c r="N426" s="70" t="str">
        <f>IF(A30stdlife="n/a","n/a",IF(N$3&gt;(A30stdlife+$F426),(Input!$K$172*(1+vanilla4)^0.5)-SUM($K426:M426),(Input!$K$172*(1+vanilla4)^0.5)/A30stdlife))</f>
        <v>n/a</v>
      </c>
      <c r="O426" s="70" t="str">
        <f>IF(A30stdlife="n/a","n/a",IF(O$3&gt;(A30stdlife+$F426),(Input!$K$172*(1+vanilla4)^0.5)-SUM($K426:N426),(Input!$K$172*(1+vanilla4)^0.5)/A30stdlife))</f>
        <v>n/a</v>
      </c>
      <c r="P426" s="70" t="str">
        <f>IF(A30stdlife="n/a","n/a",IF(P$3&gt;(A30stdlife+$F426),(Input!$K$172*(1+vanilla4)^0.5)-SUM($K426:O426),(Input!$K$172*(1+vanilla4)^0.5)/A30stdlife))</f>
        <v>n/a</v>
      </c>
      <c r="Q426" s="70" t="str">
        <f>IF(A30stdlife="n/a","n/a",IF(Q$3&gt;(A30stdlife+$F426),(Input!$K$172*(1+vanilla4)^0.5)-SUM($K426:P426),(Input!$K$172*(1+vanilla4)^0.5)/A30stdlife))</f>
        <v>n/a</v>
      </c>
      <c r="R426" s="70"/>
      <c r="S426" s="105"/>
      <c r="T426" s="105"/>
      <c r="U426" s="105"/>
      <c r="V426" s="105"/>
      <c r="W426" s="105"/>
      <c r="X426" s="105"/>
      <c r="Y426" s="105"/>
      <c r="Z426" s="105"/>
      <c r="AA426" s="105"/>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49"/>
      <c r="F427" s="88">
        <v>5</v>
      </c>
      <c r="G427" s="27"/>
      <c r="H427" s="151"/>
      <c r="I427" s="153"/>
      <c r="J427" s="153"/>
      <c r="K427" s="153"/>
      <c r="L427" s="152"/>
      <c r="M427" s="70" t="str">
        <f>IF(A30stdlife="n/a","n/a",IF(M$3&gt;(A30stdlife+$F427),(Input!$L$172*(1+vanilla5)^0.5)-SUM($L427:L427),(Input!$L$172*(1+vanilla5)^0.5)/A30stdlife))</f>
        <v>n/a</v>
      </c>
      <c r="N427" s="70" t="str">
        <f>IF(A30stdlife="n/a","n/a",IF(N$3&gt;(A30stdlife+$F427),(Input!$L$172*(1+vanilla5)^0.5)-SUM($L427:M427),(Input!$L$172*(1+vanilla5)^0.5)/A30stdlife))</f>
        <v>n/a</v>
      </c>
      <c r="O427" s="70" t="str">
        <f>IF(A30stdlife="n/a","n/a",IF(O$3&gt;(A30stdlife+$F427),(Input!$L$172*(1+vanilla5)^0.5)-SUM($L427:N427),(Input!$L$172*(1+vanilla5)^0.5)/A30stdlife))</f>
        <v>n/a</v>
      </c>
      <c r="P427" s="70" t="str">
        <f>IF(A30stdlife="n/a","n/a",IF(P$3&gt;(A30stdlife+$F427),(Input!$L$172*(1+vanilla5)^0.5)-SUM($L427:O427),(Input!$L$172*(1+vanilla5)^0.5)/A30stdlife))</f>
        <v>n/a</v>
      </c>
      <c r="Q427" s="70" t="str">
        <f>IF(A30stdlife="n/a","n/a",IF(Q$3&gt;(A30stdlife+$F427),(Input!$L$172*(1+vanilla5)^0.5)-SUM($L427:P427),(Input!$L$172*(1+vanilla5)^0.5)/A30stdlife))</f>
        <v>n/a</v>
      </c>
      <c r="R427" s="70"/>
      <c r="S427" s="105"/>
      <c r="T427" s="105"/>
      <c r="U427" s="105"/>
      <c r="V427" s="105"/>
      <c r="W427" s="105"/>
      <c r="X427" s="105"/>
      <c r="Y427" s="105"/>
      <c r="Z427" s="105"/>
      <c r="AA427" s="105"/>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49"/>
      <c r="F428" s="88">
        <v>6</v>
      </c>
      <c r="G428" s="27"/>
      <c r="H428" s="151"/>
      <c r="I428" s="153"/>
      <c r="J428" s="153"/>
      <c r="K428" s="153"/>
      <c r="L428" s="153"/>
      <c r="M428" s="152"/>
      <c r="N428" s="70" t="str">
        <f>IF(A30stdlife="n/a","n/a",IF(N$3&gt;(A30stdlife+$F428),(Input!$M$172*(1+vanilla6)^0.5)-SUM($M428:M428),(Input!$M$172*(1+vanilla6)^0.5)/A30stdlife))</f>
        <v>n/a</v>
      </c>
      <c r="O428" s="70" t="str">
        <f>IF(A30stdlife="n/a","n/a",IF(O$3&gt;(A30stdlife+$F428),(Input!$M$172*(1+vanilla6)^0.5)-SUM($M428:N428),(Input!$M$172*(1+vanilla6)^0.5)/A30stdlife))</f>
        <v>n/a</v>
      </c>
      <c r="P428" s="70" t="str">
        <f>IF(A30stdlife="n/a","n/a",IF(P$3&gt;(A30stdlife+$F428),(Input!$M$172*(1+vanilla6)^0.5)-SUM($M428:O428),(Input!$M$172*(1+vanilla6)^0.5)/A30stdlife))</f>
        <v>n/a</v>
      </c>
      <c r="Q428" s="70" t="str">
        <f>IF(A30stdlife="n/a","n/a",IF(Q$3&gt;(A30stdlife+$F428),(Input!$M$172*(1+vanilla6)^0.5)-SUM($M428:P428),(Input!$M$172*(1+vanilla6)^0.5)/A30stdlife))</f>
        <v>n/a</v>
      </c>
      <c r="R428" s="70"/>
      <c r="S428" s="105"/>
      <c r="T428" s="105"/>
      <c r="U428" s="105"/>
      <c r="V428" s="105"/>
      <c r="W428" s="105"/>
      <c r="X428" s="105"/>
      <c r="Y428" s="105"/>
      <c r="Z428" s="105"/>
      <c r="AA428" s="105"/>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49"/>
      <c r="F429" s="88">
        <v>7</v>
      </c>
      <c r="G429" s="27"/>
      <c r="H429" s="151"/>
      <c r="I429" s="153"/>
      <c r="J429" s="153"/>
      <c r="K429" s="153"/>
      <c r="L429" s="153"/>
      <c r="M429" s="153"/>
      <c r="N429" s="152"/>
      <c r="O429" s="70" t="str">
        <f>IF(A30stdlife="n/a","n/a",IF(O$3&gt;(A30stdlife+$F429),(Input!N$172*(1+vanilla7)^0.5)-SUM($N429:N429),(Input!$N$172*(1+vanilla7)^0.5)/A30stdlife))</f>
        <v>n/a</v>
      </c>
      <c r="P429" s="70" t="str">
        <f>IF(A30stdlife="n/a","n/a",IF(P$3&gt;(A30stdlife+$F429),(Input!O$172*(1+vanilla7)^0.5)-SUM($N429:O429),(Input!$N$172*(1+vanilla7)^0.5)/A30stdlife))</f>
        <v>n/a</v>
      </c>
      <c r="Q429" s="70" t="str">
        <f>IF(A30stdlife="n/a","n/a",IF(Q$3&gt;(A30stdlife+$F429),(Input!P$172*(1+vanilla7)^0.5)-SUM($N429:P429),(Input!$N$172*(1+vanilla7)^0.5)/A30stdlife))</f>
        <v>n/a</v>
      </c>
      <c r="R429" s="70"/>
      <c r="S429" s="105"/>
      <c r="T429" s="105"/>
      <c r="U429" s="105"/>
      <c r="V429" s="105"/>
      <c r="W429" s="105"/>
      <c r="X429" s="105"/>
      <c r="Y429" s="105"/>
      <c r="Z429" s="105"/>
      <c r="AA429" s="105"/>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49"/>
      <c r="F430" s="88">
        <v>8</v>
      </c>
      <c r="G430" s="27"/>
      <c r="H430" s="151"/>
      <c r="I430" s="153"/>
      <c r="J430" s="153"/>
      <c r="K430" s="153"/>
      <c r="L430" s="153"/>
      <c r="M430" s="153"/>
      <c r="N430" s="153"/>
      <c r="O430" s="152"/>
      <c r="P430" s="70" t="str">
        <f>IF(A30stdlife="n/a","n/a",IF(P$3&gt;(A30stdlife+$F430),(Input!$O$172*(1+vanilla8)^0.5)-SUM($O430:O430),(Input!$O$172*(1+vanilla8)^0.5)/A30stdlife))</f>
        <v>n/a</v>
      </c>
      <c r="Q430" s="70" t="str">
        <f>IF(A30stdlife="n/a","n/a",IF(Q$3&gt;(A30stdlife+$F430),(Input!$O$172*(1+vanilla8)^0.5)-SUM($O430:P430),(Input!$O$172*(1+vanilla8)^0.5)/A30stdlife))</f>
        <v>n/a</v>
      </c>
      <c r="R430" s="70"/>
      <c r="S430" s="105"/>
      <c r="T430" s="105"/>
      <c r="U430" s="105"/>
      <c r="V430" s="105"/>
      <c r="W430" s="105"/>
      <c r="X430" s="105"/>
      <c r="Y430" s="105"/>
      <c r="Z430" s="105"/>
      <c r="AA430" s="105"/>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49"/>
      <c r="F431" s="88">
        <v>9</v>
      </c>
      <c r="G431" s="27"/>
      <c r="H431" s="151"/>
      <c r="I431" s="153"/>
      <c r="J431" s="153"/>
      <c r="K431" s="153"/>
      <c r="L431" s="153"/>
      <c r="M431" s="153"/>
      <c r="N431" s="153"/>
      <c r="O431" s="153"/>
      <c r="P431" s="152"/>
      <c r="Q431" s="70" t="str">
        <f>IF(A30stdlife="n/a","n/a",IF(Q$3&gt;(A30stdlife+$F431),(Input!$P$172*(1+vanilla9)^0.5)-SUM($P431:P431),(Input!$P$172*(1+vanilla9)^0.5)/A30stdlife))</f>
        <v>n/a</v>
      </c>
      <c r="R431" s="70"/>
      <c r="S431" s="105"/>
      <c r="T431" s="105"/>
      <c r="U431" s="105"/>
      <c r="V431" s="105"/>
      <c r="W431" s="105"/>
      <c r="X431" s="105"/>
      <c r="Y431" s="105"/>
      <c r="Z431" s="105"/>
      <c r="AA431" s="105"/>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49"/>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Not Used</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108"/>
      <c r="BE436" s="108"/>
      <c r="BF436" s="108"/>
      <c r="BG436" s="108"/>
      <c r="BH436" s="108"/>
      <c r="BI436" s="108"/>
      <c r="BJ436" s="108"/>
      <c r="BK436" s="12"/>
      <c r="BL436" s="12"/>
    </row>
    <row r="437" spans="1:256">
      <c r="A437" s="9"/>
      <c r="B437" s="9"/>
      <c r="C437" s="46" t="s">
        <v>46</v>
      </c>
      <c r="D437" s="9"/>
      <c r="E437" s="9"/>
      <c r="F437" s="9"/>
      <c r="G437" s="205">
        <f>SUM(G438:G467)</f>
        <v>6452.6379509999997</v>
      </c>
      <c r="H437" s="118">
        <f>SUM(H438:H467)</f>
        <v>7148.9485249999989</v>
      </c>
      <c r="I437" s="118">
        <f t="shared" ref="I437:R437" si="3">SUM(I438:I467)</f>
        <v>7038.9956169282787</v>
      </c>
      <c r="J437" s="118">
        <f t="shared" si="3"/>
        <v>6826.0974216905197</v>
      </c>
      <c r="K437" s="118">
        <f t="shared" si="3"/>
        <v>6667.5252307525316</v>
      </c>
      <c r="L437" s="118">
        <f t="shared" si="3"/>
        <v>6533.4892552864412</v>
      </c>
      <c r="M437" s="118">
        <f t="shared" si="3"/>
        <v>6312.3370301901841</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101"/>
      <c r="BE437" s="101"/>
      <c r="BF437" s="101"/>
      <c r="BG437" s="101"/>
      <c r="BH437" s="101"/>
      <c r="BI437" s="101"/>
      <c r="BJ437" s="101"/>
      <c r="BK437" s="12"/>
      <c r="BL437" s="12"/>
    </row>
    <row r="438" spans="1:256" hidden="1" outlineLevel="1">
      <c r="A438" s="9"/>
      <c r="B438" s="9"/>
      <c r="C438" s="9"/>
      <c r="D438" s="132" t="str">
        <f>Asset1</f>
        <v>Overhead Sub-Transmission Lines</v>
      </c>
      <c r="E438" s="9"/>
      <c r="F438" s="9"/>
      <c r="G438" s="198">
        <f>Input!J7</f>
        <v>993.69486300000005</v>
      </c>
      <c r="H438" s="113">
        <f t="shared" ref="H438:H457" si="4">G438+G470+G502+G534+G566+G598</f>
        <v>1056.633057</v>
      </c>
      <c r="I438" s="113">
        <f t="shared" ref="I438:M447" si="5">H438+H470+H502</f>
        <v>1060.8807627291108</v>
      </c>
      <c r="J438" s="113">
        <f t="shared" si="5"/>
        <v>1045.6742624814442</v>
      </c>
      <c r="K438" s="113">
        <f>J438+J470+J502</f>
        <v>1039.3426017671729</v>
      </c>
      <c r="L438" s="113">
        <f t="shared" si="5"/>
        <v>1036.5099847907361</v>
      </c>
      <c r="M438" s="113">
        <f t="shared" si="5"/>
        <v>1016.0349514726371</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9"/>
      <c r="BE438" s="9"/>
      <c r="BF438" s="9"/>
      <c r="BG438" s="9"/>
      <c r="BH438" s="9"/>
      <c r="BI438" s="9"/>
      <c r="BJ438" s="9"/>
      <c r="BK438" s="9"/>
      <c r="BL438" s="9"/>
    </row>
    <row r="439" spans="1:256" hidden="1" outlineLevel="1">
      <c r="A439" s="9"/>
      <c r="B439" s="9"/>
      <c r="C439" s="46"/>
      <c r="D439" s="132" t="str">
        <f>Asset2</f>
        <v>Underground Sub-Transmission Cables</v>
      </c>
      <c r="E439" s="9"/>
      <c r="F439" s="9"/>
      <c r="G439" s="198">
        <f>Input!J8</f>
        <v>37.779063999999998</v>
      </c>
      <c r="H439" s="113">
        <f t="shared" si="4"/>
        <v>52.156053999999997</v>
      </c>
      <c r="I439" s="113">
        <f t="shared" si="5"/>
        <v>51.581348283791719</v>
      </c>
      <c r="J439" s="113">
        <f t="shared" si="5"/>
        <v>50.007858245197554</v>
      </c>
      <c r="K439" s="113">
        <f t="shared" si="5"/>
        <v>48.831841449454068</v>
      </c>
      <c r="L439" s="113">
        <f t="shared" si="5"/>
        <v>47.77574582075281</v>
      </c>
      <c r="M439" s="113">
        <f t="shared" si="5"/>
        <v>45.851429407511674</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2"/>
      <c r="BE439" s="102"/>
      <c r="BF439" s="102"/>
      <c r="BG439" s="102"/>
      <c r="BH439" s="102"/>
      <c r="BI439" s="102"/>
      <c r="BJ439" s="102"/>
      <c r="BK439" s="12"/>
      <c r="BL439" s="12"/>
    </row>
    <row r="440" spans="1:256" hidden="1" outlineLevel="1">
      <c r="A440" s="9"/>
      <c r="B440" s="9"/>
      <c r="C440" s="46"/>
      <c r="D440" s="132" t="str">
        <f>Asset3</f>
        <v>Overhead Distribution Lines</v>
      </c>
      <c r="E440" s="9"/>
      <c r="F440" s="9"/>
      <c r="G440" s="198">
        <f>Input!J9</f>
        <v>2051.5581069999998</v>
      </c>
      <c r="H440" s="113">
        <f t="shared" si="4"/>
        <v>2189.4807769999998</v>
      </c>
      <c r="I440" s="113">
        <f t="shared" si="5"/>
        <v>2197.7783848722547</v>
      </c>
      <c r="J440" s="113">
        <f t="shared" si="5"/>
        <v>2165.7395983547299</v>
      </c>
      <c r="K440" s="113">
        <f t="shared" si="5"/>
        <v>2152.0645370921152</v>
      </c>
      <c r="L440" s="113">
        <f t="shared" si="5"/>
        <v>2145.6060130268943</v>
      </c>
      <c r="M440" s="113">
        <f t="shared" si="5"/>
        <v>2102.5917973585729</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102"/>
      <c r="BE440" s="102"/>
      <c r="BF440" s="102"/>
      <c r="BG440" s="102"/>
      <c r="BH440" s="102"/>
      <c r="BI440" s="102"/>
      <c r="BJ440" s="102"/>
      <c r="BK440" s="12"/>
      <c r="BL440" s="12"/>
    </row>
    <row r="441" spans="1:256" hidden="1" outlineLevel="1">
      <c r="A441" s="9"/>
      <c r="B441" s="9"/>
      <c r="C441" s="46"/>
      <c r="D441" s="132" t="str">
        <f>Asset4</f>
        <v>Underground Distribution Cables</v>
      </c>
      <c r="E441" s="9"/>
      <c r="F441" s="9"/>
      <c r="G441" s="198">
        <f>Input!J10</f>
        <v>529.61822400000005</v>
      </c>
      <c r="H441" s="113">
        <f t="shared" si="4"/>
        <v>636.12367100000006</v>
      </c>
      <c r="I441" s="113">
        <f t="shared" si="5"/>
        <v>643.39819064795302</v>
      </c>
      <c r="J441" s="113">
        <f t="shared" si="5"/>
        <v>639.19233379058528</v>
      </c>
      <c r="K441" s="113">
        <f t="shared" si="5"/>
        <v>640.57352340308478</v>
      </c>
      <c r="L441" s="113">
        <f t="shared" si="5"/>
        <v>644.37874343822341</v>
      </c>
      <c r="M441" s="113">
        <f t="shared" si="5"/>
        <v>637.54696350830329</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102"/>
      <c r="BE441" s="102"/>
      <c r="BF441" s="102"/>
      <c r="BG441" s="102"/>
      <c r="BH441" s="102"/>
      <c r="BI441" s="102"/>
      <c r="BJ441" s="102"/>
      <c r="BK441" s="12"/>
      <c r="BL441" s="12"/>
    </row>
    <row r="442" spans="1:256" hidden="1" outlineLevel="1">
      <c r="A442" s="9"/>
      <c r="B442" s="9"/>
      <c r="C442" s="46"/>
      <c r="D442" s="132" t="str">
        <f>Asset5</f>
        <v xml:space="preserve">Distribution Equipment  </v>
      </c>
      <c r="E442" s="9"/>
      <c r="F442" s="9"/>
      <c r="G442" s="198">
        <f>Input!J11</f>
        <v>50.789208000000002</v>
      </c>
      <c r="H442" s="113">
        <f t="shared" si="4"/>
        <v>67.082565000000017</v>
      </c>
      <c r="I442" s="113">
        <f t="shared" si="5"/>
        <v>65.696788815569192</v>
      </c>
      <c r="J442" s="113">
        <f t="shared" si="5"/>
        <v>62.994638947479963</v>
      </c>
      <c r="K442" s="113">
        <f t="shared" si="5"/>
        <v>60.770251275516017</v>
      </c>
      <c r="L442" s="113">
        <f t="shared" si="5"/>
        <v>58.656584651096416</v>
      </c>
      <c r="M442" s="113">
        <f t="shared" si="5"/>
        <v>55.428381155050765</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102"/>
      <c r="BE442" s="102"/>
      <c r="BF442" s="102"/>
      <c r="BG442" s="102"/>
      <c r="BH442" s="102"/>
      <c r="BI442" s="102"/>
      <c r="BJ442" s="102"/>
      <c r="BK442" s="12"/>
      <c r="BL442" s="12"/>
    </row>
    <row r="443" spans="1:256" hidden="1" outlineLevel="1">
      <c r="A443" s="9"/>
      <c r="B443" s="9"/>
      <c r="C443" s="46"/>
      <c r="D443" s="132" t="str">
        <f>Asset6</f>
        <v>Substation Bays</v>
      </c>
      <c r="E443" s="9"/>
      <c r="F443" s="9"/>
      <c r="G443" s="198">
        <f>Input!J12</f>
        <v>729.01710300000002</v>
      </c>
      <c r="H443" s="113">
        <f t="shared" si="4"/>
        <v>826.69113600000003</v>
      </c>
      <c r="I443" s="113">
        <f t="shared" si="5"/>
        <v>828.18220053428752</v>
      </c>
      <c r="J443" s="113">
        <f t="shared" si="5"/>
        <v>814.36267192340949</v>
      </c>
      <c r="K443" s="113">
        <f t="shared" si="5"/>
        <v>807.39183538558177</v>
      </c>
      <c r="L443" s="113">
        <f t="shared" si="5"/>
        <v>803.03526524306847</v>
      </c>
      <c r="M443" s="113">
        <f t="shared" si="5"/>
        <v>784.88169802955463</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102"/>
      <c r="BE443" s="102"/>
      <c r="BF443" s="102"/>
      <c r="BG443" s="102"/>
      <c r="BH443" s="102"/>
      <c r="BI443" s="102"/>
      <c r="BJ443" s="102"/>
      <c r="BK443" s="12"/>
      <c r="BL443" s="12"/>
    </row>
    <row r="444" spans="1:256" hidden="1" outlineLevel="1">
      <c r="A444" s="9"/>
      <c r="B444" s="9"/>
      <c r="C444" s="46"/>
      <c r="D444" s="132" t="str">
        <f>Asset7</f>
        <v>Substation Establishment</v>
      </c>
      <c r="E444" s="9"/>
      <c r="F444" s="9"/>
      <c r="G444" s="198">
        <f>Input!J13</f>
        <v>258.47623700000003</v>
      </c>
      <c r="H444" s="113">
        <f t="shared" si="4"/>
        <v>286.57619800000003</v>
      </c>
      <c r="I444" s="113">
        <f t="shared" si="5"/>
        <v>286.67628746763995</v>
      </c>
      <c r="J444" s="113">
        <f t="shared" si="5"/>
        <v>281.4484263829408</v>
      </c>
      <c r="K444" s="113">
        <f t="shared" si="5"/>
        <v>278.57312454228475</v>
      </c>
      <c r="L444" s="113">
        <f t="shared" si="5"/>
        <v>276.5760167786384</v>
      </c>
      <c r="M444" s="113">
        <f t="shared" si="5"/>
        <v>269.79750998989584</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102"/>
      <c r="BE444" s="102"/>
      <c r="BF444" s="102"/>
      <c r="BG444" s="102"/>
      <c r="BH444" s="102"/>
      <c r="BI444" s="102"/>
      <c r="BJ444" s="102"/>
      <c r="BK444" s="12"/>
      <c r="BL444" s="12"/>
    </row>
    <row r="445" spans="1:256" hidden="1" outlineLevel="1">
      <c r="A445" s="9"/>
      <c r="B445" s="9"/>
      <c r="C445" s="46"/>
      <c r="D445" s="132" t="str">
        <f>Asset8</f>
        <v>Distribution Substation Switchgear</v>
      </c>
      <c r="E445" s="9"/>
      <c r="F445" s="9"/>
      <c r="G445" s="198">
        <f>Input!J14</f>
        <v>87.030482000000006</v>
      </c>
      <c r="H445" s="113">
        <f t="shared" si="4"/>
        <v>93.916054000000003</v>
      </c>
      <c r="I445" s="113">
        <f t="shared" si="5"/>
        <v>94.310283193184219</v>
      </c>
      <c r="J445" s="113">
        <f t="shared" si="5"/>
        <v>92.976195521633727</v>
      </c>
      <c r="K445" s="113">
        <f t="shared" si="5"/>
        <v>92.431788059364919</v>
      </c>
      <c r="L445" s="113">
        <f t="shared" si="5"/>
        <v>92.199506790436928</v>
      </c>
      <c r="M445" s="113">
        <f t="shared" si="5"/>
        <v>90.39906996477167</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102"/>
      <c r="BE445" s="102"/>
      <c r="BF445" s="102"/>
      <c r="BG445" s="102"/>
      <c r="BH445" s="102"/>
      <c r="BI445" s="102"/>
      <c r="BJ445" s="102"/>
      <c r="BK445" s="12"/>
      <c r="BL445" s="12"/>
    </row>
    <row r="446" spans="1:256" hidden="1" outlineLevel="1">
      <c r="A446" s="9"/>
      <c r="B446" s="9"/>
      <c r="C446" s="46"/>
      <c r="D446" s="132" t="str">
        <f>Asset9</f>
        <v>Zone Transformers</v>
      </c>
      <c r="E446" s="9"/>
      <c r="F446" s="9"/>
      <c r="G446" s="198">
        <f>Input!J15</f>
        <v>218.18559099999999</v>
      </c>
      <c r="H446" s="113">
        <f t="shared" si="4"/>
        <v>241.027929</v>
      </c>
      <c r="I446" s="113">
        <f t="shared" si="5"/>
        <v>240.05076390803336</v>
      </c>
      <c r="J446" s="113">
        <f t="shared" si="5"/>
        <v>234.54035779236236</v>
      </c>
      <c r="K446" s="113">
        <f t="shared" si="5"/>
        <v>230.95366786242388</v>
      </c>
      <c r="L446" s="113">
        <f t="shared" si="5"/>
        <v>228.03415648417669</v>
      </c>
      <c r="M446" s="113">
        <f t="shared" si="5"/>
        <v>221.09674382109415</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102"/>
      <c r="BE446" s="102"/>
      <c r="BF446" s="102"/>
      <c r="BG446" s="102"/>
      <c r="BH446" s="102"/>
      <c r="BI446" s="102"/>
      <c r="BJ446" s="102"/>
      <c r="BK446" s="12"/>
      <c r="BL446" s="12"/>
    </row>
    <row r="447" spans="1:256" hidden="1" outlineLevel="1">
      <c r="A447" s="9"/>
      <c r="B447" s="9"/>
      <c r="C447" s="46"/>
      <c r="D447" s="132" t="str">
        <f>Asset10</f>
        <v>Distribution Transformers</v>
      </c>
      <c r="E447" s="9"/>
      <c r="F447" s="9"/>
      <c r="G447" s="198">
        <f>Input!J16</f>
        <v>738.96965799999998</v>
      </c>
      <c r="H447" s="113">
        <f t="shared" si="4"/>
        <v>825.35839399999998</v>
      </c>
      <c r="I447" s="113">
        <f t="shared" si="5"/>
        <v>814.70743396017099</v>
      </c>
      <c r="J447" s="113">
        <f t="shared" si="5"/>
        <v>788.17450821786372</v>
      </c>
      <c r="K447" s="113">
        <f t="shared" si="5"/>
        <v>767.85096393389006</v>
      </c>
      <c r="L447" s="113">
        <f t="shared" si="5"/>
        <v>749.32039251299727</v>
      </c>
      <c r="M447" s="113">
        <f t="shared" si="5"/>
        <v>717.05561095260464</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102"/>
      <c r="BE447" s="102"/>
      <c r="BF447" s="102"/>
      <c r="BG447" s="102"/>
      <c r="BH447" s="102"/>
      <c r="BI447" s="102"/>
      <c r="BJ447" s="102"/>
      <c r="BK447" s="12"/>
      <c r="BL447" s="12"/>
    </row>
    <row r="448" spans="1:256" hidden="1" outlineLevel="1">
      <c r="A448" s="9"/>
      <c r="B448" s="9"/>
      <c r="C448" s="46"/>
      <c r="D448" s="132" t="str">
        <f>Asset11</f>
        <v>Low Voltage Services</v>
      </c>
      <c r="E448" s="9"/>
      <c r="F448" s="9"/>
      <c r="G448" s="198">
        <f>Input!J17</f>
        <v>104.11265400000001</v>
      </c>
      <c r="H448" s="113">
        <f t="shared" si="4"/>
        <v>93.357134000000002</v>
      </c>
      <c r="I448" s="113">
        <f t="shared" ref="I448:M457" si="6">H448+H480+H512</f>
        <v>72.800973745740805</v>
      </c>
      <c r="J448" s="113">
        <f t="shared" si="6"/>
        <v>49.498233385676215</v>
      </c>
      <c r="K448" s="113">
        <f t="shared" si="6"/>
        <v>25.896336142295919</v>
      </c>
      <c r="L448" s="113">
        <f t="shared" si="6"/>
        <v>1.194761886292433</v>
      </c>
      <c r="M448" s="113">
        <f t="shared" si="6"/>
        <v>-0.33453723774057686</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102"/>
      <c r="BE448" s="102"/>
      <c r="BF448" s="102"/>
      <c r="BG448" s="102"/>
      <c r="BH448" s="102"/>
      <c r="BI448" s="102"/>
      <c r="BJ448" s="102"/>
      <c r="BK448" s="12"/>
      <c r="BL448" s="12"/>
    </row>
    <row r="449" spans="1:64" hidden="1" outlineLevel="1">
      <c r="A449" s="9"/>
      <c r="B449" s="9"/>
      <c r="C449" s="46"/>
      <c r="D449" s="132" t="str">
        <f>Asset12</f>
        <v>Metering</v>
      </c>
      <c r="E449" s="9"/>
      <c r="F449" s="9"/>
      <c r="G449" s="198">
        <f>Input!J18</f>
        <v>63.344796000000002</v>
      </c>
      <c r="H449" s="113">
        <f t="shared" si="4"/>
        <v>66.005122</v>
      </c>
      <c r="I449" s="113">
        <f t="shared" si="6"/>
        <v>54.649875350007591</v>
      </c>
      <c r="J449" s="113">
        <f t="shared" si="6"/>
        <v>41.508804034765973</v>
      </c>
      <c r="K449" s="113">
        <f t="shared" si="6"/>
        <v>28.320713068200192</v>
      </c>
      <c r="L449" s="113">
        <f t="shared" si="6"/>
        <v>14.569053616977655</v>
      </c>
      <c r="M449" s="113">
        <f t="shared" si="6"/>
        <v>-0.24587098492008685</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102"/>
      <c r="BE449" s="102"/>
      <c r="BF449" s="102"/>
      <c r="BG449" s="102"/>
      <c r="BH449" s="102"/>
      <c r="BI449" s="102"/>
      <c r="BJ449" s="102"/>
      <c r="BK449" s="12"/>
      <c r="BL449" s="12"/>
    </row>
    <row r="450" spans="1:64" hidden="1" outlineLevel="1">
      <c r="A450" s="9"/>
      <c r="B450" s="9"/>
      <c r="C450" s="46"/>
      <c r="D450" s="132" t="str">
        <f>Asset13</f>
        <v xml:space="preserve">Communications – Pilot Wires </v>
      </c>
      <c r="E450" s="9"/>
      <c r="F450" s="9"/>
      <c r="G450" s="198">
        <f>Input!J19</f>
        <v>43.338639999999998</v>
      </c>
      <c r="H450" s="113">
        <f t="shared" si="4"/>
        <v>80.41318600000001</v>
      </c>
      <c r="I450" s="113">
        <f t="shared" si="6"/>
        <v>78.943758172912283</v>
      </c>
      <c r="J450" s="113">
        <f t="shared" si="6"/>
        <v>75.905781306690997</v>
      </c>
      <c r="K450" s="113">
        <f t="shared" si="6"/>
        <v>73.450430039728388</v>
      </c>
      <c r="L450" s="113">
        <f t="shared" si="6"/>
        <v>71.140706945271802</v>
      </c>
      <c r="M450" s="113">
        <f t="shared" si="6"/>
        <v>67.494326306670899</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102"/>
      <c r="BE450" s="102"/>
      <c r="BF450" s="102"/>
      <c r="BG450" s="102"/>
      <c r="BH450" s="102"/>
      <c r="BI450" s="102"/>
      <c r="BJ450" s="102"/>
      <c r="BK450" s="12"/>
      <c r="BL450" s="12"/>
    </row>
    <row r="451" spans="1:64" hidden="1" outlineLevel="1">
      <c r="A451" s="9"/>
      <c r="B451" s="9"/>
      <c r="C451" s="46"/>
      <c r="D451" s="132" t="str">
        <f>Asset14</f>
        <v>Generation Assets</v>
      </c>
      <c r="E451" s="9"/>
      <c r="F451" s="9"/>
      <c r="G451" s="198">
        <f>Input!J20</f>
        <v>3.8847779999999998</v>
      </c>
      <c r="H451" s="113">
        <f t="shared" si="4"/>
        <v>3.46767</v>
      </c>
      <c r="I451" s="113">
        <f t="shared" si="6"/>
        <v>2.9470350580427498</v>
      </c>
      <c r="J451" s="113">
        <f t="shared" si="6"/>
        <v>2.3363074508490986</v>
      </c>
      <c r="K451" s="113">
        <f t="shared" si="6"/>
        <v>1.72703918198405</v>
      </c>
      <c r="L451" s="113">
        <f t="shared" si="6"/>
        <v>1.0932735760014998</v>
      </c>
      <c r="M451" s="113">
        <f t="shared" si="6"/>
        <v>0.40339428242500641</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102"/>
      <c r="BE451" s="102"/>
      <c r="BF451" s="102"/>
      <c r="BG451" s="102"/>
      <c r="BH451" s="102"/>
      <c r="BI451" s="102"/>
      <c r="BJ451" s="102"/>
      <c r="BK451" s="12"/>
      <c r="BL451" s="12"/>
    </row>
    <row r="452" spans="1:64" hidden="1" outlineLevel="1">
      <c r="A452" s="9"/>
      <c r="B452" s="9"/>
      <c r="C452" s="46"/>
      <c r="D452" s="132" t="str">
        <f>Asset15</f>
        <v>Street Lighting</v>
      </c>
      <c r="E452" s="9"/>
      <c r="F452" s="9"/>
      <c r="G452" s="198">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2"/>
      <c r="BE452" s="102"/>
      <c r="BF452" s="102"/>
      <c r="BG452" s="102"/>
      <c r="BH452" s="102"/>
      <c r="BI452" s="102"/>
      <c r="BJ452" s="102"/>
      <c r="BK452" s="12"/>
      <c r="BL452" s="12"/>
    </row>
    <row r="453" spans="1:64" hidden="1" outlineLevel="1">
      <c r="A453" s="9"/>
      <c r="B453" s="9"/>
      <c r="C453" s="46"/>
      <c r="D453" s="132" t="str">
        <f>Asset16</f>
        <v>Other Equipment</v>
      </c>
      <c r="E453" s="9"/>
      <c r="F453" s="9"/>
      <c r="G453" s="198">
        <f>Input!J22</f>
        <v>17.990687000000001</v>
      </c>
      <c r="H453" s="113">
        <f t="shared" si="4"/>
        <v>18.179272000000001</v>
      </c>
      <c r="I453" s="113">
        <f t="shared" si="6"/>
        <v>18.276161515630889</v>
      </c>
      <c r="J453" s="113">
        <f t="shared" si="6"/>
        <v>18.039512233551175</v>
      </c>
      <c r="K453" s="113">
        <f t="shared" si="6"/>
        <v>17.956785885745649</v>
      </c>
      <c r="L453" s="113">
        <f t="shared" si="6"/>
        <v>17.935862704712584</v>
      </c>
      <c r="M453" s="113">
        <f t="shared" si="6"/>
        <v>17.611323900880528</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102"/>
      <c r="BE453" s="102"/>
      <c r="BF453" s="102"/>
      <c r="BG453" s="102"/>
      <c r="BH453" s="102"/>
      <c r="BI453" s="102"/>
      <c r="BJ453" s="102"/>
      <c r="BK453" s="12"/>
      <c r="BL453" s="12"/>
    </row>
    <row r="454" spans="1:64" hidden="1" outlineLevel="1">
      <c r="A454" s="9"/>
      <c r="B454" s="9"/>
      <c r="C454" s="46"/>
      <c r="D454" s="132" t="str">
        <f>Asset17</f>
        <v>Control Centre - SCADA</v>
      </c>
      <c r="E454" s="9"/>
      <c r="F454" s="9"/>
      <c r="G454" s="198">
        <f>Input!J23</f>
        <v>41.890070000000001</v>
      </c>
      <c r="H454" s="113">
        <f t="shared" si="4"/>
        <v>44.092497999999999</v>
      </c>
      <c r="I454" s="113">
        <f t="shared" si="6"/>
        <v>32.345996294810028</v>
      </c>
      <c r="J454" s="113">
        <f t="shared" si="6"/>
        <v>19.202228910788008</v>
      </c>
      <c r="K454" s="113">
        <f t="shared" si="6"/>
        <v>5.8117041288951032</v>
      </c>
      <c r="L454" s="113">
        <f t="shared" si="6"/>
        <v>-0.17458054229115394</v>
      </c>
      <c r="M454" s="113">
        <f t="shared" si="6"/>
        <v>-0.17690246350362629</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102"/>
      <c r="BE454" s="102"/>
      <c r="BF454" s="102"/>
      <c r="BG454" s="102"/>
      <c r="BH454" s="102"/>
      <c r="BI454" s="102"/>
      <c r="BJ454" s="102"/>
      <c r="BK454" s="12"/>
      <c r="BL454" s="12"/>
    </row>
    <row r="455" spans="1:64" hidden="1" outlineLevel="1">
      <c r="A455" s="9"/>
      <c r="B455" s="9"/>
      <c r="C455" s="46"/>
      <c r="D455" s="132" t="str">
        <f>Asset18</f>
        <v>Land &amp; Easements (System)</v>
      </c>
      <c r="E455" s="9"/>
      <c r="F455" s="9"/>
      <c r="G455" s="198">
        <f>Input!J24</f>
        <v>61.126826999999999</v>
      </c>
      <c r="H455" s="113">
        <f t="shared" si="4"/>
        <v>80.727458999999996</v>
      </c>
      <c r="I455" s="113">
        <f t="shared" si="6"/>
        <v>83.415683384700003</v>
      </c>
      <c r="J455" s="113">
        <f t="shared" si="6"/>
        <v>84.733651182178264</v>
      </c>
      <c r="K455" s="113">
        <f t="shared" si="6"/>
        <v>86.851992461732721</v>
      </c>
      <c r="L455" s="113">
        <f t="shared" si="6"/>
        <v>89.396755840861488</v>
      </c>
      <c r="M455" s="113">
        <f t="shared" si="6"/>
        <v>90.585732693544941</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102"/>
      <c r="BE455" s="102"/>
      <c r="BF455" s="102"/>
      <c r="BG455" s="102"/>
      <c r="BH455" s="102"/>
      <c r="BI455" s="102"/>
      <c r="BJ455" s="102"/>
      <c r="BK455" s="12"/>
      <c r="BL455" s="12"/>
    </row>
    <row r="456" spans="1:64" hidden="1" outlineLevel="1">
      <c r="A456" s="9"/>
      <c r="B456" s="9"/>
      <c r="C456" s="46"/>
      <c r="D456" s="132" t="str">
        <f>Asset19</f>
        <v>Metering Type 5-6</v>
      </c>
      <c r="E456" s="9"/>
      <c r="F456" s="9"/>
      <c r="G456" s="198">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102"/>
      <c r="BE456" s="102"/>
      <c r="BF456" s="102"/>
      <c r="BG456" s="102"/>
      <c r="BH456" s="102"/>
      <c r="BI456" s="102"/>
      <c r="BJ456" s="102"/>
      <c r="BK456" s="12"/>
      <c r="BL456" s="12"/>
    </row>
    <row r="457" spans="1:64" hidden="1" outlineLevel="1">
      <c r="A457" s="9"/>
      <c r="B457" s="9"/>
      <c r="C457" s="46"/>
      <c r="D457" s="132" t="str">
        <f>Asset20</f>
        <v>Communications</v>
      </c>
      <c r="E457" s="9"/>
      <c r="F457" s="9"/>
      <c r="G457" s="198">
        <f>Input!J26</f>
        <v>9.0331250000000001</v>
      </c>
      <c r="H457" s="113">
        <f t="shared" si="4"/>
        <v>8.0593400000000006</v>
      </c>
      <c r="I457" s="113">
        <f t="shared" si="6"/>
        <v>7.0711053845780967</v>
      </c>
      <c r="J457" s="113">
        <f t="shared" si="6"/>
        <v>5.8843730780063774</v>
      </c>
      <c r="K457" s="113">
        <f t="shared" si="6"/>
        <v>4.7125110321164447</v>
      </c>
      <c r="L457" s="113">
        <f t="shared" si="6"/>
        <v>3.498641948196362</v>
      </c>
      <c r="M457" s="113">
        <f t="shared" si="6"/>
        <v>2.1536162211914585</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102"/>
      <c r="BE457" s="102"/>
      <c r="BF457" s="102"/>
      <c r="BG457" s="102"/>
      <c r="BH457" s="102"/>
      <c r="BI457" s="102"/>
      <c r="BJ457" s="102"/>
      <c r="BK457" s="12"/>
      <c r="BL457" s="12"/>
    </row>
    <row r="458" spans="1:64" hidden="1" outlineLevel="1">
      <c r="A458" s="9"/>
      <c r="B458" s="9"/>
      <c r="C458" s="46"/>
      <c r="D458" s="132" t="str">
        <f>Asset21</f>
        <v>IT Systems</v>
      </c>
      <c r="E458" s="9"/>
      <c r="F458" s="9"/>
      <c r="G458" s="198">
        <f>Input!J27</f>
        <v>38.095872999999997</v>
      </c>
      <c r="H458" s="113">
        <f t="shared" ref="H458:H467" si="7">G458+G490+G522+G554+G586+G618</f>
        <v>33.398921000000001</v>
      </c>
      <c r="I458" s="113">
        <f t="shared" ref="I458:M465" si="8">H458+H490+H522</f>
        <v>0.15715493697018701</v>
      </c>
      <c r="J458" s="113">
        <f t="shared" si="8"/>
        <v>0.14909865090794389</v>
      </c>
      <c r="K458" s="113">
        <f t="shared" si="8"/>
        <v>0.15282611718064248</v>
      </c>
      <c r="L458" s="113">
        <f t="shared" si="8"/>
        <v>0.15730392241403532</v>
      </c>
      <c r="M458" s="113">
        <f t="shared" si="8"/>
        <v>0.15939606458214198</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102"/>
      <c r="BE458" s="102"/>
      <c r="BF458" s="102"/>
      <c r="BG458" s="102"/>
      <c r="BH458" s="102"/>
      <c r="BI458" s="102"/>
      <c r="BJ458" s="102"/>
      <c r="BK458" s="12"/>
      <c r="BL458" s="12"/>
    </row>
    <row r="459" spans="1:64" hidden="1" outlineLevel="1">
      <c r="A459" s="9"/>
      <c r="B459" s="9"/>
      <c r="C459" s="46"/>
      <c r="D459" s="132" t="str">
        <f>Asset22</f>
        <v>Office Equipment &amp; Furniture</v>
      </c>
      <c r="E459" s="9"/>
      <c r="F459" s="9"/>
      <c r="G459" s="198">
        <f>Input!J28</f>
        <v>25.818006</v>
      </c>
      <c r="H459" s="113">
        <f t="shared" si="7"/>
        <v>22.718036000000001</v>
      </c>
      <c r="I459" s="113">
        <f t="shared" si="8"/>
        <v>19.008857775274599</v>
      </c>
      <c r="J459" s="113">
        <f t="shared" si="8"/>
        <v>14.694801466775138</v>
      </c>
      <c r="K459" s="113">
        <f t="shared" si="8"/>
        <v>10.374867781166405</v>
      </c>
      <c r="L459" s="113">
        <f t="shared" si="8"/>
        <v>5.8743650918195165</v>
      </c>
      <c r="M459" s="113">
        <f t="shared" si="8"/>
        <v>1.007236383166334</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102"/>
      <c r="BE459" s="102"/>
      <c r="BF459" s="102"/>
      <c r="BG459" s="102"/>
      <c r="BH459" s="102"/>
      <c r="BI459" s="102"/>
      <c r="BJ459" s="102"/>
      <c r="BK459" s="12"/>
      <c r="BL459" s="12"/>
    </row>
    <row r="460" spans="1:64" hidden="1" outlineLevel="1">
      <c r="A460" s="9"/>
      <c r="B460" s="9"/>
      <c r="C460" s="46"/>
      <c r="D460" s="132" t="str">
        <f>Asset23</f>
        <v>Motor Vehicles</v>
      </c>
      <c r="E460" s="9"/>
      <c r="F460" s="9"/>
      <c r="G460" s="198">
        <f>Input!J29</f>
        <v>103.27366499999999</v>
      </c>
      <c r="H460" s="113">
        <f t="shared" si="7"/>
        <v>102.796655</v>
      </c>
      <c r="I460" s="113">
        <f t="shared" si="8"/>
        <v>91.129690142369796</v>
      </c>
      <c r="J460" s="113">
        <f t="shared" si="8"/>
        <v>76.976945664967005</v>
      </c>
      <c r="K460" s="113">
        <f t="shared" si="8"/>
        <v>63.062412746348834</v>
      </c>
      <c r="L460" s="113">
        <f t="shared" si="8"/>
        <v>48.675210965568454</v>
      </c>
      <c r="M460" s="113">
        <f t="shared" si="8"/>
        <v>32.611977334266626</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102"/>
      <c r="BE460" s="102"/>
      <c r="BF460" s="102"/>
      <c r="BG460" s="102"/>
      <c r="BH460" s="102"/>
      <c r="BI460" s="102"/>
      <c r="BJ460" s="102"/>
      <c r="BK460" s="12"/>
      <c r="BL460" s="12"/>
    </row>
    <row r="461" spans="1:64" hidden="1" outlineLevel="1">
      <c r="A461" s="9"/>
      <c r="B461" s="9"/>
      <c r="C461" s="46"/>
      <c r="D461" s="132" t="str">
        <f>Asset24</f>
        <v>Plant &amp; Equipment</v>
      </c>
      <c r="E461" s="9"/>
      <c r="F461" s="9"/>
      <c r="G461" s="198">
        <f>Input!J30</f>
        <v>90.480731000000006</v>
      </c>
      <c r="H461" s="113">
        <f t="shared" si="7"/>
        <v>85.455234000000004</v>
      </c>
      <c r="I461" s="113">
        <f t="shared" si="8"/>
        <v>76.399719932979863</v>
      </c>
      <c r="J461" s="113">
        <f t="shared" si="8"/>
        <v>65.309353075838771</v>
      </c>
      <c r="K461" s="113">
        <f t="shared" si="8"/>
        <v>54.450304248225677</v>
      </c>
      <c r="L461" s="113">
        <f t="shared" si="8"/>
        <v>43.241620941826895</v>
      </c>
      <c r="M461" s="113">
        <f t="shared" si="8"/>
        <v>30.63749781690985</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102"/>
      <c r="BE461" s="102"/>
      <c r="BF461" s="102"/>
      <c r="BG461" s="102"/>
      <c r="BH461" s="102"/>
      <c r="BI461" s="102"/>
      <c r="BJ461" s="102"/>
      <c r="BK461" s="12"/>
      <c r="BL461" s="12"/>
    </row>
    <row r="462" spans="1:64" hidden="1" outlineLevel="1">
      <c r="A462" s="9"/>
      <c r="B462" s="9"/>
      <c r="C462" s="46"/>
      <c r="D462" s="132" t="str">
        <f>Asset25</f>
        <v>Buildings</v>
      </c>
      <c r="E462" s="9"/>
      <c r="F462" s="9"/>
      <c r="G462" s="198">
        <f>Input!J31</f>
        <v>130.185092</v>
      </c>
      <c r="H462" s="113">
        <f t="shared" si="7"/>
        <v>208.170163</v>
      </c>
      <c r="I462" s="113">
        <f t="shared" si="8"/>
        <v>190.95489770226786</v>
      </c>
      <c r="J462" s="113">
        <f t="shared" si="8"/>
        <v>169.02054721386799</v>
      </c>
      <c r="K462" s="113">
        <f t="shared" si="8"/>
        <v>147.90039030373987</v>
      </c>
      <c r="L462" s="113">
        <f t="shared" si="8"/>
        <v>126.25455938440277</v>
      </c>
      <c r="M462" s="113">
        <f t="shared" si="8"/>
        <v>101.19323881697021</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102"/>
      <c r="BE462" s="102"/>
      <c r="BF462" s="102"/>
      <c r="BG462" s="102"/>
      <c r="BH462" s="102"/>
      <c r="BI462" s="102"/>
      <c r="BJ462" s="102"/>
      <c r="BK462" s="12"/>
      <c r="BL462" s="12"/>
    </row>
    <row r="463" spans="1:64" hidden="1" outlineLevel="1">
      <c r="A463" s="9"/>
      <c r="B463" s="9"/>
      <c r="C463" s="46"/>
      <c r="D463" s="132" t="str">
        <f>Asset26</f>
        <v>Land &amp; Easements</v>
      </c>
      <c r="E463" s="9"/>
      <c r="F463" s="9"/>
      <c r="G463" s="198">
        <f>Input!J32</f>
        <v>12.977091</v>
      </c>
      <c r="H463" s="113">
        <f t="shared" si="7"/>
        <v>15.061337</v>
      </c>
      <c r="I463" s="113">
        <f t="shared" si="8"/>
        <v>15.562879522099999</v>
      </c>
      <c r="J463" s="113">
        <f t="shared" si="8"/>
        <v>15.808773018549179</v>
      </c>
      <c r="K463" s="113">
        <f t="shared" si="8"/>
        <v>16.203992344012907</v>
      </c>
      <c r="L463" s="113">
        <f t="shared" si="8"/>
        <v>16.678769319692485</v>
      </c>
      <c r="M463" s="113">
        <f t="shared" si="8"/>
        <v>16.900596951644395</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102"/>
      <c r="BE463" s="102"/>
      <c r="BF463" s="102"/>
      <c r="BG463" s="102"/>
      <c r="BH463" s="102"/>
      <c r="BI463" s="102"/>
      <c r="BJ463" s="102"/>
      <c r="BK463" s="12"/>
      <c r="BL463" s="12"/>
    </row>
    <row r="464" spans="1:64" hidden="1" outlineLevel="1">
      <c r="A464" s="9"/>
      <c r="B464" s="9"/>
      <c r="C464" s="46"/>
      <c r="D464" s="132" t="str">
        <f>Asset27</f>
        <v>Land Improvements</v>
      </c>
      <c r="E464" s="9"/>
      <c r="F464" s="9"/>
      <c r="G464" s="198">
        <f>Input!J33</f>
        <v>11.967378999999999</v>
      </c>
      <c r="H464" s="113">
        <f t="shared" si="7"/>
        <v>12.000662999999999</v>
      </c>
      <c r="I464" s="113">
        <f t="shared" si="8"/>
        <v>12.069383597898165</v>
      </c>
      <c r="J464" s="113">
        <f t="shared" si="8"/>
        <v>11.918159359459061</v>
      </c>
      <c r="K464" s="113">
        <f t="shared" si="8"/>
        <v>11.868790500270926</v>
      </c>
      <c r="L464" s="113">
        <f t="shared" si="8"/>
        <v>11.860540147674886</v>
      </c>
      <c r="M464" s="113">
        <f t="shared" si="8"/>
        <v>11.651848444097343</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102"/>
      <c r="BE464" s="102"/>
      <c r="BF464" s="102"/>
      <c r="BG464" s="102"/>
      <c r="BH464" s="102"/>
      <c r="BI464" s="102"/>
      <c r="BJ464" s="102"/>
      <c r="BK464" s="12"/>
      <c r="BL464" s="12"/>
    </row>
    <row r="465" spans="1:64" hidden="1" outlineLevel="1">
      <c r="A465" s="9"/>
      <c r="B465" s="9"/>
      <c r="C465" s="46"/>
      <c r="D465" s="132" t="str">
        <f>Asset28</f>
        <v>Equity Raising Costs</v>
      </c>
      <c r="E465" s="9"/>
      <c r="F465" s="9"/>
      <c r="G465" s="198">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2"/>
      <c r="BE465" s="102"/>
      <c r="BF465" s="102"/>
      <c r="BG465" s="102"/>
      <c r="BH465" s="102"/>
      <c r="BI465" s="102"/>
      <c r="BJ465" s="102"/>
      <c r="BK465" s="12"/>
      <c r="BL465" s="12"/>
    </row>
    <row r="466" spans="1:64" hidden="1" outlineLevel="1">
      <c r="A466" s="9"/>
      <c r="B466" s="9"/>
      <c r="C466" s="46"/>
      <c r="D466" s="132" t="str">
        <f>Asset29</f>
        <v>Not Used</v>
      </c>
      <c r="E466" s="9"/>
      <c r="F466" s="9"/>
      <c r="G466" s="198">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102"/>
      <c r="BE466" s="102"/>
      <c r="BF466" s="102"/>
      <c r="BG466" s="102"/>
      <c r="BH466" s="102"/>
      <c r="BI466" s="102"/>
      <c r="BJ466" s="102"/>
      <c r="BK466" s="12"/>
      <c r="BL466" s="12"/>
    </row>
    <row r="467" spans="1:64" hidden="1" outlineLevel="1">
      <c r="A467" s="9"/>
      <c r="B467" s="9"/>
      <c r="C467" s="46"/>
      <c r="D467" s="132" t="str">
        <f>Asset30</f>
        <v>Not Used</v>
      </c>
      <c r="E467" s="9"/>
      <c r="F467" s="9"/>
      <c r="G467" s="198">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102"/>
      <c r="BE467" s="102"/>
      <c r="BF467" s="102"/>
      <c r="BG467" s="102"/>
      <c r="BH467" s="102"/>
      <c r="BI467" s="102"/>
      <c r="BJ467" s="102"/>
      <c r="BK467" s="12"/>
      <c r="BL467" s="12"/>
    </row>
    <row r="468" spans="1:64" collapsed="1">
      <c r="A468" s="9"/>
      <c r="B468" s="9"/>
      <c r="C468" s="46"/>
      <c r="D468" s="116"/>
      <c r="E468" s="9"/>
      <c r="F468" s="9"/>
      <c r="G468" s="206"/>
      <c r="H468" s="37"/>
      <c r="I468" s="37"/>
      <c r="J468" s="37"/>
      <c r="K468" s="37"/>
      <c r="L468" s="37"/>
      <c r="M468" s="37"/>
      <c r="N468" s="29"/>
      <c r="O468" s="29"/>
      <c r="P468" s="29"/>
      <c r="Q468" s="29"/>
      <c r="R468" s="29"/>
      <c r="S468" s="102"/>
      <c r="T468" s="102"/>
      <c r="U468" s="102"/>
      <c r="V468" s="102"/>
      <c r="W468" s="102"/>
      <c r="X468" s="102"/>
      <c r="Y468" s="102"/>
      <c r="Z468" s="102"/>
      <c r="AA468" s="102"/>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102"/>
      <c r="BE468" s="102"/>
      <c r="BF468" s="102"/>
      <c r="BG468" s="102"/>
      <c r="BH468" s="102"/>
      <c r="BI468" s="102"/>
      <c r="BJ468" s="102"/>
      <c r="BK468" s="12"/>
      <c r="BL468" s="12"/>
    </row>
    <row r="469" spans="1:64">
      <c r="A469" s="9"/>
      <c r="B469" s="9"/>
      <c r="C469" s="46" t="s">
        <v>36</v>
      </c>
      <c r="D469" s="9"/>
      <c r="E469" s="9"/>
      <c r="F469" s="9"/>
      <c r="G469" s="199">
        <f>SUM(G470:G499)</f>
        <v>819.46485599999994</v>
      </c>
      <c r="H469" s="37">
        <f>SUM(H470:H499)</f>
        <v>0</v>
      </c>
      <c r="I469" s="37">
        <f t="shared" ref="I469:Q469" si="10">SUM(I470:I499)</f>
        <v>0</v>
      </c>
      <c r="J469" s="37">
        <f t="shared" si="10"/>
        <v>0</v>
      </c>
      <c r="K469" s="37">
        <f t="shared" si="10"/>
        <v>0</v>
      </c>
      <c r="L469" s="37">
        <f t="shared" si="10"/>
        <v>0</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102"/>
      <c r="BE469" s="102"/>
      <c r="BF469" s="102"/>
      <c r="BG469" s="102"/>
      <c r="BH469" s="102"/>
      <c r="BI469" s="102"/>
      <c r="BJ469" s="102"/>
      <c r="BK469" s="12"/>
      <c r="BL469" s="12"/>
    </row>
    <row r="470" spans="1:64" hidden="1" outlineLevel="1">
      <c r="A470" s="9"/>
      <c r="B470" s="9"/>
      <c r="C470" s="46"/>
      <c r="D470" s="132" t="str">
        <f>Asset1</f>
        <v>Overhead Sub-Transmission Lines</v>
      </c>
      <c r="E470" s="9"/>
      <c r="F470" s="9"/>
      <c r="G470" s="207">
        <f>'Adjustment for previous period'!G366</f>
        <v>62.312050999999997</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102"/>
      <c r="BE470" s="102"/>
      <c r="BF470" s="102"/>
      <c r="BG470" s="102"/>
      <c r="BH470" s="102"/>
      <c r="BI470" s="102"/>
      <c r="BJ470" s="102"/>
      <c r="BK470" s="12"/>
      <c r="BL470" s="12"/>
    </row>
    <row r="471" spans="1:64" hidden="1" outlineLevel="1">
      <c r="A471" s="9"/>
      <c r="B471" s="9"/>
      <c r="C471" s="46"/>
      <c r="D471" s="132" t="str">
        <f>Asset2</f>
        <v>Underground Sub-Transmission Cables</v>
      </c>
      <c r="E471" s="9"/>
      <c r="F471" s="9"/>
      <c r="G471" s="201">
        <f>'Adjustment for previous period'!G367</f>
        <v>15.132374</v>
      </c>
      <c r="H471" s="113">
        <f t="shared" ref="H471:L489" si="12">H13*H$7</f>
        <v>0</v>
      </c>
      <c r="I471" s="113">
        <f t="shared" si="12"/>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102"/>
      <c r="BE471" s="102"/>
      <c r="BF471" s="102"/>
      <c r="BG471" s="102"/>
      <c r="BH471" s="102"/>
      <c r="BI471" s="102"/>
      <c r="BJ471" s="102"/>
      <c r="BK471" s="12"/>
      <c r="BL471" s="12"/>
    </row>
    <row r="472" spans="1:64" hidden="1" outlineLevel="1">
      <c r="A472" s="9"/>
      <c r="B472" s="9"/>
      <c r="C472" s="46"/>
      <c r="D472" s="132" t="str">
        <f>Asset3</f>
        <v>Overhead Distribution Lines</v>
      </c>
      <c r="E472" s="9"/>
      <c r="F472" s="9"/>
      <c r="G472" s="201">
        <f>'Adjustment for previous period'!G368</f>
        <v>136.92748700000001</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102"/>
      <c r="BE472" s="102"/>
      <c r="BF472" s="102"/>
      <c r="BG472" s="102"/>
      <c r="BH472" s="102"/>
      <c r="BI472" s="102"/>
      <c r="BJ472" s="102"/>
      <c r="BK472" s="12"/>
      <c r="BL472" s="12"/>
    </row>
    <row r="473" spans="1:64" hidden="1" outlineLevel="1">
      <c r="A473" s="9"/>
      <c r="B473" s="9"/>
      <c r="C473" s="46"/>
      <c r="D473" s="132" t="str">
        <f>Asset4</f>
        <v>Underground Distribution Cables</v>
      </c>
      <c r="E473" s="9"/>
      <c r="F473" s="9"/>
      <c r="G473" s="201">
        <f>'Adjustment for previous period'!G369</f>
        <v>102.627076</v>
      </c>
      <c r="H473" s="113">
        <f t="shared" si="12"/>
        <v>0</v>
      </c>
      <c r="I473" s="113">
        <f t="shared" si="12"/>
        <v>0</v>
      </c>
      <c r="J473" s="113">
        <f t="shared" si="12"/>
        <v>0</v>
      </c>
      <c r="K473" s="113">
        <f t="shared" si="12"/>
        <v>0</v>
      </c>
      <c r="L473" s="113">
        <f t="shared" si="12"/>
        <v>0</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102"/>
      <c r="BE473" s="102"/>
      <c r="BF473" s="102"/>
      <c r="BG473" s="102"/>
      <c r="BH473" s="102"/>
      <c r="BI473" s="102"/>
      <c r="BJ473" s="102"/>
      <c r="BK473" s="12"/>
      <c r="BL473" s="12"/>
    </row>
    <row r="474" spans="1:64" hidden="1" outlineLevel="1">
      <c r="A474" s="9"/>
      <c r="B474" s="9"/>
      <c r="C474" s="46"/>
      <c r="D474" s="132" t="str">
        <f>Asset5</f>
        <v xml:space="preserve">Distribution Equipment  </v>
      </c>
      <c r="E474" s="9"/>
      <c r="F474" s="9"/>
      <c r="G474" s="201">
        <f>'Adjustment for previous period'!G370</f>
        <v>17.737895000000002</v>
      </c>
      <c r="H474" s="113">
        <f t="shared" si="12"/>
        <v>0</v>
      </c>
      <c r="I474" s="113">
        <f t="shared" si="12"/>
        <v>0</v>
      </c>
      <c r="J474" s="113">
        <f t="shared" si="12"/>
        <v>0</v>
      </c>
      <c r="K474" s="113">
        <f t="shared" si="12"/>
        <v>0</v>
      </c>
      <c r="L474" s="113">
        <f t="shared" si="12"/>
        <v>0</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102"/>
      <c r="BE474" s="102"/>
      <c r="BF474" s="102"/>
      <c r="BG474" s="102"/>
      <c r="BH474" s="102"/>
      <c r="BI474" s="102"/>
      <c r="BJ474" s="102"/>
      <c r="BK474" s="12"/>
      <c r="BL474" s="12"/>
    </row>
    <row r="475" spans="1:64" hidden="1" outlineLevel="1">
      <c r="A475" s="9"/>
      <c r="B475" s="9"/>
      <c r="C475" s="46"/>
      <c r="D475" s="132" t="str">
        <f>Asset6</f>
        <v>Substation Bays</v>
      </c>
      <c r="E475" s="9"/>
      <c r="F475" s="9"/>
      <c r="G475" s="201">
        <f>'Adjustment for previous period'!G371</f>
        <v>99.001000000000005</v>
      </c>
      <c r="H475" s="113">
        <f t="shared" si="12"/>
        <v>0</v>
      </c>
      <c r="I475" s="113">
        <f t="shared" si="12"/>
        <v>0</v>
      </c>
      <c r="J475" s="113">
        <f t="shared" si="12"/>
        <v>0</v>
      </c>
      <c r="K475" s="113">
        <f t="shared" si="12"/>
        <v>0</v>
      </c>
      <c r="L475" s="113">
        <f t="shared" si="12"/>
        <v>0</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102"/>
      <c r="BE475" s="102"/>
      <c r="BF475" s="102"/>
      <c r="BG475" s="102"/>
      <c r="BH475" s="102"/>
      <c r="BI475" s="102"/>
      <c r="BJ475" s="102"/>
      <c r="BK475" s="12"/>
      <c r="BL475" s="12"/>
    </row>
    <row r="476" spans="1:64" hidden="1" outlineLevel="1">
      <c r="A476" s="9"/>
      <c r="B476" s="9"/>
      <c r="C476" s="46"/>
      <c r="D476" s="132" t="str">
        <f>Asset7</f>
        <v>Substation Establishment</v>
      </c>
      <c r="E476" s="9"/>
      <c r="F476" s="9"/>
      <c r="G476" s="201">
        <f>'Adjustment for previous period'!G372</f>
        <v>29.065453000000002</v>
      </c>
      <c r="H476" s="113">
        <f t="shared" si="12"/>
        <v>0</v>
      </c>
      <c r="I476" s="113">
        <f t="shared" si="12"/>
        <v>0</v>
      </c>
      <c r="J476" s="113">
        <f t="shared" si="12"/>
        <v>0</v>
      </c>
      <c r="K476" s="113">
        <f t="shared" si="12"/>
        <v>0</v>
      </c>
      <c r="L476" s="113">
        <f t="shared" si="12"/>
        <v>0</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102"/>
      <c r="BE476" s="102"/>
      <c r="BF476" s="102"/>
      <c r="BG476" s="102"/>
      <c r="BH476" s="102"/>
      <c r="BI476" s="102"/>
      <c r="BJ476" s="102"/>
      <c r="BK476" s="12"/>
      <c r="BL476" s="12"/>
    </row>
    <row r="477" spans="1:64" hidden="1" outlineLevel="1">
      <c r="A477" s="9"/>
      <c r="B477" s="9"/>
      <c r="C477" s="46"/>
      <c r="D477" s="132" t="str">
        <f>Asset8</f>
        <v>Distribution Substation Switchgear</v>
      </c>
      <c r="E477" s="9"/>
      <c r="F477" s="9"/>
      <c r="G477" s="201">
        <f>'Adjustment for previous period'!G373</f>
        <v>6.8010479999999998</v>
      </c>
      <c r="H477" s="113">
        <f t="shared" si="12"/>
        <v>0</v>
      </c>
      <c r="I477" s="113">
        <f t="shared" si="12"/>
        <v>0</v>
      </c>
      <c r="J477" s="113">
        <f t="shared" si="12"/>
        <v>0</v>
      </c>
      <c r="K477" s="113">
        <f t="shared" si="12"/>
        <v>0</v>
      </c>
      <c r="L477" s="113">
        <f t="shared" si="12"/>
        <v>0</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102"/>
      <c r="BE477" s="102"/>
      <c r="BF477" s="102"/>
      <c r="BG477" s="102"/>
      <c r="BH477" s="102"/>
      <c r="BI477" s="102"/>
      <c r="BJ477" s="102"/>
      <c r="BK477" s="12"/>
      <c r="BL477" s="12"/>
    </row>
    <row r="478" spans="1:64" hidden="1" outlineLevel="1">
      <c r="A478" s="9"/>
      <c r="B478" s="9"/>
      <c r="C478" s="46"/>
      <c r="D478" s="132" t="str">
        <f>Asset9</f>
        <v>Zone Transformers</v>
      </c>
      <c r="E478" s="9"/>
      <c r="F478" s="9"/>
      <c r="G478" s="201">
        <f>'Adjustment for previous period'!G374</f>
        <v>24.550484000000001</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102"/>
      <c r="BE478" s="102"/>
      <c r="BF478" s="102"/>
      <c r="BG478" s="102"/>
      <c r="BH478" s="102"/>
      <c r="BI478" s="102"/>
      <c r="BJ478" s="102"/>
      <c r="BK478" s="12"/>
      <c r="BL478" s="12"/>
    </row>
    <row r="479" spans="1:64" hidden="1" outlineLevel="1">
      <c r="A479" s="9"/>
      <c r="B479" s="9"/>
      <c r="C479" s="46"/>
      <c r="D479" s="132" t="str">
        <f>Asset10</f>
        <v>Distribution Transformers</v>
      </c>
      <c r="E479" s="9"/>
      <c r="F479" s="9"/>
      <c r="G479" s="201">
        <f>'Adjustment for previous period'!G375</f>
        <v>98.858818999999997</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102"/>
      <c r="BE479" s="102"/>
      <c r="BF479" s="102"/>
      <c r="BG479" s="102"/>
      <c r="BH479" s="102"/>
      <c r="BI479" s="102"/>
      <c r="BJ479" s="102"/>
      <c r="BK479" s="12"/>
      <c r="BL479" s="12"/>
    </row>
    <row r="480" spans="1:64" hidden="1" outlineLevel="1">
      <c r="A480" s="9"/>
      <c r="B480" s="9"/>
      <c r="C480" s="46"/>
      <c r="D480" s="132" t="str">
        <f>Asset11</f>
        <v>Low Voltage Services</v>
      </c>
      <c r="E480" s="9"/>
      <c r="F480" s="9"/>
      <c r="G480" s="201">
        <f>'Adjustment for previous period'!G376</f>
        <v>10.628287</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102"/>
      <c r="BE480" s="102"/>
      <c r="BF480" s="102"/>
      <c r="BG480" s="102"/>
      <c r="BH480" s="102"/>
      <c r="BI480" s="102"/>
      <c r="BJ480" s="102"/>
      <c r="BK480" s="12"/>
      <c r="BL480" s="12"/>
    </row>
    <row r="481" spans="1:64" hidden="1" outlineLevel="1">
      <c r="A481" s="9"/>
      <c r="B481" s="9"/>
      <c r="C481" s="46"/>
      <c r="D481" s="132" t="str">
        <f>Asset12</f>
        <v>Metering</v>
      </c>
      <c r="E481" s="9"/>
      <c r="F481" s="9"/>
      <c r="G481" s="201">
        <f>'Adjustment for previous period'!G377</f>
        <v>13.107884</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102"/>
      <c r="BE481" s="102"/>
      <c r="BF481" s="102"/>
      <c r="BG481" s="102"/>
      <c r="BH481" s="102"/>
      <c r="BI481" s="102"/>
      <c r="BJ481" s="102"/>
      <c r="BK481" s="12"/>
      <c r="BL481" s="12"/>
    </row>
    <row r="482" spans="1:64" hidden="1" outlineLevel="1">
      <c r="A482" s="9"/>
      <c r="B482" s="9"/>
      <c r="C482" s="46"/>
      <c r="D482" s="132" t="str">
        <f>Asset13</f>
        <v xml:space="preserve">Communications – Pilot Wires </v>
      </c>
      <c r="E482" s="9"/>
      <c r="F482" s="9"/>
      <c r="G482" s="201">
        <f>'Adjustment for previous period'!G378</f>
        <v>38.635668000000003</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102"/>
      <c r="BE482" s="102"/>
      <c r="BF482" s="102"/>
      <c r="BG482" s="102"/>
      <c r="BH482" s="102"/>
      <c r="BI482" s="102"/>
      <c r="BJ482" s="102"/>
      <c r="BK482" s="12"/>
      <c r="BL482" s="12"/>
    </row>
    <row r="483" spans="1:64" hidden="1" outlineLevel="1">
      <c r="A483" s="9"/>
      <c r="B483" s="9"/>
      <c r="C483" s="46"/>
      <c r="D483" s="132" t="str">
        <f>Asset14</f>
        <v>Generation Assets</v>
      </c>
      <c r="E483" s="9"/>
      <c r="F483" s="9"/>
      <c r="G483" s="201">
        <f>'Adjustment for previous period'!G379</f>
        <v>6.9191000000000003E-2</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102"/>
      <c r="BE483" s="102"/>
      <c r="BF483" s="102"/>
      <c r="BG483" s="102"/>
      <c r="BH483" s="102"/>
      <c r="BI483" s="102"/>
      <c r="BJ483" s="102"/>
      <c r="BK483" s="12"/>
      <c r="BL483" s="12"/>
    </row>
    <row r="484" spans="1:64" hidden="1" outlineLevel="1">
      <c r="A484" s="9"/>
      <c r="B484" s="9"/>
      <c r="C484" s="46"/>
      <c r="D484" s="132" t="str">
        <f>Asset15</f>
        <v>Street Lighting</v>
      </c>
      <c r="E484" s="9"/>
      <c r="F484" s="9"/>
      <c r="G484" s="201">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102"/>
      <c r="BE484" s="102"/>
      <c r="BF484" s="102"/>
      <c r="BG484" s="102"/>
      <c r="BH484" s="102"/>
      <c r="BI484" s="102"/>
      <c r="BJ484" s="102"/>
      <c r="BK484" s="12"/>
      <c r="BL484" s="12"/>
    </row>
    <row r="485" spans="1:64" hidden="1" outlineLevel="1">
      <c r="A485" s="9"/>
      <c r="B485" s="9"/>
      <c r="C485" s="46"/>
      <c r="D485" s="132" t="str">
        <f>Asset16</f>
        <v>Other Equipment</v>
      </c>
      <c r="E485" s="9"/>
      <c r="F485" s="9"/>
      <c r="G485" s="201">
        <f>'Adjustment for previous period'!G381</f>
        <v>0.14513599999999999</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102"/>
      <c r="BE485" s="102"/>
      <c r="BF485" s="102"/>
      <c r="BG485" s="102"/>
      <c r="BH485" s="102"/>
      <c r="BI485" s="102"/>
      <c r="BJ485" s="102"/>
      <c r="BK485" s="12"/>
      <c r="BL485" s="12"/>
    </row>
    <row r="486" spans="1:64" hidden="1" outlineLevel="1">
      <c r="A486" s="9"/>
      <c r="B486" s="9"/>
      <c r="C486" s="46"/>
      <c r="D486" s="132" t="str">
        <f>Asset17</f>
        <v>Control Centre - SCADA</v>
      </c>
      <c r="E486" s="9"/>
      <c r="F486" s="9"/>
      <c r="G486" s="201">
        <f>'Adjustment for previous period'!G382</f>
        <v>10.50159</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102"/>
      <c r="BE486" s="102"/>
      <c r="BF486" s="102"/>
      <c r="BG486" s="102"/>
      <c r="BH486" s="102"/>
      <c r="BI486" s="102"/>
      <c r="BJ486" s="102"/>
      <c r="BK486" s="12"/>
      <c r="BL486" s="12"/>
    </row>
    <row r="487" spans="1:64" hidden="1" outlineLevel="1">
      <c r="A487" s="9"/>
      <c r="B487" s="9"/>
      <c r="C487" s="46"/>
      <c r="D487" s="132" t="str">
        <f>Asset18</f>
        <v>Land &amp; Easements (System)</v>
      </c>
      <c r="E487" s="9"/>
      <c r="F487" s="9"/>
      <c r="G487" s="201">
        <f>'Adjustment for previous period'!G383</f>
        <v>17.834067000000001</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102"/>
      <c r="BE487" s="102"/>
      <c r="BF487" s="102"/>
      <c r="BG487" s="102"/>
      <c r="BH487" s="102"/>
      <c r="BI487" s="102"/>
      <c r="BJ487" s="102"/>
      <c r="BK487" s="12"/>
      <c r="BL487" s="12"/>
    </row>
    <row r="488" spans="1:64" hidden="1" outlineLevel="1">
      <c r="A488" s="9"/>
      <c r="B488" s="9"/>
      <c r="C488" s="46"/>
      <c r="D488" s="132" t="str">
        <f>Asset19</f>
        <v>Metering Type 5-6</v>
      </c>
      <c r="E488" s="9"/>
      <c r="F488" s="9"/>
      <c r="G488" s="201">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102"/>
      <c r="BE488" s="102"/>
      <c r="BF488" s="102"/>
      <c r="BG488" s="102"/>
      <c r="BH488" s="102"/>
      <c r="BI488" s="102"/>
      <c r="BJ488" s="102"/>
      <c r="BK488" s="12"/>
      <c r="BL488" s="12"/>
    </row>
    <row r="489" spans="1:64" hidden="1" outlineLevel="1">
      <c r="A489" s="9"/>
      <c r="B489" s="9"/>
      <c r="C489" s="46"/>
      <c r="D489" s="132" t="str">
        <f>Asset20</f>
        <v>Communications</v>
      </c>
      <c r="E489" s="9"/>
      <c r="F489" s="9"/>
      <c r="G489" s="201">
        <f>'Adjustment for previous period'!G385</f>
        <v>-4.1692E-2</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102"/>
      <c r="BE489" s="102"/>
      <c r="BF489" s="102"/>
      <c r="BG489" s="102"/>
      <c r="BH489" s="102"/>
      <c r="BI489" s="102"/>
      <c r="BJ489" s="102"/>
      <c r="BK489" s="12"/>
      <c r="BL489" s="12"/>
    </row>
    <row r="490" spans="1:64" hidden="1" outlineLevel="1">
      <c r="A490" s="9"/>
      <c r="B490" s="9"/>
      <c r="C490" s="46"/>
      <c r="D490" s="132" t="str">
        <f>Asset21</f>
        <v>IT Systems</v>
      </c>
      <c r="E490" s="9"/>
      <c r="F490" s="9"/>
      <c r="G490" s="201">
        <f>'Adjustment for previous period'!G386</f>
        <v>13.518427000000001</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102"/>
      <c r="BE490" s="102"/>
      <c r="BF490" s="102"/>
      <c r="BG490" s="102"/>
      <c r="BH490" s="102"/>
      <c r="BI490" s="102"/>
      <c r="BJ490" s="102"/>
      <c r="BK490" s="12"/>
      <c r="BL490" s="12"/>
    </row>
    <row r="491" spans="1:64" hidden="1" outlineLevel="1">
      <c r="A491" s="9"/>
      <c r="B491" s="9"/>
      <c r="C491" s="46"/>
      <c r="D491" s="132" t="str">
        <f>Asset22</f>
        <v>Office Equipment &amp; Furniture</v>
      </c>
      <c r="E491" s="9"/>
      <c r="F491" s="9"/>
      <c r="G491" s="201">
        <f>'Adjustment for previous period'!G387</f>
        <v>0.31394100000000003</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102"/>
      <c r="BE491" s="102"/>
      <c r="BF491" s="102"/>
      <c r="BG491" s="102"/>
      <c r="BH491" s="102"/>
      <c r="BI491" s="102"/>
      <c r="BJ491" s="102"/>
      <c r="BK491" s="12"/>
      <c r="BL491" s="12"/>
    </row>
    <row r="492" spans="1:64" hidden="1" outlineLevel="1">
      <c r="A492" s="9"/>
      <c r="B492" s="9"/>
      <c r="C492" s="46"/>
      <c r="D492" s="132" t="str">
        <f>Asset23</f>
        <v>Motor Vehicles</v>
      </c>
      <c r="E492" s="9"/>
      <c r="F492" s="9"/>
      <c r="G492" s="201">
        <f>'Adjustment for previous period'!G388</f>
        <v>25.332986999999999</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102"/>
      <c r="BE492" s="102"/>
      <c r="BF492" s="102"/>
      <c r="BG492" s="102"/>
      <c r="BH492" s="102"/>
      <c r="BI492" s="102"/>
      <c r="BJ492" s="102"/>
      <c r="BK492" s="12"/>
      <c r="BL492" s="12"/>
    </row>
    <row r="493" spans="1:64" hidden="1" outlineLevel="1">
      <c r="A493" s="9"/>
      <c r="B493" s="9"/>
      <c r="C493" s="46"/>
      <c r="D493" s="132" t="str">
        <f>Asset24</f>
        <v>Plant &amp; Equipment</v>
      </c>
      <c r="E493" s="9"/>
      <c r="F493" s="9"/>
      <c r="G493" s="201">
        <f>'Adjustment for previous period'!G389</f>
        <v>7.2461000000000002</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102"/>
      <c r="BE493" s="102"/>
      <c r="BF493" s="102"/>
      <c r="BG493" s="102"/>
      <c r="BH493" s="102"/>
      <c r="BI493" s="102"/>
      <c r="BJ493" s="102"/>
      <c r="BK493" s="12"/>
      <c r="BL493" s="12"/>
    </row>
    <row r="494" spans="1:64" hidden="1" outlineLevel="1">
      <c r="A494" s="9"/>
      <c r="B494" s="9"/>
      <c r="C494" s="46"/>
      <c r="D494" s="132" t="str">
        <f>Asset25</f>
        <v>Buildings</v>
      </c>
      <c r="E494" s="9"/>
      <c r="F494" s="9"/>
      <c r="G494" s="201">
        <f>'Adjustment for previous period'!G390</f>
        <v>87.450374999999994</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102"/>
      <c r="BE494" s="102"/>
      <c r="BF494" s="102"/>
      <c r="BG494" s="102"/>
      <c r="BH494" s="102"/>
      <c r="BI494" s="102"/>
      <c r="BJ494" s="102"/>
      <c r="BK494" s="12"/>
      <c r="BL494" s="12"/>
    </row>
    <row r="495" spans="1:64" hidden="1" outlineLevel="1">
      <c r="A495" s="9"/>
      <c r="B495" s="9"/>
      <c r="C495" s="46"/>
      <c r="D495" s="132" t="str">
        <f>Asset26</f>
        <v>Land &amp; Easements</v>
      </c>
      <c r="E495" s="9"/>
      <c r="F495" s="9"/>
      <c r="G495" s="201">
        <f>'Adjustment for previous period'!G391</f>
        <v>1.7092080000000001</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102"/>
      <c r="BE495" s="102"/>
      <c r="BF495" s="102"/>
      <c r="BG495" s="102"/>
      <c r="BH495" s="102"/>
      <c r="BI495" s="102"/>
      <c r="BJ495" s="102"/>
      <c r="BK495" s="12"/>
      <c r="BL495" s="12"/>
    </row>
    <row r="496" spans="1:64" hidden="1" outlineLevel="1">
      <c r="A496" s="9"/>
      <c r="B496" s="9"/>
      <c r="C496" s="46"/>
      <c r="D496" s="132" t="str">
        <f>Asset27</f>
        <v>Land Improvements</v>
      </c>
      <c r="E496" s="9"/>
      <c r="F496" s="9"/>
      <c r="G496" s="201">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102"/>
      <c r="BE496" s="102"/>
      <c r="BF496" s="102"/>
      <c r="BG496" s="102"/>
      <c r="BH496" s="102"/>
      <c r="BI496" s="102"/>
      <c r="BJ496" s="102"/>
      <c r="BK496" s="12"/>
      <c r="BL496" s="12"/>
    </row>
    <row r="497" spans="1:64" hidden="1" outlineLevel="1">
      <c r="A497" s="9"/>
      <c r="B497" s="9"/>
      <c r="C497" s="46"/>
      <c r="D497" s="132" t="str">
        <f>Asset28</f>
        <v>Equity Raising Costs</v>
      </c>
      <c r="E497" s="9"/>
      <c r="F497" s="9"/>
      <c r="G497" s="201">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102"/>
      <c r="BE497" s="102"/>
      <c r="BF497" s="102"/>
      <c r="BG497" s="102"/>
      <c r="BH497" s="102"/>
      <c r="BI497" s="102"/>
      <c r="BJ497" s="102"/>
      <c r="BK497" s="12"/>
      <c r="BL497" s="12"/>
    </row>
    <row r="498" spans="1:64" hidden="1" outlineLevel="1">
      <c r="A498" s="9"/>
      <c r="B498" s="9"/>
      <c r="C498" s="46"/>
      <c r="D498" s="132" t="str">
        <f>Asset29</f>
        <v>Not Used</v>
      </c>
      <c r="E498" s="9"/>
      <c r="F498" s="9"/>
      <c r="G498" s="201">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102"/>
      <c r="BE498" s="102"/>
      <c r="BF498" s="102"/>
      <c r="BG498" s="102"/>
      <c r="BH498" s="102"/>
      <c r="BI498" s="102"/>
      <c r="BJ498" s="102"/>
      <c r="BK498" s="12"/>
      <c r="BL498" s="12"/>
    </row>
    <row r="499" spans="1:64" hidden="1" outlineLevel="1">
      <c r="A499" s="9"/>
      <c r="B499" s="9"/>
      <c r="C499" s="46"/>
      <c r="D499" s="132" t="str">
        <f>Asset30</f>
        <v>Not Used</v>
      </c>
      <c r="E499" s="9"/>
      <c r="F499" s="9"/>
      <c r="G499" s="201">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102"/>
      <c r="BE499" s="102"/>
      <c r="BF499" s="102"/>
      <c r="BG499" s="102"/>
      <c r="BH499" s="102"/>
      <c r="BI499" s="102"/>
      <c r="BJ499" s="102"/>
      <c r="BK499" s="12"/>
      <c r="BL499" s="12"/>
    </row>
    <row r="500" spans="1:64" collapsed="1">
      <c r="A500" s="9"/>
      <c r="B500" s="9"/>
      <c r="C500" s="46"/>
      <c r="D500" s="116"/>
      <c r="E500" s="9"/>
      <c r="F500" s="9"/>
      <c r="G500" s="206"/>
      <c r="H500" s="37"/>
      <c r="I500" s="37"/>
      <c r="J500" s="37"/>
      <c r="K500" s="37"/>
      <c r="L500" s="37"/>
      <c r="M500" s="37"/>
      <c r="N500" s="29"/>
      <c r="O500" s="29"/>
      <c r="P500" s="29"/>
      <c r="Q500" s="29"/>
      <c r="R500" s="29"/>
      <c r="S500" s="102"/>
      <c r="T500" s="102"/>
      <c r="U500" s="102"/>
      <c r="V500" s="102"/>
      <c r="W500" s="102"/>
      <c r="X500" s="102"/>
      <c r="Y500" s="102"/>
      <c r="Z500" s="102"/>
      <c r="AA500" s="102"/>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102"/>
      <c r="BE500" s="102"/>
      <c r="BF500" s="102"/>
      <c r="BG500" s="102"/>
      <c r="BH500" s="102"/>
      <c r="BI500" s="102"/>
      <c r="BJ500" s="102"/>
      <c r="BK500" s="12"/>
      <c r="BL500" s="12"/>
    </row>
    <row r="501" spans="1:64">
      <c r="A501" s="9"/>
      <c r="B501" s="9"/>
      <c r="C501" s="231" t="s">
        <v>76</v>
      </c>
      <c r="D501" s="226"/>
      <c r="E501" s="9"/>
      <c r="F501" s="9"/>
      <c r="G501" s="199">
        <f>SUM(G502:G531)</f>
        <v>-123.15428200000001</v>
      </c>
      <c r="H501" s="37">
        <f>SUM(H502:H531)</f>
        <v>-109.95290807172128</v>
      </c>
      <c r="I501" s="37">
        <f t="shared" ref="I501:Q501" si="24">SUM(I502:I531)</f>
        <v>-212.89819523776009</v>
      </c>
      <c r="J501" s="37">
        <f t="shared" si="24"/>
        <v>-158.57219093798591</v>
      </c>
      <c r="K501" s="37">
        <f t="shared" si="24"/>
        <v>-134.03597546608958</v>
      </c>
      <c r="L501" s="37">
        <f t="shared" si="24"/>
        <v>-221.15222509626034</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102"/>
      <c r="BE501" s="102"/>
      <c r="BF501" s="102"/>
      <c r="BG501" s="102"/>
      <c r="BH501" s="102"/>
      <c r="BI501" s="102"/>
      <c r="BJ501" s="102"/>
      <c r="BK501" s="12"/>
      <c r="BL501" s="12"/>
    </row>
    <row r="502" spans="1:64" hidden="1" outlineLevel="1">
      <c r="A502" s="9"/>
      <c r="B502" s="9"/>
      <c r="C502" s="46"/>
      <c r="D502" s="132" t="str">
        <f>Asset1</f>
        <v>Overhead Sub-Transmission Lines</v>
      </c>
      <c r="E502" s="9"/>
      <c r="F502" s="9"/>
      <c r="G502" s="201">
        <f>'Adjustment for previous period'!G398</f>
        <v>0.62614300000000001</v>
      </c>
      <c r="H502" s="113">
        <f>H632+H666</f>
        <v>4.2477057291108054</v>
      </c>
      <c r="I502" s="113">
        <f t="shared" ref="I502:Q502" si="25">I632+I666</f>
        <v>-15.206500247666593</v>
      </c>
      <c r="J502" s="113">
        <f t="shared" si="25"/>
        <v>-6.331660714271262</v>
      </c>
      <c r="K502" s="113">
        <f t="shared" si="25"/>
        <v>-2.8326169764368849</v>
      </c>
      <c r="L502" s="113">
        <f t="shared" si="25"/>
        <v>-20.475033318098973</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102"/>
      <c r="BE502" s="102"/>
      <c r="BF502" s="102"/>
      <c r="BG502" s="102"/>
      <c r="BH502" s="102"/>
      <c r="BI502" s="102"/>
      <c r="BJ502" s="102"/>
      <c r="BK502" s="12"/>
      <c r="BL502" s="12"/>
    </row>
    <row r="503" spans="1:64" hidden="1" outlineLevel="1">
      <c r="A503" s="9"/>
      <c r="B503" s="9"/>
      <c r="C503" s="46"/>
      <c r="D503" s="132" t="str">
        <f>Asset2</f>
        <v>Underground Sub-Transmission Cables</v>
      </c>
      <c r="E503" s="9"/>
      <c r="F503" s="9"/>
      <c r="G503" s="201">
        <f>'Adjustment for previous period'!G399</f>
        <v>-0.75538400000000006</v>
      </c>
      <c r="H503" s="113">
        <f>H633+H667</f>
        <v>-0.57470571620827537</v>
      </c>
      <c r="I503" s="113">
        <f t="shared" ref="H503:Q531" si="26">I633+I667</f>
        <v>-1.5734900385941621</v>
      </c>
      <c r="J503" s="113">
        <f t="shared" si="26"/>
        <v>-1.1760167957434859</v>
      </c>
      <c r="K503" s="113">
        <f t="shared" si="26"/>
        <v>-1.0560956287012562</v>
      </c>
      <c r="L503" s="113">
        <f t="shared" si="26"/>
        <v>-1.924316413241137</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102"/>
      <c r="BE503" s="102"/>
      <c r="BF503" s="102"/>
      <c r="BG503" s="102"/>
      <c r="BH503" s="102"/>
      <c r="BI503" s="102"/>
      <c r="BJ503" s="102"/>
      <c r="BK503" s="12"/>
      <c r="BL503" s="12"/>
    </row>
    <row r="504" spans="1:64" hidden="1" outlineLevel="1">
      <c r="A504" s="9"/>
      <c r="B504" s="9"/>
      <c r="C504" s="46"/>
      <c r="D504" s="132" t="str">
        <f>Asset3</f>
        <v>Overhead Distribution Lines</v>
      </c>
      <c r="E504" s="9"/>
      <c r="F504" s="9"/>
      <c r="G504" s="201">
        <f>'Adjustment for previous period'!G400</f>
        <v>0.99518300000000004</v>
      </c>
      <c r="H504" s="113">
        <f t="shared" si="26"/>
        <v>8.2976078722550568</v>
      </c>
      <c r="I504" s="113">
        <f t="shared" si="26"/>
        <v>-32.038786517524763</v>
      </c>
      <c r="J504" s="113">
        <f t="shared" si="26"/>
        <v>-13.675061262614541</v>
      </c>
      <c r="K504" s="113">
        <f t="shared" si="26"/>
        <v>-6.4585240652208853</v>
      </c>
      <c r="L504" s="113">
        <f t="shared" si="26"/>
        <v>-43.014215668321356</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102"/>
      <c r="BE504" s="102"/>
      <c r="BF504" s="102"/>
      <c r="BG504" s="102"/>
      <c r="BH504" s="102"/>
      <c r="BI504" s="102"/>
      <c r="BJ504" s="102"/>
      <c r="BK504" s="12"/>
      <c r="BL504" s="12"/>
    </row>
    <row r="505" spans="1:64" hidden="1" outlineLevel="1">
      <c r="A505" s="9"/>
      <c r="B505" s="9"/>
      <c r="C505" s="46"/>
      <c r="D505" s="132" t="str">
        <f>Asset4</f>
        <v>Underground Distribution Cables</v>
      </c>
      <c r="E505" s="9"/>
      <c r="F505" s="9"/>
      <c r="G505" s="201">
        <f>'Adjustment for previous period'!G401</f>
        <v>3.878371</v>
      </c>
      <c r="H505" s="113">
        <f t="shared" si="26"/>
        <v>7.2745196479529888</v>
      </c>
      <c r="I505" s="113">
        <f t="shared" si="26"/>
        <v>-4.2058568573677171</v>
      </c>
      <c r="J505" s="113">
        <f t="shared" si="26"/>
        <v>1.3811896124994938</v>
      </c>
      <c r="K505" s="113">
        <f t="shared" si="26"/>
        <v>3.8052200351386158</v>
      </c>
      <c r="L505" s="113">
        <f t="shared" si="26"/>
        <v>-6.8317799299201525</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102"/>
      <c r="BE505" s="102"/>
      <c r="BF505" s="102"/>
      <c r="BG505" s="102"/>
      <c r="BH505" s="102"/>
      <c r="BI505" s="102"/>
      <c r="BJ505" s="102"/>
      <c r="BK505" s="12"/>
      <c r="BL505" s="12"/>
    </row>
    <row r="506" spans="1:64" hidden="1" outlineLevel="1">
      <c r="A506" s="9"/>
      <c r="B506" s="9"/>
      <c r="C506" s="46"/>
      <c r="D506" s="132" t="str">
        <f>Asset5</f>
        <v xml:space="preserve">Distribution Equipment  </v>
      </c>
      <c r="E506" s="9"/>
      <c r="F506" s="9"/>
      <c r="G506" s="201">
        <f>'Adjustment for previous period'!G402</f>
        <v>-1.4445380000000001</v>
      </c>
      <c r="H506" s="113">
        <f t="shared" si="26"/>
        <v>-1.3857761844308225</v>
      </c>
      <c r="I506" s="113">
        <f t="shared" si="26"/>
        <v>-2.7021498680892266</v>
      </c>
      <c r="J506" s="113">
        <f t="shared" si="26"/>
        <v>-2.2243876719639495</v>
      </c>
      <c r="K506" s="113">
        <f t="shared" si="26"/>
        <v>-2.113666624419603</v>
      </c>
      <c r="L506" s="113">
        <f t="shared" si="26"/>
        <v>-3.2282034960456532</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102"/>
      <c r="BE506" s="102"/>
      <c r="BF506" s="102"/>
      <c r="BG506" s="102"/>
      <c r="BH506" s="102"/>
      <c r="BI506" s="102"/>
      <c r="BJ506" s="102"/>
      <c r="BK506" s="12"/>
      <c r="BL506" s="12"/>
    </row>
    <row r="507" spans="1:64" hidden="1" outlineLevel="1">
      <c r="A507" s="9"/>
      <c r="B507" s="9"/>
      <c r="C507" s="46"/>
      <c r="D507" s="132" t="str">
        <f>Asset6</f>
        <v>Substation Bays</v>
      </c>
      <c r="E507" s="9"/>
      <c r="F507" s="9"/>
      <c r="G507" s="201">
        <f>'Adjustment for previous period'!G403</f>
        <v>-1.326967</v>
      </c>
      <c r="H507" s="113">
        <f t="shared" si="26"/>
        <v>1.4910645342875242</v>
      </c>
      <c r="I507" s="113">
        <f t="shared" si="26"/>
        <v>-13.819528610878004</v>
      </c>
      <c r="J507" s="113">
        <f t="shared" si="26"/>
        <v>-6.9708365378277648</v>
      </c>
      <c r="K507" s="113">
        <f t="shared" si="26"/>
        <v>-4.3565701425132808</v>
      </c>
      <c r="L507" s="113">
        <f t="shared" si="26"/>
        <v>-18.153567213513831</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102"/>
      <c r="BE507" s="102"/>
      <c r="BF507" s="102"/>
      <c r="BG507" s="102"/>
      <c r="BH507" s="102"/>
      <c r="BI507" s="102"/>
      <c r="BJ507" s="102"/>
      <c r="BK507" s="12"/>
      <c r="BL507" s="12"/>
    </row>
    <row r="508" spans="1:64" hidden="1" outlineLevel="1">
      <c r="A508" s="9"/>
      <c r="B508" s="9"/>
      <c r="C508" s="46"/>
      <c r="D508" s="132" t="str">
        <f>Asset7</f>
        <v>Substation Establishment</v>
      </c>
      <c r="E508" s="9"/>
      <c r="F508" s="9"/>
      <c r="G508" s="201">
        <f>'Adjustment for previous period'!G404</f>
        <v>-0.96549200000000002</v>
      </c>
      <c r="H508" s="113">
        <f t="shared" si="26"/>
        <v>0.10008946763993443</v>
      </c>
      <c r="I508" s="113">
        <f t="shared" si="26"/>
        <v>-5.2278610846991684</v>
      </c>
      <c r="J508" s="113">
        <f t="shared" si="26"/>
        <v>-2.8753018406560287</v>
      </c>
      <c r="K508" s="113">
        <f t="shared" si="26"/>
        <v>-1.9971077636463441</v>
      </c>
      <c r="L508" s="113">
        <f t="shared" si="26"/>
        <v>-6.7785067887425434</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102"/>
      <c r="BE508" s="102"/>
      <c r="BF508" s="102"/>
      <c r="BG508" s="102"/>
      <c r="BH508" s="102"/>
      <c r="BI508" s="102"/>
      <c r="BJ508" s="102"/>
      <c r="BK508" s="12"/>
      <c r="BL508" s="12"/>
    </row>
    <row r="509" spans="1:64" hidden="1" outlineLevel="1">
      <c r="A509" s="9"/>
      <c r="B509" s="9"/>
      <c r="C509" s="46"/>
      <c r="D509" s="132" t="str">
        <f>Asset8</f>
        <v>Distribution Substation Switchgear</v>
      </c>
      <c r="E509" s="9"/>
      <c r="F509" s="9"/>
      <c r="G509" s="201">
        <f>'Adjustment for previous period'!G405</f>
        <v>8.4524000000000002E-2</v>
      </c>
      <c r="H509" s="113">
        <f t="shared" si="26"/>
        <v>0.39422919318422167</v>
      </c>
      <c r="I509" s="113">
        <f t="shared" si="26"/>
        <v>-1.3340876715504939</v>
      </c>
      <c r="J509" s="113">
        <f t="shared" si="26"/>
        <v>-0.54440746226880554</v>
      </c>
      <c r="K509" s="113">
        <f t="shared" si="26"/>
        <v>-0.23228126892799805</v>
      </c>
      <c r="L509" s="113">
        <f t="shared" si="26"/>
        <v>-1.8004368256652541</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102"/>
      <c r="BE509" s="102"/>
      <c r="BF509" s="102"/>
      <c r="BG509" s="102"/>
      <c r="BH509" s="102"/>
      <c r="BI509" s="102"/>
      <c r="BJ509" s="102"/>
      <c r="BK509" s="12"/>
      <c r="BL509" s="12"/>
    </row>
    <row r="510" spans="1:64" hidden="1" outlineLevel="1">
      <c r="A510" s="9"/>
      <c r="B510" s="9"/>
      <c r="C510" s="46"/>
      <c r="D510" s="132" t="str">
        <f>Asset9</f>
        <v>Zone Transformers</v>
      </c>
      <c r="E510" s="9"/>
      <c r="F510" s="9"/>
      <c r="G510" s="201">
        <f>'Adjustment for previous period'!G406</f>
        <v>-1.7081459999999999</v>
      </c>
      <c r="H510" s="113">
        <f t="shared" si="26"/>
        <v>-0.97716509196662926</v>
      </c>
      <c r="I510" s="113">
        <f t="shared" si="26"/>
        <v>-5.5104061156710022</v>
      </c>
      <c r="J510" s="113">
        <f t="shared" si="26"/>
        <v>-3.5866899299384745</v>
      </c>
      <c r="K510" s="113">
        <f t="shared" si="26"/>
        <v>-2.9195113782472015</v>
      </c>
      <c r="L510" s="113">
        <f t="shared" si="26"/>
        <v>-6.9374126630825295</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102"/>
      <c r="BE510" s="102"/>
      <c r="BF510" s="102"/>
      <c r="BG510" s="102"/>
      <c r="BH510" s="102"/>
      <c r="BI510" s="102"/>
      <c r="BJ510" s="102"/>
      <c r="BK510" s="12"/>
      <c r="BL510" s="12"/>
    </row>
    <row r="511" spans="1:64" hidden="1" outlineLevel="1">
      <c r="A511" s="9"/>
      <c r="B511" s="9"/>
      <c r="C511" s="46"/>
      <c r="D511" s="132" t="str">
        <f>Asset10</f>
        <v>Distribution Transformers</v>
      </c>
      <c r="E511" s="9"/>
      <c r="F511" s="9"/>
      <c r="G511" s="201">
        <f>'Adjustment for previous period'!G407</f>
        <v>-12.470083000000001</v>
      </c>
      <c r="H511" s="113">
        <f t="shared" si="26"/>
        <v>-10.650960039828963</v>
      </c>
      <c r="I511" s="113">
        <f t="shared" si="26"/>
        <v>-26.532925742307235</v>
      </c>
      <c r="J511" s="113">
        <f t="shared" si="26"/>
        <v>-20.323544283973607</v>
      </c>
      <c r="K511" s="113">
        <f t="shared" si="26"/>
        <v>-18.530571420892731</v>
      </c>
      <c r="L511" s="113">
        <f t="shared" si="26"/>
        <v>-32.26478156039262</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102"/>
      <c r="BE511" s="102"/>
      <c r="BF511" s="102"/>
      <c r="BG511" s="102"/>
      <c r="BH511" s="102"/>
      <c r="BI511" s="102"/>
      <c r="BJ511" s="102"/>
      <c r="BK511" s="12"/>
      <c r="BL511" s="12"/>
    </row>
    <row r="512" spans="1:64" hidden="1" outlineLevel="1">
      <c r="A512" s="9"/>
      <c r="B512" s="9"/>
      <c r="C512" s="46"/>
      <c r="D512" s="132" t="str">
        <f>Asset11</f>
        <v>Low Voltage Services</v>
      </c>
      <c r="E512" s="9"/>
      <c r="F512" s="9"/>
      <c r="G512" s="201">
        <f>'Adjustment for previous period'!G408</f>
        <v>-21.383807000000001</v>
      </c>
      <c r="H512" s="113">
        <f t="shared" si="26"/>
        <v>-20.556160254259197</v>
      </c>
      <c r="I512" s="113">
        <f t="shared" si="26"/>
        <v>-23.30274036006459</v>
      </c>
      <c r="J512" s="113">
        <f t="shared" si="26"/>
        <v>-23.601897243380296</v>
      </c>
      <c r="K512" s="113">
        <f t="shared" si="26"/>
        <v>-24.701574256003486</v>
      </c>
      <c r="L512" s="113">
        <f t="shared" si="26"/>
        <v>-1.5292991240330098</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102"/>
      <c r="BE512" s="102"/>
      <c r="BF512" s="102"/>
      <c r="BG512" s="102"/>
      <c r="BH512" s="102"/>
      <c r="BI512" s="102"/>
      <c r="BJ512" s="102"/>
      <c r="BK512" s="12"/>
      <c r="BL512" s="12"/>
    </row>
    <row r="513" spans="1:64" hidden="1" outlineLevel="1">
      <c r="A513" s="9"/>
      <c r="B513" s="9"/>
      <c r="C513" s="46"/>
      <c r="D513" s="132" t="str">
        <f>Asset12</f>
        <v>Metering</v>
      </c>
      <c r="E513" s="9"/>
      <c r="F513" s="9"/>
      <c r="G513" s="201">
        <f>'Adjustment for previous period'!G409</f>
        <v>-10.447558000000001</v>
      </c>
      <c r="H513" s="113">
        <f t="shared" si="26"/>
        <v>-11.355246649992406</v>
      </c>
      <c r="I513" s="113">
        <f t="shared" si="26"/>
        <v>-13.141071315241616</v>
      </c>
      <c r="J513" s="113">
        <f t="shared" si="26"/>
        <v>-13.188090966565779</v>
      </c>
      <c r="K513" s="113">
        <f t="shared" si="26"/>
        <v>-13.751659451222537</v>
      </c>
      <c r="L513" s="113">
        <f t="shared" si="26"/>
        <v>-14.814924601897742</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102"/>
      <c r="BE513" s="102"/>
      <c r="BF513" s="102"/>
      <c r="BG513" s="102"/>
      <c r="BH513" s="102"/>
      <c r="BI513" s="102"/>
      <c r="BJ513" s="102"/>
      <c r="BK513" s="12"/>
      <c r="BL513" s="12"/>
    </row>
    <row r="514" spans="1:64" hidden="1" outlineLevel="1">
      <c r="A514" s="9"/>
      <c r="B514" s="9"/>
      <c r="C514" s="46"/>
      <c r="D514" s="132" t="str">
        <f>Asset13</f>
        <v xml:space="preserve">Communications – Pilot Wires </v>
      </c>
      <c r="E514" s="9"/>
      <c r="F514" s="9"/>
      <c r="G514" s="201">
        <f>'Adjustment for previous period'!G410</f>
        <v>-1.5611219999999999</v>
      </c>
      <c r="H514" s="113">
        <f t="shared" si="26"/>
        <v>-1.469427827087733</v>
      </c>
      <c r="I514" s="113">
        <f t="shared" si="26"/>
        <v>-3.0379768662212818</v>
      </c>
      <c r="J514" s="113">
        <f t="shared" si="26"/>
        <v>-2.4553512669626034</v>
      </c>
      <c r="K514" s="113">
        <f t="shared" si="26"/>
        <v>-2.3097230944565834</v>
      </c>
      <c r="L514" s="113">
        <f t="shared" si="26"/>
        <v>-3.6463806386008955</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102"/>
      <c r="BE514" s="102"/>
      <c r="BF514" s="102"/>
      <c r="BG514" s="102"/>
      <c r="BH514" s="102"/>
      <c r="BI514" s="102"/>
      <c r="BJ514" s="102"/>
      <c r="BK514" s="12"/>
      <c r="BL514" s="12"/>
    </row>
    <row r="515" spans="1:64" hidden="1" outlineLevel="1">
      <c r="A515" s="9"/>
      <c r="B515" s="9"/>
      <c r="C515" s="46"/>
      <c r="D515" s="132" t="str">
        <f>Asset14</f>
        <v>Generation Assets</v>
      </c>
      <c r="E515" s="9"/>
      <c r="F515" s="9"/>
      <c r="G515" s="201">
        <f>'Adjustment for previous period'!G411</f>
        <v>-0.48629899999999998</v>
      </c>
      <c r="H515" s="113">
        <f t="shared" si="26"/>
        <v>-0.52063494195725013</v>
      </c>
      <c r="I515" s="113">
        <f t="shared" si="26"/>
        <v>-0.61072760719365116</v>
      </c>
      <c r="J515" s="113">
        <f t="shared" si="26"/>
        <v>-0.60926826886504859</v>
      </c>
      <c r="K515" s="113">
        <f t="shared" si="26"/>
        <v>-0.63376560598255038</v>
      </c>
      <c r="L515" s="113">
        <f t="shared" si="26"/>
        <v>-0.68987929357649336</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102"/>
      <c r="BE515" s="102"/>
      <c r="BF515" s="102"/>
      <c r="BG515" s="102"/>
      <c r="BH515" s="102"/>
      <c r="BI515" s="102"/>
      <c r="BJ515" s="102"/>
      <c r="BK515" s="12"/>
      <c r="BL515" s="12"/>
    </row>
    <row r="516" spans="1:64" hidden="1" outlineLevel="1">
      <c r="A516" s="9"/>
      <c r="B516" s="9"/>
      <c r="C516" s="46"/>
      <c r="D516" s="132" t="str">
        <f>Asset15</f>
        <v>Street Lighting</v>
      </c>
      <c r="E516" s="9"/>
      <c r="F516" s="9"/>
      <c r="G516" s="201">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102"/>
      <c r="BE516" s="102"/>
      <c r="BF516" s="102"/>
      <c r="BG516" s="102"/>
      <c r="BH516" s="102"/>
      <c r="BI516" s="102"/>
      <c r="BJ516" s="102"/>
      <c r="BK516" s="12"/>
      <c r="BL516" s="12"/>
    </row>
    <row r="517" spans="1:64" hidden="1" outlineLevel="1">
      <c r="A517" s="9"/>
      <c r="B517" s="9"/>
      <c r="C517" s="46"/>
      <c r="D517" s="132" t="str">
        <f>Asset16</f>
        <v>Other Equipment</v>
      </c>
      <c r="E517" s="9"/>
      <c r="F517" s="9"/>
      <c r="G517" s="201">
        <f>'Adjustment for previous period'!G413</f>
        <v>4.3449000000000002E-2</v>
      </c>
      <c r="H517" s="113">
        <f t="shared" si="26"/>
        <v>9.6889515630889211E-2</v>
      </c>
      <c r="I517" s="113">
        <f t="shared" si="26"/>
        <v>-0.23664928207971431</v>
      </c>
      <c r="J517" s="113">
        <f t="shared" si="26"/>
        <v>-8.2726347805524569E-2</v>
      </c>
      <c r="K517" s="113">
        <f t="shared" si="26"/>
        <v>-2.0923181033064009E-2</v>
      </c>
      <c r="L517" s="113">
        <f t="shared" si="26"/>
        <v>-0.32453880383205691</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102"/>
      <c r="BE517" s="102"/>
      <c r="BF517" s="102"/>
      <c r="BG517" s="102"/>
      <c r="BH517" s="102"/>
      <c r="BI517" s="102"/>
      <c r="BJ517" s="102"/>
      <c r="BK517" s="12"/>
      <c r="BL517" s="12"/>
    </row>
    <row r="518" spans="1:64" hidden="1" outlineLevel="1">
      <c r="A518" s="9"/>
      <c r="B518" s="9"/>
      <c r="C518" s="46"/>
      <c r="D518" s="132" t="str">
        <f>Asset17</f>
        <v>Control Centre - SCADA</v>
      </c>
      <c r="E518" s="9"/>
      <c r="F518" s="9"/>
      <c r="G518" s="201">
        <f>'Adjustment for previous period'!G414</f>
        <v>-8.2991620000000008</v>
      </c>
      <c r="H518" s="113">
        <f t="shared" si="26"/>
        <v>-11.746501705189971</v>
      </c>
      <c r="I518" s="113">
        <f t="shared" si="26"/>
        <v>-13.143767384022022</v>
      </c>
      <c r="J518" s="113">
        <f t="shared" si="26"/>
        <v>-13.390524781892905</v>
      </c>
      <c r="K518" s="113">
        <f t="shared" si="26"/>
        <v>-5.9862846711862572</v>
      </c>
      <c r="L518" s="113">
        <f t="shared" si="26"/>
        <v>-2.3219212124723472E-3</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102"/>
      <c r="BE518" s="102"/>
      <c r="BF518" s="102"/>
      <c r="BG518" s="102"/>
      <c r="BH518" s="102"/>
      <c r="BI518" s="102"/>
      <c r="BJ518" s="102"/>
      <c r="BK518" s="12"/>
      <c r="BL518" s="12"/>
    </row>
    <row r="519" spans="1:64" hidden="1" outlineLevel="1">
      <c r="A519" s="9"/>
      <c r="B519" s="9"/>
      <c r="C519" s="46"/>
      <c r="D519" s="132" t="str">
        <f>Asset18</f>
        <v>Land &amp; Easements (System)</v>
      </c>
      <c r="E519" s="9"/>
      <c r="F519" s="9"/>
      <c r="G519" s="201">
        <f>'Adjustment for previous period'!G415</f>
        <v>1.7665649999999999</v>
      </c>
      <c r="H519" s="113">
        <f t="shared" si="26"/>
        <v>2.6882243847000002</v>
      </c>
      <c r="I519" s="113">
        <f t="shared" si="26"/>
        <v>1.3179677974782602</v>
      </c>
      <c r="J519" s="113">
        <f t="shared" si="26"/>
        <v>2.1183412795544565</v>
      </c>
      <c r="K519" s="113">
        <f t="shared" si="26"/>
        <v>2.5447633791287685</v>
      </c>
      <c r="L519" s="113">
        <f t="shared" si="26"/>
        <v>1.1889768526834577</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102"/>
      <c r="BE519" s="102"/>
      <c r="BF519" s="102"/>
      <c r="BG519" s="102"/>
      <c r="BH519" s="102"/>
      <c r="BI519" s="102"/>
      <c r="BJ519" s="102"/>
      <c r="BK519" s="12"/>
      <c r="BL519" s="12"/>
    </row>
    <row r="520" spans="1:64" hidden="1" outlineLevel="1">
      <c r="A520" s="9"/>
      <c r="B520" s="9"/>
      <c r="C520" s="46"/>
      <c r="D520" s="132" t="str">
        <f>Asset19</f>
        <v>Metering Type 5-6</v>
      </c>
      <c r="E520" s="9"/>
      <c r="F520" s="9"/>
      <c r="G520" s="201">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102"/>
      <c r="BE520" s="102"/>
      <c r="BF520" s="102"/>
      <c r="BG520" s="102"/>
      <c r="BH520" s="102"/>
      <c r="BI520" s="102"/>
      <c r="BJ520" s="102"/>
      <c r="BK520" s="12"/>
      <c r="BL520" s="12"/>
    </row>
    <row r="521" spans="1:64" hidden="1" outlineLevel="1">
      <c r="A521" s="9"/>
      <c r="B521" s="9"/>
      <c r="C521" s="46"/>
      <c r="D521" s="132" t="str">
        <f>Asset20</f>
        <v>Communications</v>
      </c>
      <c r="E521" s="9"/>
      <c r="F521" s="9"/>
      <c r="G521" s="201">
        <f>'Adjustment for previous period'!G417</f>
        <v>-0.93209299999999995</v>
      </c>
      <c r="H521" s="113">
        <f t="shared" si="26"/>
        <v>-0.9882346154219035</v>
      </c>
      <c r="I521" s="113">
        <f t="shared" si="26"/>
        <v>-1.1867323065717192</v>
      </c>
      <c r="J521" s="113">
        <f t="shared" si="26"/>
        <v>-1.1718620458899327</v>
      </c>
      <c r="K521" s="113">
        <f t="shared" si="26"/>
        <v>-1.2138690839200827</v>
      </c>
      <c r="L521" s="113">
        <f t="shared" si="26"/>
        <v>-1.3450257270049033</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102"/>
      <c r="BE521" s="102"/>
      <c r="BF521" s="102"/>
      <c r="BG521" s="102"/>
      <c r="BH521" s="102"/>
      <c r="BI521" s="102"/>
      <c r="BJ521" s="102"/>
      <c r="BK521" s="12"/>
      <c r="BL521" s="12"/>
    </row>
    <row r="522" spans="1:64" hidden="1" outlineLevel="1">
      <c r="A522" s="9"/>
      <c r="B522" s="9"/>
      <c r="C522" s="46"/>
      <c r="D522" s="132" t="str">
        <f>Asset21</f>
        <v>IT Systems</v>
      </c>
      <c r="E522" s="9"/>
      <c r="F522" s="9"/>
      <c r="G522" s="201">
        <f>'Adjustment for previous period'!G418</f>
        <v>-18.215378999999999</v>
      </c>
      <c r="H522" s="113">
        <f t="shared" si="26"/>
        <v>-33.241766063029814</v>
      </c>
      <c r="I522" s="113">
        <f t="shared" si="26"/>
        <v>-8.0562860622431336E-3</v>
      </c>
      <c r="J522" s="113">
        <f t="shared" si="26"/>
        <v>3.7274662726985972E-3</v>
      </c>
      <c r="K522" s="113">
        <f t="shared" si="26"/>
        <v>4.4778052333928247E-3</v>
      </c>
      <c r="L522" s="113">
        <f t="shared" si="26"/>
        <v>2.0921421681066696E-3</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102"/>
      <c r="BE522" s="102"/>
      <c r="BF522" s="102"/>
      <c r="BG522" s="102"/>
      <c r="BH522" s="102"/>
      <c r="BI522" s="102"/>
      <c r="BJ522" s="102"/>
      <c r="BK522" s="12"/>
      <c r="BL522" s="12"/>
    </row>
    <row r="523" spans="1:64" hidden="1" outlineLevel="1">
      <c r="A523" s="9"/>
      <c r="B523" s="9"/>
      <c r="C523" s="46"/>
      <c r="D523" s="132" t="str">
        <f>Asset22</f>
        <v>Office Equipment &amp; Furniture</v>
      </c>
      <c r="E523" s="9"/>
      <c r="F523" s="9"/>
      <c r="G523" s="201">
        <f>'Adjustment for previous period'!G419</f>
        <v>-3.4139110000000001</v>
      </c>
      <c r="H523" s="113">
        <f t="shared" si="26"/>
        <v>-3.7091782247254033</v>
      </c>
      <c r="I523" s="113">
        <f t="shared" si="26"/>
        <v>-4.3140563084994614</v>
      </c>
      <c r="J523" s="113">
        <f t="shared" si="26"/>
        <v>-4.3199336856087323</v>
      </c>
      <c r="K523" s="113">
        <f t="shared" si="26"/>
        <v>-4.500502689346888</v>
      </c>
      <c r="L523" s="113">
        <f t="shared" si="26"/>
        <v>-4.8671287086531825</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102"/>
      <c r="BE523" s="102"/>
      <c r="BF523" s="102"/>
      <c r="BG523" s="102"/>
      <c r="BH523" s="102"/>
      <c r="BI523" s="102"/>
      <c r="BJ523" s="102"/>
      <c r="BK523" s="12"/>
      <c r="BL523" s="12"/>
    </row>
    <row r="524" spans="1:64" hidden="1" outlineLevel="1">
      <c r="A524" s="9"/>
      <c r="B524" s="9"/>
      <c r="C524" s="46"/>
      <c r="D524" s="132" t="str">
        <f>Asset23</f>
        <v>Motor Vehicles</v>
      </c>
      <c r="E524" s="9"/>
      <c r="F524" s="9"/>
      <c r="G524" s="201">
        <f>'Adjustment for previous period'!G420</f>
        <v>-25.809996999999999</v>
      </c>
      <c r="H524" s="113">
        <f t="shared" si="26"/>
        <v>-11.666964857630202</v>
      </c>
      <c r="I524" s="113">
        <f t="shared" si="26"/>
        <v>-14.152744477402797</v>
      </c>
      <c r="J524" s="113">
        <f t="shared" si="26"/>
        <v>-13.914532918618171</v>
      </c>
      <c r="K524" s="113">
        <f t="shared" si="26"/>
        <v>-14.387201780780384</v>
      </c>
      <c r="L524" s="113">
        <f t="shared" si="26"/>
        <v>-16.063233631301827</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102"/>
      <c r="BE524" s="102"/>
      <c r="BF524" s="102"/>
      <c r="BG524" s="102"/>
      <c r="BH524" s="102"/>
      <c r="BI524" s="102"/>
      <c r="BJ524" s="102"/>
      <c r="BK524" s="12"/>
      <c r="BL524" s="12"/>
    </row>
    <row r="525" spans="1:64" hidden="1" outlineLevel="1">
      <c r="A525" s="9"/>
      <c r="B525" s="9"/>
      <c r="C525" s="46"/>
      <c r="D525" s="132" t="str">
        <f>Asset24</f>
        <v>Plant &amp; Equipment</v>
      </c>
      <c r="E525" s="9"/>
      <c r="F525" s="9"/>
      <c r="G525" s="201">
        <f>'Adjustment for previous period'!G421</f>
        <v>-12.271597</v>
      </c>
      <c r="H525" s="113">
        <f t="shared" si="26"/>
        <v>-9.0555140670201375</v>
      </c>
      <c r="I525" s="113">
        <f t="shared" si="26"/>
        <v>-11.090366857141088</v>
      </c>
      <c r="J525" s="113">
        <f t="shared" si="26"/>
        <v>-10.859048827613098</v>
      </c>
      <c r="K525" s="113">
        <f t="shared" si="26"/>
        <v>-11.208683306398783</v>
      </c>
      <c r="L525" s="113">
        <f t="shared" si="26"/>
        <v>-12.604123124917043</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102"/>
      <c r="BE525" s="102"/>
      <c r="BF525" s="102"/>
      <c r="BG525" s="102"/>
      <c r="BH525" s="102"/>
      <c r="BI525" s="102"/>
      <c r="BJ525" s="102"/>
      <c r="BK525" s="12"/>
      <c r="BL525" s="12"/>
    </row>
    <row r="526" spans="1:64" hidden="1" outlineLevel="1">
      <c r="A526" s="9"/>
      <c r="B526" s="9"/>
      <c r="C526" s="46"/>
      <c r="D526" s="132" t="str">
        <f>Asset25</f>
        <v>Buildings</v>
      </c>
      <c r="E526" s="9"/>
      <c r="F526" s="9"/>
      <c r="G526" s="201">
        <f>'Adjustment for previous period'!G422</f>
        <v>-9.4653039999999997</v>
      </c>
      <c r="H526" s="113">
        <f t="shared" si="26"/>
        <v>-17.215265297732142</v>
      </c>
      <c r="I526" s="113">
        <f t="shared" si="26"/>
        <v>-21.934350488399865</v>
      </c>
      <c r="J526" s="113">
        <f t="shared" si="26"/>
        <v>-21.120156910128109</v>
      </c>
      <c r="K526" s="113">
        <f t="shared" si="26"/>
        <v>-21.645830919337101</v>
      </c>
      <c r="L526" s="113">
        <f t="shared" si="26"/>
        <v>-25.061320567432563</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102"/>
      <c r="BE526" s="102"/>
      <c r="BF526" s="102"/>
      <c r="BG526" s="102"/>
      <c r="BH526" s="102"/>
      <c r="BI526" s="102"/>
      <c r="BJ526" s="102"/>
      <c r="BK526" s="12"/>
      <c r="BL526" s="12"/>
    </row>
    <row r="527" spans="1:64" hidden="1" outlineLevel="1">
      <c r="A527" s="9"/>
      <c r="B527" s="9"/>
      <c r="C527" s="46"/>
      <c r="D527" s="132" t="str">
        <f>Asset26</f>
        <v>Land &amp; Easements</v>
      </c>
      <c r="E527" s="9"/>
      <c r="F527" s="9"/>
      <c r="G527" s="201">
        <f>'Adjustment for previous period'!G423</f>
        <v>0.37503799999999998</v>
      </c>
      <c r="H527" s="113">
        <f t="shared" si="26"/>
        <v>0.50154252210000005</v>
      </c>
      <c r="I527" s="113">
        <f t="shared" si="26"/>
        <v>0.24589349644918002</v>
      </c>
      <c r="J527" s="113">
        <f t="shared" si="26"/>
        <v>0.39521932546372951</v>
      </c>
      <c r="K527" s="113">
        <f t="shared" si="26"/>
        <v>0.47477697567957816</v>
      </c>
      <c r="L527" s="113">
        <f t="shared" si="26"/>
        <v>0.22182763195191005</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102"/>
      <c r="BE527" s="102"/>
      <c r="BF527" s="102"/>
      <c r="BG527" s="102"/>
      <c r="BH527" s="102"/>
      <c r="BI527" s="102"/>
      <c r="BJ527" s="102"/>
      <c r="BK527" s="12"/>
      <c r="BL527" s="12"/>
    </row>
    <row r="528" spans="1:64" hidden="1" outlineLevel="1">
      <c r="A528" s="9"/>
      <c r="B528" s="9"/>
      <c r="C528" s="46"/>
      <c r="D528" s="132" t="str">
        <f>Asset27</f>
        <v>Land Improvements</v>
      </c>
      <c r="E528" s="9"/>
      <c r="F528" s="9"/>
      <c r="G528" s="201">
        <f>'Adjustment for previous period'!G424</f>
        <v>3.3284000000000001E-2</v>
      </c>
      <c r="H528" s="113">
        <f t="shared" si="26"/>
        <v>6.8720597898166091E-2</v>
      </c>
      <c r="I528" s="113">
        <f t="shared" si="26"/>
        <v>-0.15122423843910404</v>
      </c>
      <c r="J528" s="113">
        <f t="shared" ref="I528:Q531" si="27">J658+J692</f>
        <v>-4.9368859188135661E-2</v>
      </c>
      <c r="K528" s="113">
        <f t="shared" si="27"/>
        <v>-8.2503525960394009E-3</v>
      </c>
      <c r="L528" s="113">
        <f t="shared" si="27"/>
        <v>-0.20869170357754316</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102"/>
      <c r="BE528" s="102"/>
      <c r="BF528" s="102"/>
      <c r="BG528" s="102"/>
      <c r="BH528" s="102"/>
      <c r="BI528" s="102"/>
      <c r="BJ528" s="102"/>
      <c r="BK528" s="12"/>
      <c r="BL528" s="12"/>
    </row>
    <row r="529" spans="1:64" hidden="1" outlineLevel="1">
      <c r="A529" s="9"/>
      <c r="B529" s="9"/>
      <c r="C529" s="46"/>
      <c r="D529" s="132" t="str">
        <f>Asset28</f>
        <v>Equity Raising Costs</v>
      </c>
      <c r="E529" s="9"/>
      <c r="F529" s="9"/>
      <c r="G529" s="201">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102"/>
      <c r="BE529" s="102"/>
      <c r="BF529" s="102"/>
      <c r="BG529" s="102"/>
      <c r="BH529" s="102"/>
      <c r="BI529" s="102"/>
      <c r="BJ529" s="102"/>
      <c r="BK529" s="12"/>
      <c r="BL529" s="12"/>
    </row>
    <row r="530" spans="1:64" hidden="1" outlineLevel="1">
      <c r="A530" s="9"/>
      <c r="B530" s="9"/>
      <c r="C530" s="46"/>
      <c r="D530" s="132" t="str">
        <f>Asset29</f>
        <v>Not Used</v>
      </c>
      <c r="E530" s="9"/>
      <c r="F530" s="9"/>
      <c r="G530" s="201">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102"/>
      <c r="BE530" s="102"/>
      <c r="BF530" s="102"/>
      <c r="BG530" s="102"/>
      <c r="BH530" s="102"/>
      <c r="BI530" s="102"/>
      <c r="BJ530" s="102"/>
      <c r="BK530" s="12"/>
      <c r="BL530" s="12"/>
    </row>
    <row r="531" spans="1:64" hidden="1" outlineLevel="1">
      <c r="A531" s="9"/>
      <c r="B531" s="9"/>
      <c r="C531" s="46"/>
      <c r="D531" s="132" t="str">
        <f>Asset30</f>
        <v>Not Used</v>
      </c>
      <c r="E531" s="9"/>
      <c r="F531" s="9"/>
      <c r="G531" s="201">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102"/>
      <c r="BE531" s="102"/>
      <c r="BF531" s="102"/>
      <c r="BG531" s="102"/>
      <c r="BH531" s="102"/>
      <c r="BI531" s="102"/>
      <c r="BJ531" s="102"/>
      <c r="BK531" s="12"/>
      <c r="BL531" s="12"/>
    </row>
    <row r="532" spans="1:64" collapsed="1">
      <c r="A532" s="9"/>
      <c r="B532" s="9"/>
      <c r="C532" s="46"/>
      <c r="D532" s="132"/>
      <c r="E532" s="9"/>
      <c r="F532" s="9"/>
      <c r="G532" s="206"/>
      <c r="H532" s="113"/>
      <c r="I532" s="113"/>
      <c r="J532" s="113"/>
      <c r="K532" s="113"/>
      <c r="L532" s="113"/>
      <c r="M532" s="113"/>
      <c r="N532" s="29"/>
      <c r="O532" s="29"/>
      <c r="P532" s="29"/>
      <c r="Q532" s="29"/>
      <c r="R532" s="29"/>
      <c r="S532" s="102"/>
      <c r="T532" s="102"/>
      <c r="U532" s="102"/>
      <c r="V532" s="102"/>
      <c r="W532" s="102"/>
      <c r="X532" s="102"/>
      <c r="Y532" s="102"/>
      <c r="Z532" s="102"/>
      <c r="AA532" s="102"/>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102"/>
      <c r="BE532" s="102"/>
      <c r="BF532" s="102"/>
      <c r="BG532" s="102"/>
      <c r="BH532" s="102"/>
      <c r="BI532" s="102"/>
      <c r="BJ532" s="102"/>
      <c r="BK532" s="12"/>
      <c r="BL532" s="12"/>
    </row>
    <row r="533" spans="1:64">
      <c r="A533" s="9"/>
      <c r="B533" s="9"/>
      <c r="C533" s="46" t="s">
        <v>53</v>
      </c>
      <c r="D533" s="116"/>
      <c r="E533" s="9"/>
      <c r="F533" s="9"/>
      <c r="G533" s="205">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102"/>
      <c r="BE533" s="102"/>
      <c r="BF533" s="102"/>
      <c r="BG533" s="102"/>
      <c r="BH533" s="102"/>
      <c r="BI533" s="102"/>
      <c r="BJ533" s="102"/>
      <c r="BK533" s="12"/>
      <c r="BL533" s="12"/>
    </row>
    <row r="534" spans="1:64" hidden="1" outlineLevel="1">
      <c r="A534" s="9"/>
      <c r="B534" s="9"/>
      <c r="C534" s="9"/>
      <c r="D534" s="132" t="str">
        <f>Asset1</f>
        <v>Overhead Sub-Transmission Lines</v>
      </c>
      <c r="E534" s="9"/>
      <c r="F534" s="9"/>
      <c r="G534" s="201">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102"/>
      <c r="BE534" s="102"/>
      <c r="BF534" s="102"/>
      <c r="BG534" s="102"/>
      <c r="BH534" s="102"/>
      <c r="BI534" s="102"/>
      <c r="BJ534" s="102"/>
      <c r="BK534" s="12"/>
      <c r="BL534" s="12"/>
    </row>
    <row r="535" spans="1:64" hidden="1" outlineLevel="1">
      <c r="A535" s="9"/>
      <c r="B535" s="9"/>
      <c r="C535" s="46"/>
      <c r="D535" s="132" t="str">
        <f>Asset2</f>
        <v>Underground Sub-Transmission Cables</v>
      </c>
      <c r="E535" s="9"/>
      <c r="F535" s="9"/>
      <c r="G535" s="201">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102"/>
      <c r="BE535" s="102"/>
      <c r="BF535" s="102"/>
      <c r="BG535" s="102"/>
      <c r="BH535" s="102"/>
      <c r="BI535" s="102"/>
      <c r="BJ535" s="102"/>
      <c r="BK535" s="12"/>
      <c r="BL535" s="12"/>
    </row>
    <row r="536" spans="1:64" hidden="1" outlineLevel="1">
      <c r="A536" s="9"/>
      <c r="B536" s="9"/>
      <c r="C536" s="46"/>
      <c r="D536" s="132" t="str">
        <f>Asset3</f>
        <v>Overhead Distribution Lines</v>
      </c>
      <c r="E536" s="9"/>
      <c r="F536" s="9"/>
      <c r="G536" s="201">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102"/>
      <c r="BE536" s="102"/>
      <c r="BF536" s="102"/>
      <c r="BG536" s="102"/>
      <c r="BH536" s="102"/>
      <c r="BI536" s="102"/>
      <c r="BJ536" s="102"/>
      <c r="BK536" s="12"/>
      <c r="BL536" s="12"/>
    </row>
    <row r="537" spans="1:64" hidden="1" outlineLevel="1">
      <c r="A537" s="9"/>
      <c r="B537" s="9"/>
      <c r="C537" s="46"/>
      <c r="D537" s="132" t="str">
        <f>Asset4</f>
        <v>Underground Distribution Cables</v>
      </c>
      <c r="E537" s="9"/>
      <c r="F537" s="9"/>
      <c r="G537" s="201">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102"/>
      <c r="BE537" s="102"/>
      <c r="BF537" s="102"/>
      <c r="BG537" s="102"/>
      <c r="BH537" s="102"/>
      <c r="BI537" s="102"/>
      <c r="BJ537" s="102"/>
      <c r="BK537" s="12"/>
      <c r="BL537" s="12"/>
    </row>
    <row r="538" spans="1:64" hidden="1" outlineLevel="1">
      <c r="A538" s="9"/>
      <c r="B538" s="9"/>
      <c r="C538" s="46"/>
      <c r="D538" s="132" t="str">
        <f>Asset5</f>
        <v xml:space="preserve">Distribution Equipment  </v>
      </c>
      <c r="E538" s="9"/>
      <c r="F538" s="9"/>
      <c r="G538" s="201">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102"/>
      <c r="BE538" s="102"/>
      <c r="BF538" s="102"/>
      <c r="BG538" s="102"/>
      <c r="BH538" s="102"/>
      <c r="BI538" s="102"/>
      <c r="BJ538" s="102"/>
      <c r="BK538" s="12"/>
      <c r="BL538" s="12"/>
    </row>
    <row r="539" spans="1:64" hidden="1" outlineLevel="1">
      <c r="A539" s="9"/>
      <c r="B539" s="9"/>
      <c r="C539" s="46"/>
      <c r="D539" s="132" t="str">
        <f>Asset6</f>
        <v>Substation Bays</v>
      </c>
      <c r="E539" s="9"/>
      <c r="F539" s="9"/>
      <c r="G539" s="201">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102"/>
      <c r="BE539" s="102"/>
      <c r="BF539" s="102"/>
      <c r="BG539" s="102"/>
      <c r="BH539" s="102"/>
      <c r="BI539" s="102"/>
      <c r="BJ539" s="102"/>
      <c r="BK539" s="12"/>
      <c r="BL539" s="12"/>
    </row>
    <row r="540" spans="1:64" hidden="1" outlineLevel="1">
      <c r="A540" s="9"/>
      <c r="B540" s="9"/>
      <c r="C540" s="46"/>
      <c r="D540" s="132" t="str">
        <f>Asset7</f>
        <v>Substation Establishment</v>
      </c>
      <c r="E540" s="9"/>
      <c r="F540" s="9"/>
      <c r="G540" s="201">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102"/>
      <c r="BE540" s="102"/>
      <c r="BF540" s="102"/>
      <c r="BG540" s="102"/>
      <c r="BH540" s="102"/>
      <c r="BI540" s="102"/>
      <c r="BJ540" s="102"/>
      <c r="BK540" s="12"/>
      <c r="BL540" s="12"/>
    </row>
    <row r="541" spans="1:64" hidden="1" outlineLevel="1">
      <c r="A541" s="9"/>
      <c r="B541" s="9"/>
      <c r="C541" s="46"/>
      <c r="D541" s="132" t="str">
        <f>Asset8</f>
        <v>Distribution Substation Switchgear</v>
      </c>
      <c r="E541" s="9"/>
      <c r="F541" s="9"/>
      <c r="G541" s="201">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102"/>
      <c r="BE541" s="102"/>
      <c r="BF541" s="102"/>
      <c r="BG541" s="102"/>
      <c r="BH541" s="102"/>
      <c r="BI541" s="102"/>
      <c r="BJ541" s="102"/>
      <c r="BK541" s="12"/>
      <c r="BL541" s="12"/>
    </row>
    <row r="542" spans="1:64" hidden="1" outlineLevel="1">
      <c r="A542" s="9"/>
      <c r="B542" s="9"/>
      <c r="C542" s="46"/>
      <c r="D542" s="132" t="str">
        <f>Asset9</f>
        <v>Zone Transformers</v>
      </c>
      <c r="E542" s="9"/>
      <c r="F542" s="9"/>
      <c r="G542" s="201">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102"/>
      <c r="BE542" s="102"/>
      <c r="BF542" s="102"/>
      <c r="BG542" s="102"/>
      <c r="BH542" s="102"/>
      <c r="BI542" s="102"/>
      <c r="BJ542" s="102"/>
      <c r="BK542" s="12"/>
      <c r="BL542" s="12"/>
    </row>
    <row r="543" spans="1:64" hidden="1" outlineLevel="1">
      <c r="A543" s="9"/>
      <c r="B543" s="9"/>
      <c r="C543" s="46"/>
      <c r="D543" s="132" t="str">
        <f>Asset10</f>
        <v>Distribution Transformers</v>
      </c>
      <c r="E543" s="9"/>
      <c r="F543" s="9"/>
      <c r="G543" s="201">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102"/>
      <c r="BE543" s="102"/>
      <c r="BF543" s="102"/>
      <c r="BG543" s="102"/>
      <c r="BH543" s="102"/>
      <c r="BI543" s="102"/>
      <c r="BJ543" s="102"/>
      <c r="BK543" s="12"/>
      <c r="BL543" s="12"/>
    </row>
    <row r="544" spans="1:64" hidden="1" outlineLevel="1">
      <c r="A544" s="9"/>
      <c r="B544" s="9"/>
      <c r="C544" s="46"/>
      <c r="D544" s="132" t="str">
        <f>Asset11</f>
        <v>Low Voltage Services</v>
      </c>
      <c r="E544" s="9"/>
      <c r="F544" s="9"/>
      <c r="G544" s="201">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102"/>
      <c r="BE544" s="102"/>
      <c r="BF544" s="102"/>
      <c r="BG544" s="102"/>
      <c r="BH544" s="102"/>
      <c r="BI544" s="102"/>
      <c r="BJ544" s="102"/>
      <c r="BK544" s="12"/>
      <c r="BL544" s="12"/>
    </row>
    <row r="545" spans="1:64" hidden="1" outlineLevel="1">
      <c r="A545" s="9"/>
      <c r="B545" s="9"/>
      <c r="C545" s="46"/>
      <c r="D545" s="132" t="str">
        <f>Asset12</f>
        <v>Metering</v>
      </c>
      <c r="E545" s="9"/>
      <c r="F545" s="9"/>
      <c r="G545" s="201">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102"/>
      <c r="BE545" s="102"/>
      <c r="BF545" s="102"/>
      <c r="BG545" s="102"/>
      <c r="BH545" s="102"/>
      <c r="BI545" s="102"/>
      <c r="BJ545" s="102"/>
      <c r="BK545" s="12"/>
      <c r="BL545" s="12"/>
    </row>
    <row r="546" spans="1:64" hidden="1" outlineLevel="1">
      <c r="A546" s="9"/>
      <c r="B546" s="9"/>
      <c r="C546" s="46"/>
      <c r="D546" s="132" t="str">
        <f>Asset13</f>
        <v xml:space="preserve">Communications – Pilot Wires </v>
      </c>
      <c r="E546" s="9"/>
      <c r="F546" s="9"/>
      <c r="G546" s="201">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102"/>
      <c r="BE546" s="102"/>
      <c r="BF546" s="102"/>
      <c r="BG546" s="102"/>
      <c r="BH546" s="102"/>
      <c r="BI546" s="102"/>
      <c r="BJ546" s="102"/>
      <c r="BK546" s="12"/>
      <c r="BL546" s="12"/>
    </row>
    <row r="547" spans="1:64" hidden="1" outlineLevel="1">
      <c r="A547" s="9"/>
      <c r="B547" s="9"/>
      <c r="C547" s="46"/>
      <c r="D547" s="132" t="str">
        <f>Asset14</f>
        <v>Generation Assets</v>
      </c>
      <c r="E547" s="9"/>
      <c r="F547" s="9"/>
      <c r="G547" s="201">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102"/>
      <c r="BE547" s="102"/>
      <c r="BF547" s="102"/>
      <c r="BG547" s="102"/>
      <c r="BH547" s="102"/>
      <c r="BI547" s="102"/>
      <c r="BJ547" s="102"/>
      <c r="BK547" s="12"/>
      <c r="BL547" s="12"/>
    </row>
    <row r="548" spans="1:64" hidden="1" outlineLevel="1">
      <c r="A548" s="9"/>
      <c r="B548" s="9"/>
      <c r="C548" s="46"/>
      <c r="D548" s="132" t="str">
        <f>Asset15</f>
        <v>Street Lighting</v>
      </c>
      <c r="E548" s="9"/>
      <c r="F548" s="9"/>
      <c r="G548" s="201">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102"/>
      <c r="BE548" s="102"/>
      <c r="BF548" s="102"/>
      <c r="BG548" s="102"/>
      <c r="BH548" s="102"/>
      <c r="BI548" s="102"/>
      <c r="BJ548" s="102"/>
      <c r="BK548" s="12"/>
      <c r="BL548" s="12"/>
    </row>
    <row r="549" spans="1:64" hidden="1" outlineLevel="1">
      <c r="A549" s="9"/>
      <c r="B549" s="9"/>
      <c r="C549" s="46"/>
      <c r="D549" s="132" t="str">
        <f>Asset16</f>
        <v>Other Equipment</v>
      </c>
      <c r="E549" s="9"/>
      <c r="F549" s="9"/>
      <c r="G549" s="201">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102"/>
      <c r="BE549" s="102"/>
      <c r="BF549" s="102"/>
      <c r="BG549" s="102"/>
      <c r="BH549" s="102"/>
      <c r="BI549" s="102"/>
      <c r="BJ549" s="102"/>
      <c r="BK549" s="12"/>
      <c r="BL549" s="12"/>
    </row>
    <row r="550" spans="1:64" hidden="1" outlineLevel="1">
      <c r="A550" s="9"/>
      <c r="B550" s="9"/>
      <c r="C550" s="46"/>
      <c r="D550" s="132" t="str">
        <f>Asset17</f>
        <v>Control Centre - SCADA</v>
      </c>
      <c r="E550" s="9"/>
      <c r="F550" s="9"/>
      <c r="G550" s="201">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102"/>
      <c r="BE550" s="102"/>
      <c r="BF550" s="102"/>
      <c r="BG550" s="102"/>
      <c r="BH550" s="102"/>
      <c r="BI550" s="102"/>
      <c r="BJ550" s="102"/>
      <c r="BK550" s="12"/>
      <c r="BL550" s="12"/>
    </row>
    <row r="551" spans="1:64" hidden="1" outlineLevel="1">
      <c r="A551" s="9"/>
      <c r="B551" s="9"/>
      <c r="C551" s="46"/>
      <c r="D551" s="132" t="str">
        <f>Asset18</f>
        <v>Land &amp; Easements (System)</v>
      </c>
      <c r="E551" s="9"/>
      <c r="F551" s="9"/>
      <c r="G551" s="201">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1">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102"/>
      <c r="BE552" s="102"/>
      <c r="BF552" s="102"/>
      <c r="BG552" s="102"/>
      <c r="BH552" s="102"/>
      <c r="BI552" s="102"/>
      <c r="BJ552" s="102"/>
      <c r="BK552" s="12"/>
      <c r="BL552" s="12"/>
    </row>
    <row r="553" spans="1:64" hidden="1" outlineLevel="1">
      <c r="A553" s="9"/>
      <c r="B553" s="9"/>
      <c r="C553" s="46"/>
      <c r="D553" s="132" t="str">
        <f>Asset20</f>
        <v>Communications</v>
      </c>
      <c r="E553" s="9"/>
      <c r="F553" s="9"/>
      <c r="G553" s="201">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102"/>
      <c r="BE553" s="102"/>
      <c r="BF553" s="102"/>
      <c r="BG553" s="102"/>
      <c r="BH553" s="102"/>
      <c r="BI553" s="102"/>
      <c r="BJ553" s="102"/>
      <c r="BK553" s="12"/>
      <c r="BL553" s="12"/>
    </row>
    <row r="554" spans="1:64" hidden="1" outlineLevel="1">
      <c r="A554" s="9"/>
      <c r="B554" s="9"/>
      <c r="C554" s="46"/>
      <c r="D554" s="132" t="str">
        <f>Asset21</f>
        <v>IT Systems</v>
      </c>
      <c r="E554" s="9"/>
      <c r="F554" s="9"/>
      <c r="G554" s="201">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102"/>
      <c r="BE554" s="102"/>
      <c r="BF554" s="102"/>
      <c r="BG554" s="102"/>
      <c r="BH554" s="102"/>
      <c r="BI554" s="102"/>
      <c r="BJ554" s="102"/>
      <c r="BK554" s="12"/>
      <c r="BL554" s="12"/>
    </row>
    <row r="555" spans="1:64" hidden="1" outlineLevel="1">
      <c r="A555" s="9"/>
      <c r="B555" s="9"/>
      <c r="C555" s="46"/>
      <c r="D555" s="132" t="str">
        <f>Asset22</f>
        <v>Office Equipment &amp; Furniture</v>
      </c>
      <c r="E555" s="9"/>
      <c r="F555" s="9"/>
      <c r="G555" s="201">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102"/>
      <c r="BE555" s="102"/>
      <c r="BF555" s="102"/>
      <c r="BG555" s="102"/>
      <c r="BH555" s="102"/>
      <c r="BI555" s="102"/>
      <c r="BJ555" s="102"/>
      <c r="BK555" s="12"/>
      <c r="BL555" s="12"/>
    </row>
    <row r="556" spans="1:64" hidden="1" outlineLevel="1">
      <c r="A556" s="9"/>
      <c r="B556" s="9"/>
      <c r="C556" s="46"/>
      <c r="D556" s="132" t="str">
        <f>Asset23</f>
        <v>Motor Vehicles</v>
      </c>
      <c r="E556" s="9"/>
      <c r="F556" s="9"/>
      <c r="G556" s="201">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102"/>
      <c r="BE556" s="102"/>
      <c r="BF556" s="102"/>
      <c r="BG556" s="102"/>
      <c r="BH556" s="102"/>
      <c r="BI556" s="102"/>
      <c r="BJ556" s="102"/>
      <c r="BK556" s="12"/>
      <c r="BL556" s="12"/>
    </row>
    <row r="557" spans="1:64" hidden="1" outlineLevel="1">
      <c r="A557" s="9"/>
      <c r="B557" s="9"/>
      <c r="C557" s="46"/>
      <c r="D557" s="132" t="str">
        <f>Asset24</f>
        <v>Plant &amp; Equipment</v>
      </c>
      <c r="E557" s="9"/>
      <c r="F557" s="9"/>
      <c r="G557" s="201">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102"/>
      <c r="BE557" s="102"/>
      <c r="BF557" s="102"/>
      <c r="BG557" s="102"/>
      <c r="BH557" s="102"/>
      <c r="BI557" s="102"/>
      <c r="BJ557" s="102"/>
      <c r="BK557" s="12"/>
      <c r="BL557" s="12"/>
    </row>
    <row r="558" spans="1:64" hidden="1" outlineLevel="1">
      <c r="A558" s="9"/>
      <c r="B558" s="9"/>
      <c r="C558" s="46"/>
      <c r="D558" s="132" t="str">
        <f>Asset25</f>
        <v>Buildings</v>
      </c>
      <c r="E558" s="9"/>
      <c r="F558" s="9"/>
      <c r="G558" s="201">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102"/>
      <c r="BE558" s="102"/>
      <c r="BF558" s="102"/>
      <c r="BG558" s="102"/>
      <c r="BH558" s="102"/>
      <c r="BI558" s="102"/>
      <c r="BJ558" s="102"/>
      <c r="BK558" s="12"/>
      <c r="BL558" s="12"/>
    </row>
    <row r="559" spans="1:64" hidden="1" outlineLevel="1">
      <c r="A559" s="9"/>
      <c r="B559" s="9"/>
      <c r="C559" s="46"/>
      <c r="D559" s="132" t="str">
        <f>Asset26</f>
        <v>Land &amp; Easements</v>
      </c>
      <c r="E559" s="9"/>
      <c r="F559" s="9"/>
      <c r="G559" s="201">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102"/>
      <c r="BE559" s="102"/>
      <c r="BF559" s="102"/>
      <c r="BG559" s="102"/>
      <c r="BH559" s="102"/>
      <c r="BI559" s="102"/>
      <c r="BJ559" s="102"/>
      <c r="BK559" s="12"/>
      <c r="BL559" s="12"/>
    </row>
    <row r="560" spans="1:64" hidden="1" outlineLevel="1">
      <c r="A560" s="9"/>
      <c r="B560" s="9"/>
      <c r="C560" s="46"/>
      <c r="D560" s="132" t="str">
        <f>Asset27</f>
        <v>Land Improvements</v>
      </c>
      <c r="E560" s="9"/>
      <c r="F560" s="9"/>
      <c r="G560" s="201">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102"/>
      <c r="BE560" s="102"/>
      <c r="BF560" s="102"/>
      <c r="BG560" s="102"/>
      <c r="BH560" s="102"/>
      <c r="BI560" s="102"/>
      <c r="BJ560" s="102"/>
      <c r="BK560" s="12"/>
      <c r="BL560" s="12"/>
    </row>
    <row r="561" spans="1:64" hidden="1" outlineLevel="1">
      <c r="A561" s="9"/>
      <c r="B561" s="9"/>
      <c r="C561" s="46"/>
      <c r="D561" s="132" t="str">
        <f>Asset28</f>
        <v>Equity Raising Costs</v>
      </c>
      <c r="E561" s="9"/>
      <c r="F561" s="9"/>
      <c r="G561" s="201">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102"/>
      <c r="BE561" s="102"/>
      <c r="BF561" s="102"/>
      <c r="BG561" s="102"/>
      <c r="BH561" s="102"/>
      <c r="BI561" s="102"/>
      <c r="BJ561" s="102"/>
      <c r="BK561" s="12"/>
      <c r="BL561" s="12"/>
    </row>
    <row r="562" spans="1:64" hidden="1" outlineLevel="1">
      <c r="A562" s="9"/>
      <c r="B562" s="9"/>
      <c r="C562" s="46"/>
      <c r="D562" s="132" t="str">
        <f>Asset29</f>
        <v>Not Used</v>
      </c>
      <c r="E562" s="9"/>
      <c r="F562" s="9"/>
      <c r="G562" s="201">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102"/>
      <c r="BE562" s="102"/>
      <c r="BF562" s="102"/>
      <c r="BG562" s="102"/>
      <c r="BH562" s="102"/>
      <c r="BI562" s="102"/>
      <c r="BJ562" s="102"/>
      <c r="BK562" s="12"/>
      <c r="BL562" s="12"/>
    </row>
    <row r="563" spans="1:64" hidden="1" outlineLevel="1">
      <c r="A563" s="9"/>
      <c r="B563" s="9"/>
      <c r="C563" s="46"/>
      <c r="D563" s="132" t="str">
        <f>Asset30</f>
        <v>Not Used</v>
      </c>
      <c r="E563" s="9"/>
      <c r="F563" s="9"/>
      <c r="G563" s="201">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102"/>
      <c r="BE563" s="102"/>
      <c r="BF563" s="102"/>
      <c r="BG563" s="102"/>
      <c r="BH563" s="102"/>
      <c r="BI563" s="102"/>
      <c r="BJ563" s="102"/>
      <c r="BK563" s="12"/>
      <c r="BL563" s="12"/>
    </row>
    <row r="564" spans="1:64" collapsed="1">
      <c r="A564" s="9"/>
      <c r="B564" s="9"/>
      <c r="C564" s="46"/>
      <c r="D564" s="116"/>
      <c r="E564" s="9"/>
      <c r="F564" s="9"/>
      <c r="G564" s="206"/>
      <c r="H564" s="37"/>
      <c r="I564" s="37"/>
      <c r="J564" s="37"/>
      <c r="K564" s="37"/>
      <c r="L564" s="37"/>
      <c r="M564" s="37"/>
      <c r="N564" s="29"/>
      <c r="O564" s="29"/>
      <c r="P564" s="29"/>
      <c r="Q564" s="29"/>
      <c r="R564" s="29"/>
      <c r="S564" s="102"/>
      <c r="T564" s="102"/>
      <c r="U564" s="102"/>
      <c r="V564" s="102"/>
      <c r="W564" s="102"/>
      <c r="X564" s="102"/>
      <c r="Y564" s="102"/>
      <c r="Z564" s="102"/>
      <c r="AA564" s="102"/>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102"/>
      <c r="BE564" s="102"/>
      <c r="BF564" s="102"/>
      <c r="BG564" s="102"/>
      <c r="BH564" s="102"/>
      <c r="BI564" s="102"/>
      <c r="BJ564" s="102"/>
      <c r="BK564" s="12"/>
      <c r="BL564" s="12"/>
    </row>
    <row r="565" spans="1:64">
      <c r="A565" s="9"/>
      <c r="B565" s="9"/>
      <c r="C565" s="46" t="s">
        <v>65</v>
      </c>
      <c r="D565" s="116"/>
      <c r="E565" s="9"/>
      <c r="F565" s="9"/>
      <c r="G565" s="205">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102"/>
      <c r="BE565" s="102"/>
      <c r="BF565" s="102"/>
      <c r="BG565" s="102"/>
      <c r="BH565" s="102"/>
      <c r="BI565" s="102"/>
      <c r="BJ565" s="102"/>
      <c r="BK565" s="12"/>
      <c r="BL565" s="12"/>
    </row>
    <row r="566" spans="1:64" hidden="1" outlineLevel="1">
      <c r="A566" s="9"/>
      <c r="B566" s="9"/>
      <c r="C566" s="9"/>
      <c r="D566" s="132" t="str">
        <f>Asset1</f>
        <v>Overhead Sub-Transmission Lines</v>
      </c>
      <c r="E566" s="9"/>
      <c r="F566" s="9"/>
      <c r="G566" s="201">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102"/>
      <c r="BE566" s="102"/>
      <c r="BF566" s="102"/>
      <c r="BG566" s="102"/>
      <c r="BH566" s="102"/>
      <c r="BI566" s="102"/>
      <c r="BJ566" s="102"/>
      <c r="BK566" s="12"/>
      <c r="BL566" s="12"/>
    </row>
    <row r="567" spans="1:64" hidden="1" outlineLevel="1">
      <c r="A567" s="9"/>
      <c r="B567" s="9"/>
      <c r="C567" s="46"/>
      <c r="D567" s="132" t="str">
        <f>Asset2</f>
        <v>Underground Sub-Transmission Cables</v>
      </c>
      <c r="E567" s="9"/>
      <c r="F567" s="9"/>
      <c r="G567" s="201">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102"/>
      <c r="BE567" s="102"/>
      <c r="BF567" s="102"/>
      <c r="BG567" s="102"/>
      <c r="BH567" s="102"/>
      <c r="BI567" s="102"/>
      <c r="BJ567" s="102"/>
      <c r="BK567" s="12"/>
      <c r="BL567" s="12"/>
    </row>
    <row r="568" spans="1:64" hidden="1" outlineLevel="1">
      <c r="A568" s="9"/>
      <c r="B568" s="9"/>
      <c r="C568" s="46"/>
      <c r="D568" s="132" t="str">
        <f>Asset3</f>
        <v>Overhead Distribution Lines</v>
      </c>
      <c r="E568" s="9"/>
      <c r="F568" s="9"/>
      <c r="G568" s="201">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102"/>
      <c r="BE568" s="102"/>
      <c r="BF568" s="102"/>
      <c r="BG568" s="102"/>
      <c r="BH568" s="102"/>
      <c r="BI568" s="102"/>
      <c r="BJ568" s="102"/>
      <c r="BK568" s="12"/>
      <c r="BL568" s="12"/>
    </row>
    <row r="569" spans="1:64" hidden="1" outlineLevel="1">
      <c r="A569" s="9"/>
      <c r="B569" s="9"/>
      <c r="C569" s="46"/>
      <c r="D569" s="132" t="str">
        <f>Asset4</f>
        <v>Underground Distribution Cables</v>
      </c>
      <c r="E569" s="9"/>
      <c r="F569" s="9"/>
      <c r="G569" s="201">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102"/>
      <c r="BE569" s="102"/>
      <c r="BF569" s="102"/>
      <c r="BG569" s="102"/>
      <c r="BH569" s="102"/>
      <c r="BI569" s="102"/>
      <c r="BJ569" s="102"/>
      <c r="BK569" s="12"/>
      <c r="BL569" s="12"/>
    </row>
    <row r="570" spans="1:64" hidden="1" outlineLevel="1">
      <c r="A570" s="9"/>
      <c r="B570" s="9"/>
      <c r="C570" s="46"/>
      <c r="D570" s="132" t="str">
        <f>Asset5</f>
        <v xml:space="preserve">Distribution Equipment  </v>
      </c>
      <c r="E570" s="9"/>
      <c r="F570" s="9"/>
      <c r="G570" s="201">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102"/>
      <c r="BE570" s="102"/>
      <c r="BF570" s="102"/>
      <c r="BG570" s="102"/>
      <c r="BH570" s="102"/>
      <c r="BI570" s="102"/>
      <c r="BJ570" s="102"/>
      <c r="BK570" s="12"/>
      <c r="BL570" s="12"/>
    </row>
    <row r="571" spans="1:64" hidden="1" outlineLevel="1">
      <c r="A571" s="9"/>
      <c r="B571" s="9"/>
      <c r="C571" s="46"/>
      <c r="D571" s="132" t="str">
        <f>Asset6</f>
        <v>Substation Bays</v>
      </c>
      <c r="E571" s="9"/>
      <c r="F571" s="9"/>
      <c r="G571" s="201">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102"/>
      <c r="BE571" s="102"/>
      <c r="BF571" s="102"/>
      <c r="BG571" s="102"/>
      <c r="BH571" s="102"/>
      <c r="BI571" s="102"/>
      <c r="BJ571" s="102"/>
      <c r="BK571" s="12"/>
      <c r="BL571" s="12"/>
    </row>
    <row r="572" spans="1:64" hidden="1" outlineLevel="1">
      <c r="A572" s="9"/>
      <c r="B572" s="9"/>
      <c r="C572" s="46"/>
      <c r="D572" s="132" t="str">
        <f>Asset7</f>
        <v>Substation Establishment</v>
      </c>
      <c r="E572" s="9"/>
      <c r="F572" s="9"/>
      <c r="G572" s="201">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102"/>
      <c r="BE572" s="102"/>
      <c r="BF572" s="102"/>
      <c r="BG572" s="102"/>
      <c r="BH572" s="102"/>
      <c r="BI572" s="102"/>
      <c r="BJ572" s="102"/>
      <c r="BK572" s="12"/>
      <c r="BL572" s="12"/>
    </row>
    <row r="573" spans="1:64" hidden="1" outlineLevel="1">
      <c r="A573" s="9"/>
      <c r="B573" s="9"/>
      <c r="C573" s="46"/>
      <c r="D573" s="132" t="str">
        <f>Asset8</f>
        <v>Distribution Substation Switchgear</v>
      </c>
      <c r="E573" s="9"/>
      <c r="F573" s="9"/>
      <c r="G573" s="201">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102"/>
      <c r="BE573" s="102"/>
      <c r="BF573" s="102"/>
      <c r="BG573" s="102"/>
      <c r="BH573" s="102"/>
      <c r="BI573" s="102"/>
      <c r="BJ573" s="102"/>
      <c r="BK573" s="12"/>
      <c r="BL573" s="12"/>
    </row>
    <row r="574" spans="1:64" hidden="1" outlineLevel="1">
      <c r="A574" s="9"/>
      <c r="B574" s="9"/>
      <c r="C574" s="46"/>
      <c r="D574" s="132" t="str">
        <f>Asset9</f>
        <v>Zone Transformers</v>
      </c>
      <c r="E574" s="9"/>
      <c r="F574" s="9"/>
      <c r="G574" s="201">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102"/>
      <c r="BE574" s="102"/>
      <c r="BF574" s="102"/>
      <c r="BG574" s="102"/>
      <c r="BH574" s="102"/>
      <c r="BI574" s="102"/>
      <c r="BJ574" s="102"/>
      <c r="BK574" s="12"/>
      <c r="BL574" s="12"/>
    </row>
    <row r="575" spans="1:64" hidden="1" outlineLevel="1">
      <c r="A575" s="9"/>
      <c r="B575" s="9"/>
      <c r="C575" s="46"/>
      <c r="D575" s="132" t="str">
        <f>Asset10</f>
        <v>Distribution Transformers</v>
      </c>
      <c r="E575" s="9"/>
      <c r="F575" s="9"/>
      <c r="G575" s="201">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102"/>
      <c r="BE575" s="102"/>
      <c r="BF575" s="102"/>
      <c r="BG575" s="102"/>
      <c r="BH575" s="102"/>
      <c r="BI575" s="102"/>
      <c r="BJ575" s="102"/>
      <c r="BK575" s="12"/>
      <c r="BL575" s="12"/>
    </row>
    <row r="576" spans="1:64" hidden="1" outlineLevel="1">
      <c r="A576" s="9"/>
      <c r="B576" s="9"/>
      <c r="C576" s="46"/>
      <c r="D576" s="132" t="str">
        <f>Asset11</f>
        <v>Low Voltage Services</v>
      </c>
      <c r="E576" s="9"/>
      <c r="F576" s="9"/>
      <c r="G576" s="201">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102"/>
      <c r="BE576" s="102"/>
      <c r="BF576" s="102"/>
      <c r="BG576" s="102"/>
      <c r="BH576" s="102"/>
      <c r="BI576" s="102"/>
      <c r="BJ576" s="102"/>
      <c r="BK576" s="12"/>
      <c r="BL576" s="12"/>
    </row>
    <row r="577" spans="1:64" hidden="1" outlineLevel="1">
      <c r="A577" s="9"/>
      <c r="B577" s="9"/>
      <c r="C577" s="46"/>
      <c r="D577" s="132" t="str">
        <f>Asset12</f>
        <v>Metering</v>
      </c>
      <c r="E577" s="9"/>
      <c r="F577" s="9"/>
      <c r="G577" s="201">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102"/>
      <c r="BE577" s="102"/>
      <c r="BF577" s="102"/>
      <c r="BG577" s="102"/>
      <c r="BH577" s="102"/>
      <c r="BI577" s="102"/>
      <c r="BJ577" s="102"/>
      <c r="BK577" s="12"/>
      <c r="BL577" s="12"/>
    </row>
    <row r="578" spans="1:64" hidden="1" outlineLevel="1">
      <c r="A578" s="9"/>
      <c r="B578" s="9"/>
      <c r="C578" s="46"/>
      <c r="D578" s="132" t="str">
        <f>Asset13</f>
        <v xml:space="preserve">Communications – Pilot Wires </v>
      </c>
      <c r="E578" s="9"/>
      <c r="F578" s="9"/>
      <c r="G578" s="201">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102"/>
      <c r="BE578" s="102"/>
      <c r="BF578" s="102"/>
      <c r="BG578" s="102"/>
      <c r="BH578" s="102"/>
      <c r="BI578" s="102"/>
      <c r="BJ578" s="102"/>
      <c r="BK578" s="12"/>
      <c r="BL578" s="12"/>
    </row>
    <row r="579" spans="1:64" hidden="1" outlineLevel="1">
      <c r="A579" s="9"/>
      <c r="B579" s="9"/>
      <c r="C579" s="46"/>
      <c r="D579" s="132" t="str">
        <f>Asset14</f>
        <v>Generation Assets</v>
      </c>
      <c r="E579" s="9"/>
      <c r="F579" s="9"/>
      <c r="G579" s="201">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102"/>
      <c r="BE579" s="102"/>
      <c r="BF579" s="102"/>
      <c r="BG579" s="102"/>
      <c r="BH579" s="102"/>
      <c r="BI579" s="102"/>
      <c r="BJ579" s="102"/>
      <c r="BK579" s="12"/>
      <c r="BL579" s="12"/>
    </row>
    <row r="580" spans="1:64" hidden="1" outlineLevel="1">
      <c r="A580" s="9"/>
      <c r="B580" s="9"/>
      <c r="C580" s="46"/>
      <c r="D580" s="132" t="str">
        <f>Asset15</f>
        <v>Street Lighting</v>
      </c>
      <c r="E580" s="9"/>
      <c r="F580" s="9"/>
      <c r="G580" s="201">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102"/>
      <c r="BE580" s="102"/>
      <c r="BF580" s="102"/>
      <c r="BG580" s="102"/>
      <c r="BH580" s="102"/>
      <c r="BI580" s="102"/>
      <c r="BJ580" s="102"/>
      <c r="BK580" s="12"/>
      <c r="BL580" s="12"/>
    </row>
    <row r="581" spans="1:64" hidden="1" outlineLevel="1">
      <c r="A581" s="9"/>
      <c r="B581" s="9"/>
      <c r="C581" s="46"/>
      <c r="D581" s="132" t="str">
        <f>Asset16</f>
        <v>Other Equipment</v>
      </c>
      <c r="E581" s="9"/>
      <c r="F581" s="9"/>
      <c r="G581" s="201">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102"/>
      <c r="BE581" s="102"/>
      <c r="BF581" s="102"/>
      <c r="BG581" s="102"/>
      <c r="BH581" s="102"/>
      <c r="BI581" s="102"/>
      <c r="BJ581" s="102"/>
      <c r="BK581" s="12"/>
      <c r="BL581" s="12"/>
    </row>
    <row r="582" spans="1:64" hidden="1" outlineLevel="1">
      <c r="A582" s="9"/>
      <c r="B582" s="9"/>
      <c r="C582" s="46"/>
      <c r="D582" s="132" t="str">
        <f>Asset17</f>
        <v>Control Centre - SCADA</v>
      </c>
      <c r="E582" s="9"/>
      <c r="F582" s="9"/>
      <c r="G582" s="201">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102"/>
      <c r="BE582" s="102"/>
      <c r="BF582" s="102"/>
      <c r="BG582" s="102"/>
      <c r="BH582" s="102"/>
      <c r="BI582" s="102"/>
      <c r="BJ582" s="102"/>
      <c r="BK582" s="12"/>
      <c r="BL582" s="12"/>
    </row>
    <row r="583" spans="1:64" hidden="1" outlineLevel="1">
      <c r="A583" s="9"/>
      <c r="B583" s="9"/>
      <c r="C583" s="46"/>
      <c r="D583" s="132" t="str">
        <f>Asset18</f>
        <v>Land &amp; Easements (System)</v>
      </c>
      <c r="E583" s="9"/>
      <c r="F583" s="9"/>
      <c r="G583" s="201">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1">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102"/>
      <c r="BE584" s="102"/>
      <c r="BF584" s="102"/>
      <c r="BG584" s="102"/>
      <c r="BH584" s="102"/>
      <c r="BI584" s="102"/>
      <c r="BJ584" s="102"/>
      <c r="BK584" s="12"/>
      <c r="BL584" s="12"/>
    </row>
    <row r="585" spans="1:64" hidden="1" outlineLevel="1">
      <c r="A585" s="9"/>
      <c r="B585" s="9"/>
      <c r="C585" s="46"/>
      <c r="D585" s="132" t="str">
        <f>Asset20</f>
        <v>Communications</v>
      </c>
      <c r="E585" s="9"/>
      <c r="F585" s="9"/>
      <c r="G585" s="201">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102"/>
      <c r="BE585" s="102"/>
      <c r="BF585" s="102"/>
      <c r="BG585" s="102"/>
      <c r="BH585" s="102"/>
      <c r="BI585" s="102"/>
      <c r="BJ585" s="102"/>
      <c r="BK585" s="12"/>
      <c r="BL585" s="12"/>
    </row>
    <row r="586" spans="1:64" hidden="1" outlineLevel="1">
      <c r="A586" s="9"/>
      <c r="B586" s="9"/>
      <c r="C586" s="46"/>
      <c r="D586" s="132" t="str">
        <f>Asset21</f>
        <v>IT Systems</v>
      </c>
      <c r="E586" s="9"/>
      <c r="F586" s="9"/>
      <c r="G586" s="201">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102"/>
      <c r="BE586" s="102"/>
      <c r="BF586" s="102"/>
      <c r="BG586" s="102"/>
      <c r="BH586" s="102"/>
      <c r="BI586" s="102"/>
      <c r="BJ586" s="102"/>
      <c r="BK586" s="12"/>
      <c r="BL586" s="12"/>
    </row>
    <row r="587" spans="1:64" hidden="1" outlineLevel="1">
      <c r="A587" s="9"/>
      <c r="B587" s="9"/>
      <c r="C587" s="46"/>
      <c r="D587" s="132" t="str">
        <f>Asset22</f>
        <v>Office Equipment &amp; Furniture</v>
      </c>
      <c r="E587" s="9"/>
      <c r="F587" s="9"/>
      <c r="G587" s="201">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102"/>
      <c r="BE587" s="102"/>
      <c r="BF587" s="102"/>
      <c r="BG587" s="102"/>
      <c r="BH587" s="102"/>
      <c r="BI587" s="102"/>
      <c r="BJ587" s="102"/>
      <c r="BK587" s="12"/>
      <c r="BL587" s="12"/>
    </row>
    <row r="588" spans="1:64" hidden="1" outlineLevel="1">
      <c r="A588" s="9"/>
      <c r="B588" s="9"/>
      <c r="C588" s="46"/>
      <c r="D588" s="132" t="str">
        <f>Asset23</f>
        <v>Motor Vehicles</v>
      </c>
      <c r="E588" s="9"/>
      <c r="F588" s="9"/>
      <c r="G588" s="201">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102"/>
      <c r="BE588" s="102"/>
      <c r="BF588" s="102"/>
      <c r="BG588" s="102"/>
      <c r="BH588" s="102"/>
      <c r="BI588" s="102"/>
      <c r="BJ588" s="102"/>
      <c r="BK588" s="12"/>
      <c r="BL588" s="12"/>
    </row>
    <row r="589" spans="1:64" hidden="1" outlineLevel="1">
      <c r="A589" s="9"/>
      <c r="B589" s="9"/>
      <c r="C589" s="46"/>
      <c r="D589" s="132" t="str">
        <f>Asset24</f>
        <v>Plant &amp; Equipment</v>
      </c>
      <c r="E589" s="9"/>
      <c r="F589" s="9"/>
      <c r="G589" s="201">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102"/>
      <c r="BE589" s="102"/>
      <c r="BF589" s="102"/>
      <c r="BG589" s="102"/>
      <c r="BH589" s="102"/>
      <c r="BI589" s="102"/>
      <c r="BJ589" s="102"/>
      <c r="BK589" s="12"/>
      <c r="BL589" s="12"/>
    </row>
    <row r="590" spans="1:64" hidden="1" outlineLevel="1">
      <c r="A590" s="9"/>
      <c r="B590" s="9"/>
      <c r="C590" s="46"/>
      <c r="D590" s="132" t="str">
        <f>Asset25</f>
        <v>Buildings</v>
      </c>
      <c r="E590" s="9"/>
      <c r="F590" s="9"/>
      <c r="G590" s="201">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102"/>
      <c r="BE590" s="102"/>
      <c r="BF590" s="102"/>
      <c r="BG590" s="102"/>
      <c r="BH590" s="102"/>
      <c r="BI590" s="102"/>
      <c r="BJ590" s="102"/>
      <c r="BK590" s="12"/>
      <c r="BL590" s="12"/>
    </row>
    <row r="591" spans="1:64" hidden="1" outlineLevel="1">
      <c r="A591" s="9"/>
      <c r="B591" s="9"/>
      <c r="C591" s="46"/>
      <c r="D591" s="132" t="str">
        <f>Asset26</f>
        <v>Land &amp; Easements</v>
      </c>
      <c r="E591" s="9"/>
      <c r="F591" s="9"/>
      <c r="G591" s="201">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102"/>
      <c r="BE591" s="102"/>
      <c r="BF591" s="102"/>
      <c r="BG591" s="102"/>
      <c r="BH591" s="102"/>
      <c r="BI591" s="102"/>
      <c r="BJ591" s="102"/>
      <c r="BK591" s="12"/>
      <c r="BL591" s="12"/>
    </row>
    <row r="592" spans="1:64" hidden="1" outlineLevel="1">
      <c r="A592" s="9"/>
      <c r="B592" s="9"/>
      <c r="C592" s="46"/>
      <c r="D592" s="132" t="str">
        <f>Asset27</f>
        <v>Land Improvements</v>
      </c>
      <c r="E592" s="9"/>
      <c r="F592" s="9"/>
      <c r="G592" s="201">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102"/>
      <c r="BE592" s="102"/>
      <c r="BF592" s="102"/>
      <c r="BG592" s="102"/>
      <c r="BH592" s="102"/>
      <c r="BI592" s="102"/>
      <c r="BJ592" s="102"/>
      <c r="BK592" s="12"/>
      <c r="BL592" s="12"/>
    </row>
    <row r="593" spans="1:64" hidden="1" outlineLevel="1">
      <c r="A593" s="9"/>
      <c r="B593" s="9"/>
      <c r="C593" s="46"/>
      <c r="D593" s="132" t="str">
        <f>Asset28</f>
        <v>Equity Raising Costs</v>
      </c>
      <c r="E593" s="9"/>
      <c r="F593" s="9"/>
      <c r="G593" s="201">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102"/>
      <c r="BE593" s="102"/>
      <c r="BF593" s="102"/>
      <c r="BG593" s="102"/>
      <c r="BH593" s="102"/>
      <c r="BI593" s="102"/>
      <c r="BJ593" s="102"/>
      <c r="BK593" s="12"/>
      <c r="BL593" s="12"/>
    </row>
    <row r="594" spans="1:64" hidden="1" outlineLevel="1">
      <c r="A594" s="9"/>
      <c r="B594" s="9"/>
      <c r="C594" s="46"/>
      <c r="D594" s="132" t="str">
        <f>Asset29</f>
        <v>Not Used</v>
      </c>
      <c r="E594" s="9"/>
      <c r="F594" s="9"/>
      <c r="G594" s="201">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102"/>
      <c r="BE594" s="102"/>
      <c r="BF594" s="102"/>
      <c r="BG594" s="102"/>
      <c r="BH594" s="102"/>
      <c r="BI594" s="102"/>
      <c r="BJ594" s="102"/>
      <c r="BK594" s="12"/>
      <c r="BL594" s="12"/>
    </row>
    <row r="595" spans="1:64" hidden="1" outlineLevel="1">
      <c r="A595" s="9"/>
      <c r="B595" s="9"/>
      <c r="C595" s="46"/>
      <c r="D595" s="132" t="str">
        <f>Asset30</f>
        <v>Not Used</v>
      </c>
      <c r="E595" s="9"/>
      <c r="F595" s="9"/>
      <c r="G595" s="201">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102"/>
      <c r="BE595" s="102"/>
      <c r="BF595" s="102"/>
      <c r="BG595" s="102"/>
      <c r="BH595" s="102"/>
      <c r="BI595" s="102"/>
      <c r="BJ595" s="102"/>
      <c r="BK595" s="12"/>
      <c r="BL595" s="12"/>
    </row>
    <row r="596" spans="1:64" collapsed="1">
      <c r="A596" s="9"/>
      <c r="B596" s="9"/>
      <c r="C596" s="46"/>
      <c r="D596" s="116"/>
      <c r="E596" s="9"/>
      <c r="F596" s="9"/>
      <c r="G596" s="206"/>
      <c r="H596" s="37"/>
      <c r="I596" s="37"/>
      <c r="J596" s="37"/>
      <c r="K596" s="37"/>
      <c r="L596" s="37"/>
      <c r="M596" s="37"/>
      <c r="N596" s="29"/>
      <c r="O596" s="29"/>
      <c r="P596" s="29"/>
      <c r="Q596" s="29"/>
      <c r="R596" s="29"/>
      <c r="S596" s="102"/>
      <c r="T596" s="102"/>
      <c r="U596" s="102"/>
      <c r="V596" s="102"/>
      <c r="W596" s="102"/>
      <c r="X596" s="102"/>
      <c r="Y596" s="102"/>
      <c r="Z596" s="102"/>
      <c r="AA596" s="102"/>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102"/>
      <c r="BE596" s="102"/>
      <c r="BF596" s="102"/>
      <c r="BG596" s="102"/>
      <c r="BH596" s="102"/>
      <c r="BI596" s="102"/>
      <c r="BJ596" s="102"/>
      <c r="BK596" s="12"/>
      <c r="BL596" s="12"/>
    </row>
    <row r="597" spans="1:64">
      <c r="A597" s="9"/>
      <c r="B597" s="9"/>
      <c r="C597" s="46" t="s">
        <v>62</v>
      </c>
      <c r="D597" s="132"/>
      <c r="E597" s="9"/>
      <c r="F597" s="9"/>
      <c r="G597" s="205">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102"/>
      <c r="BE597" s="102"/>
      <c r="BF597" s="102"/>
      <c r="BG597" s="102"/>
      <c r="BH597" s="102"/>
      <c r="BI597" s="102"/>
      <c r="BJ597" s="102"/>
      <c r="BK597" s="12"/>
      <c r="BL597" s="12"/>
    </row>
    <row r="598" spans="1:64" hidden="1" outlineLevel="1">
      <c r="A598" s="9"/>
      <c r="B598" s="9"/>
      <c r="C598" s="46"/>
      <c r="D598" s="132" t="str">
        <f>Asset1</f>
        <v>Overhead Sub-Transmission Lines</v>
      </c>
      <c r="E598" s="9"/>
      <c r="F598" s="9"/>
      <c r="G598" s="201">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102"/>
      <c r="BE598" s="102"/>
      <c r="BF598" s="102"/>
      <c r="BG598" s="102"/>
      <c r="BH598" s="102"/>
      <c r="BI598" s="102"/>
      <c r="BJ598" s="102"/>
      <c r="BK598" s="12"/>
      <c r="BL598" s="12"/>
    </row>
    <row r="599" spans="1:64" hidden="1" outlineLevel="1">
      <c r="A599" s="9"/>
      <c r="B599" s="9"/>
      <c r="C599" s="46"/>
      <c r="D599" s="132" t="str">
        <f>Asset2</f>
        <v>Underground Sub-Transmission Cables</v>
      </c>
      <c r="E599" s="9"/>
      <c r="F599" s="9"/>
      <c r="G599" s="201">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102"/>
      <c r="BE599" s="102"/>
      <c r="BF599" s="102"/>
      <c r="BG599" s="102"/>
      <c r="BH599" s="102"/>
      <c r="BI599" s="102"/>
      <c r="BJ599" s="102"/>
      <c r="BK599" s="12"/>
      <c r="BL599" s="12"/>
    </row>
    <row r="600" spans="1:64" hidden="1" outlineLevel="1">
      <c r="A600" s="9"/>
      <c r="B600" s="9"/>
      <c r="C600" s="46"/>
      <c r="D600" s="132" t="str">
        <f>Asset3</f>
        <v>Overhead Distribution Lines</v>
      </c>
      <c r="E600" s="9"/>
      <c r="F600" s="9"/>
      <c r="G600" s="201">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102"/>
      <c r="BE600" s="102"/>
      <c r="BF600" s="102"/>
      <c r="BG600" s="102"/>
      <c r="BH600" s="102"/>
      <c r="BI600" s="102"/>
      <c r="BJ600" s="102"/>
      <c r="BK600" s="12"/>
      <c r="BL600" s="12"/>
    </row>
    <row r="601" spans="1:64" hidden="1" outlineLevel="1">
      <c r="A601" s="9"/>
      <c r="B601" s="9"/>
      <c r="C601" s="46"/>
      <c r="D601" s="132" t="str">
        <f>Asset4</f>
        <v>Underground Distribution Cables</v>
      </c>
      <c r="E601" s="9"/>
      <c r="F601" s="9"/>
      <c r="G601" s="201">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102"/>
      <c r="BE601" s="102"/>
      <c r="BF601" s="102"/>
      <c r="BG601" s="102"/>
      <c r="BH601" s="102"/>
      <c r="BI601" s="102"/>
      <c r="BJ601" s="102"/>
      <c r="BK601" s="12"/>
      <c r="BL601" s="12"/>
    </row>
    <row r="602" spans="1:64" hidden="1" outlineLevel="1">
      <c r="A602" s="9"/>
      <c r="B602" s="9"/>
      <c r="C602" s="46"/>
      <c r="D602" s="132" t="str">
        <f>Asset5</f>
        <v xml:space="preserve">Distribution Equipment  </v>
      </c>
      <c r="E602" s="9"/>
      <c r="F602" s="9"/>
      <c r="G602" s="201">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102"/>
      <c r="BE602" s="102"/>
      <c r="BF602" s="102"/>
      <c r="BG602" s="102"/>
      <c r="BH602" s="102"/>
      <c r="BI602" s="102"/>
      <c r="BJ602" s="102"/>
      <c r="BK602" s="12"/>
      <c r="BL602" s="12"/>
    </row>
    <row r="603" spans="1:64" hidden="1" outlineLevel="1">
      <c r="A603" s="9"/>
      <c r="B603" s="9"/>
      <c r="C603" s="46"/>
      <c r="D603" s="132" t="str">
        <f>Asset6</f>
        <v>Substation Bays</v>
      </c>
      <c r="E603" s="9"/>
      <c r="F603" s="9"/>
      <c r="G603" s="201">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102"/>
      <c r="BE603" s="102"/>
      <c r="BF603" s="102"/>
      <c r="BG603" s="102"/>
      <c r="BH603" s="102"/>
      <c r="BI603" s="102"/>
      <c r="BJ603" s="102"/>
      <c r="BK603" s="12"/>
      <c r="BL603" s="12"/>
    </row>
    <row r="604" spans="1:64" hidden="1" outlineLevel="1">
      <c r="A604" s="9"/>
      <c r="B604" s="9"/>
      <c r="C604" s="46"/>
      <c r="D604" s="132" t="str">
        <f>Asset7</f>
        <v>Substation Establishment</v>
      </c>
      <c r="E604" s="9"/>
      <c r="F604" s="9"/>
      <c r="G604" s="201">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102"/>
      <c r="BE604" s="102"/>
      <c r="BF604" s="102"/>
      <c r="BG604" s="102"/>
      <c r="BH604" s="102"/>
      <c r="BI604" s="102"/>
      <c r="BJ604" s="102"/>
      <c r="BK604" s="12"/>
      <c r="BL604" s="12"/>
    </row>
    <row r="605" spans="1:64" hidden="1" outlineLevel="1">
      <c r="A605" s="9"/>
      <c r="B605" s="9"/>
      <c r="C605" s="46"/>
      <c r="D605" s="132" t="str">
        <f>Asset8</f>
        <v>Distribution Substation Switchgear</v>
      </c>
      <c r="E605" s="9"/>
      <c r="F605" s="9"/>
      <c r="G605" s="201">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102"/>
      <c r="BE605" s="102"/>
      <c r="BF605" s="102"/>
      <c r="BG605" s="102"/>
      <c r="BH605" s="102"/>
      <c r="BI605" s="102"/>
      <c r="BJ605" s="102"/>
      <c r="BK605" s="12"/>
      <c r="BL605" s="12"/>
    </row>
    <row r="606" spans="1:64" hidden="1" outlineLevel="1">
      <c r="A606" s="9"/>
      <c r="B606" s="9"/>
      <c r="C606" s="46"/>
      <c r="D606" s="132" t="str">
        <f>Asset9</f>
        <v>Zone Transformers</v>
      </c>
      <c r="E606" s="9"/>
      <c r="F606" s="9"/>
      <c r="G606" s="201">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102"/>
      <c r="BE606" s="102"/>
      <c r="BF606" s="102"/>
      <c r="BG606" s="102"/>
      <c r="BH606" s="102"/>
      <c r="BI606" s="102"/>
      <c r="BJ606" s="102"/>
      <c r="BK606" s="12"/>
      <c r="BL606" s="12"/>
    </row>
    <row r="607" spans="1:64" hidden="1" outlineLevel="1">
      <c r="A607" s="9"/>
      <c r="B607" s="9"/>
      <c r="C607" s="46"/>
      <c r="D607" s="132" t="str">
        <f>Asset10</f>
        <v>Distribution Transformers</v>
      </c>
      <c r="E607" s="9"/>
      <c r="F607" s="9"/>
      <c r="G607" s="201">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102"/>
      <c r="BE607" s="102"/>
      <c r="BF607" s="102"/>
      <c r="BG607" s="102"/>
      <c r="BH607" s="102"/>
      <c r="BI607" s="102"/>
      <c r="BJ607" s="102"/>
      <c r="BK607" s="12"/>
      <c r="BL607" s="12"/>
    </row>
    <row r="608" spans="1:64" hidden="1" outlineLevel="1">
      <c r="A608" s="9"/>
      <c r="B608" s="9"/>
      <c r="C608" s="46"/>
      <c r="D608" s="132" t="str">
        <f>Asset11</f>
        <v>Low Voltage Services</v>
      </c>
      <c r="E608" s="9"/>
      <c r="F608" s="9"/>
      <c r="G608" s="201">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102"/>
      <c r="BE608" s="102"/>
      <c r="BF608" s="102"/>
      <c r="BG608" s="102"/>
      <c r="BH608" s="102"/>
      <c r="BI608" s="102"/>
      <c r="BJ608" s="102"/>
      <c r="BK608" s="12"/>
      <c r="BL608" s="12"/>
    </row>
    <row r="609" spans="1:64" hidden="1" outlineLevel="1">
      <c r="A609" s="9"/>
      <c r="B609" s="9"/>
      <c r="C609" s="46"/>
      <c r="D609" s="132" t="str">
        <f>Asset12</f>
        <v>Metering</v>
      </c>
      <c r="E609" s="9"/>
      <c r="F609" s="9"/>
      <c r="G609" s="201">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102"/>
      <c r="BE609" s="102"/>
      <c r="BF609" s="102"/>
      <c r="BG609" s="102"/>
      <c r="BH609" s="102"/>
      <c r="BI609" s="102"/>
      <c r="BJ609" s="102"/>
      <c r="BK609" s="12"/>
      <c r="BL609" s="12"/>
    </row>
    <row r="610" spans="1:64" hidden="1" outlineLevel="1">
      <c r="A610" s="9"/>
      <c r="B610" s="9"/>
      <c r="C610" s="46"/>
      <c r="D610" s="132" t="str">
        <f>Asset13</f>
        <v xml:space="preserve">Communications – Pilot Wires </v>
      </c>
      <c r="E610" s="9"/>
      <c r="F610" s="9"/>
      <c r="G610" s="201">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102"/>
      <c r="BE610" s="102"/>
      <c r="BF610" s="102"/>
      <c r="BG610" s="102"/>
      <c r="BH610" s="102"/>
      <c r="BI610" s="102"/>
      <c r="BJ610" s="102"/>
      <c r="BK610" s="12"/>
      <c r="BL610" s="12"/>
    </row>
    <row r="611" spans="1:64" hidden="1" outlineLevel="1">
      <c r="A611" s="9"/>
      <c r="B611" s="9"/>
      <c r="C611" s="46"/>
      <c r="D611" s="132" t="str">
        <f>Asset14</f>
        <v>Generation Assets</v>
      </c>
      <c r="E611" s="9"/>
      <c r="F611" s="9"/>
      <c r="G611" s="201">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102"/>
      <c r="BE611" s="102"/>
      <c r="BF611" s="102"/>
      <c r="BG611" s="102"/>
      <c r="BH611" s="102"/>
      <c r="BI611" s="102"/>
      <c r="BJ611" s="102"/>
      <c r="BK611" s="12"/>
      <c r="BL611" s="12"/>
    </row>
    <row r="612" spans="1:64" hidden="1" outlineLevel="1">
      <c r="A612" s="9"/>
      <c r="B612" s="9"/>
      <c r="C612" s="46"/>
      <c r="D612" s="132" t="str">
        <f>Asset15</f>
        <v>Street Lighting</v>
      </c>
      <c r="E612" s="9"/>
      <c r="F612" s="9"/>
      <c r="G612" s="201">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102"/>
      <c r="BE612" s="102"/>
      <c r="BF612" s="102"/>
      <c r="BG612" s="102"/>
      <c r="BH612" s="102"/>
      <c r="BI612" s="102"/>
      <c r="BJ612" s="102"/>
      <c r="BK612" s="12"/>
      <c r="BL612" s="12"/>
    </row>
    <row r="613" spans="1:64" hidden="1" outlineLevel="1">
      <c r="A613" s="9"/>
      <c r="B613" s="9"/>
      <c r="C613" s="46"/>
      <c r="D613" s="132" t="str">
        <f>Asset16</f>
        <v>Other Equipment</v>
      </c>
      <c r="E613" s="9"/>
      <c r="F613" s="9"/>
      <c r="G613" s="201">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102"/>
      <c r="BE613" s="102"/>
      <c r="BF613" s="102"/>
      <c r="BG613" s="102"/>
      <c r="BH613" s="102"/>
      <c r="BI613" s="102"/>
      <c r="BJ613" s="102"/>
      <c r="BK613" s="12"/>
      <c r="BL613" s="12"/>
    </row>
    <row r="614" spans="1:64" hidden="1" outlineLevel="1">
      <c r="A614" s="9"/>
      <c r="B614" s="9"/>
      <c r="C614" s="46"/>
      <c r="D614" s="132" t="str">
        <f>Asset17</f>
        <v>Control Centre - SCADA</v>
      </c>
      <c r="E614" s="9"/>
      <c r="F614" s="9"/>
      <c r="G614" s="201">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102"/>
      <c r="BE614" s="102"/>
      <c r="BF614" s="102"/>
      <c r="BG614" s="102"/>
      <c r="BH614" s="102"/>
      <c r="BI614" s="102"/>
      <c r="BJ614" s="102"/>
      <c r="BK614" s="12"/>
      <c r="BL614" s="12"/>
    </row>
    <row r="615" spans="1:64" hidden="1" outlineLevel="1">
      <c r="A615" s="9"/>
      <c r="B615" s="9"/>
      <c r="C615" s="46"/>
      <c r="D615" s="132" t="str">
        <f>Asset18</f>
        <v>Land &amp; Easements (System)</v>
      </c>
      <c r="E615" s="9"/>
      <c r="F615" s="9"/>
      <c r="G615" s="201">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1">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102"/>
      <c r="BE616" s="102"/>
      <c r="BF616" s="102"/>
      <c r="BG616" s="102"/>
      <c r="BH616" s="102"/>
      <c r="BI616" s="102"/>
      <c r="BJ616" s="102"/>
      <c r="BK616" s="12"/>
      <c r="BL616" s="12"/>
    </row>
    <row r="617" spans="1:64" hidden="1" outlineLevel="1">
      <c r="A617" s="9"/>
      <c r="B617" s="9"/>
      <c r="C617" s="46"/>
      <c r="D617" s="132" t="str">
        <f>Asset20</f>
        <v>Communications</v>
      </c>
      <c r="E617" s="9"/>
      <c r="F617" s="9"/>
      <c r="G617" s="201">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102"/>
      <c r="BE617" s="102"/>
      <c r="BF617" s="102"/>
      <c r="BG617" s="102"/>
      <c r="BH617" s="102"/>
      <c r="BI617" s="102"/>
      <c r="BJ617" s="102"/>
      <c r="BK617" s="12"/>
      <c r="BL617" s="12"/>
    </row>
    <row r="618" spans="1:64" hidden="1" outlineLevel="1">
      <c r="A618" s="9"/>
      <c r="B618" s="9"/>
      <c r="C618" s="46"/>
      <c r="D618" s="132" t="str">
        <f>Asset21</f>
        <v>IT Systems</v>
      </c>
      <c r="E618" s="9"/>
      <c r="F618" s="9"/>
      <c r="G618" s="201">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102"/>
      <c r="BE618" s="102"/>
      <c r="BF618" s="102"/>
      <c r="BG618" s="102"/>
      <c r="BH618" s="102"/>
      <c r="BI618" s="102"/>
      <c r="BJ618" s="102"/>
      <c r="BK618" s="12"/>
      <c r="BL618" s="12"/>
    </row>
    <row r="619" spans="1:64" hidden="1" outlineLevel="1">
      <c r="A619" s="9"/>
      <c r="B619" s="9"/>
      <c r="C619" s="46"/>
      <c r="D619" s="132" t="str">
        <f>Asset22</f>
        <v>Office Equipment &amp; Furniture</v>
      </c>
      <c r="E619" s="9"/>
      <c r="F619" s="9"/>
      <c r="G619" s="201">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102"/>
      <c r="BE619" s="102"/>
      <c r="BF619" s="102"/>
      <c r="BG619" s="102"/>
      <c r="BH619" s="102"/>
      <c r="BI619" s="102"/>
      <c r="BJ619" s="102"/>
      <c r="BK619" s="12"/>
      <c r="BL619" s="12"/>
    </row>
    <row r="620" spans="1:64" hidden="1" outlineLevel="1">
      <c r="A620" s="9"/>
      <c r="B620" s="9"/>
      <c r="C620" s="46"/>
      <c r="D620" s="132" t="str">
        <f>Asset23</f>
        <v>Motor Vehicles</v>
      </c>
      <c r="E620" s="9"/>
      <c r="F620" s="9"/>
      <c r="G620" s="201">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102"/>
      <c r="BE620" s="102"/>
      <c r="BF620" s="102"/>
      <c r="BG620" s="102"/>
      <c r="BH620" s="102"/>
      <c r="BI620" s="102"/>
      <c r="BJ620" s="102"/>
      <c r="BK620" s="12"/>
      <c r="BL620" s="12"/>
    </row>
    <row r="621" spans="1:64" hidden="1" outlineLevel="1">
      <c r="A621" s="9"/>
      <c r="B621" s="9"/>
      <c r="C621" s="46"/>
      <c r="D621" s="132" t="str">
        <f>Asset24</f>
        <v>Plant &amp; Equipment</v>
      </c>
      <c r="E621" s="9"/>
      <c r="F621" s="9"/>
      <c r="G621" s="201">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102"/>
      <c r="BE621" s="102"/>
      <c r="BF621" s="102"/>
      <c r="BG621" s="102"/>
      <c r="BH621" s="102"/>
      <c r="BI621" s="102"/>
      <c r="BJ621" s="102"/>
      <c r="BK621" s="12"/>
      <c r="BL621" s="12"/>
    </row>
    <row r="622" spans="1:64" hidden="1" outlineLevel="1">
      <c r="A622" s="9"/>
      <c r="B622" s="9"/>
      <c r="C622" s="46"/>
      <c r="D622" s="132" t="str">
        <f>Asset25</f>
        <v>Buildings</v>
      </c>
      <c r="E622" s="9"/>
      <c r="F622" s="9"/>
      <c r="G622" s="201">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102"/>
      <c r="BE622" s="102"/>
      <c r="BF622" s="102"/>
      <c r="BG622" s="102"/>
      <c r="BH622" s="102"/>
      <c r="BI622" s="102"/>
      <c r="BJ622" s="102"/>
      <c r="BK622" s="12"/>
      <c r="BL622" s="12"/>
    </row>
    <row r="623" spans="1:64" hidden="1" outlineLevel="1">
      <c r="A623" s="9"/>
      <c r="B623" s="9"/>
      <c r="C623" s="46"/>
      <c r="D623" s="132" t="str">
        <f>Asset26</f>
        <v>Land &amp; Easements</v>
      </c>
      <c r="E623" s="9"/>
      <c r="F623" s="9"/>
      <c r="G623" s="201">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102"/>
      <c r="BE623" s="102"/>
      <c r="BF623" s="102"/>
      <c r="BG623" s="102"/>
      <c r="BH623" s="102"/>
      <c r="BI623" s="102"/>
      <c r="BJ623" s="102"/>
      <c r="BK623" s="12"/>
      <c r="BL623" s="12"/>
    </row>
    <row r="624" spans="1:64" hidden="1" outlineLevel="1">
      <c r="A624" s="9"/>
      <c r="B624" s="9"/>
      <c r="C624" s="46"/>
      <c r="D624" s="132" t="str">
        <f>Asset27</f>
        <v>Land Improvements</v>
      </c>
      <c r="E624" s="9"/>
      <c r="F624" s="9"/>
      <c r="G624" s="201">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102"/>
      <c r="BE624" s="102"/>
      <c r="BF624" s="102"/>
      <c r="BG624" s="102"/>
      <c r="BH624" s="102"/>
      <c r="BI624" s="102"/>
      <c r="BJ624" s="102"/>
      <c r="BK624" s="12"/>
      <c r="BL624" s="12"/>
    </row>
    <row r="625" spans="1:64" hidden="1" outlineLevel="1">
      <c r="A625" s="9"/>
      <c r="B625" s="9"/>
      <c r="C625" s="46"/>
      <c r="D625" s="132" t="str">
        <f>Asset28</f>
        <v>Equity Raising Costs</v>
      </c>
      <c r="E625" s="9"/>
      <c r="F625" s="9"/>
      <c r="G625" s="201">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102"/>
      <c r="BE625" s="102"/>
      <c r="BF625" s="102"/>
      <c r="BG625" s="102"/>
      <c r="BH625" s="102"/>
      <c r="BI625" s="102"/>
      <c r="BJ625" s="102"/>
      <c r="BK625" s="12"/>
      <c r="BL625" s="12"/>
    </row>
    <row r="626" spans="1:64" hidden="1" outlineLevel="1">
      <c r="A626" s="9"/>
      <c r="B626" s="9"/>
      <c r="C626" s="46"/>
      <c r="D626" s="132" t="str">
        <f>Asset29</f>
        <v>Not Used</v>
      </c>
      <c r="E626" s="9"/>
      <c r="F626" s="9"/>
      <c r="G626" s="201">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102"/>
      <c r="BE626" s="102"/>
      <c r="BF626" s="102"/>
      <c r="BG626" s="102"/>
      <c r="BH626" s="102"/>
      <c r="BI626" s="102"/>
      <c r="BJ626" s="102"/>
      <c r="BK626" s="12"/>
      <c r="BL626" s="12"/>
    </row>
    <row r="627" spans="1:64" hidden="1" outlineLevel="1">
      <c r="A627" s="9"/>
      <c r="B627" s="9"/>
      <c r="C627" s="46"/>
      <c r="D627" s="132" t="str">
        <f>Asset30</f>
        <v>Not Used</v>
      </c>
      <c r="E627" s="9"/>
      <c r="F627" s="9"/>
      <c r="G627" s="201">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102"/>
      <c r="BE630" s="102"/>
      <c r="BF630" s="102"/>
      <c r="BG630" s="102"/>
      <c r="BH630" s="102"/>
      <c r="BI630" s="102"/>
      <c r="BJ630" s="102"/>
      <c r="BK630" s="12"/>
      <c r="BL630" s="12"/>
    </row>
    <row r="631" spans="1:64" s="9" customFormat="1">
      <c r="B631" s="12"/>
      <c r="C631" s="91" t="s">
        <v>33</v>
      </c>
      <c r="D631" s="12"/>
      <c r="E631" s="12"/>
      <c r="F631" s="12"/>
      <c r="G631" s="200">
        <f>SUM(G632:G661)</f>
        <v>-309.63551878390007</v>
      </c>
      <c r="H631" s="119">
        <f>SUM(H632:H661)</f>
        <v>-348.01289395422128</v>
      </c>
      <c r="I631" s="119">
        <f t="shared" ref="I631:Q631" si="28">SUM(I632:I661)</f>
        <v>-324.11432598522686</v>
      </c>
      <c r="J631" s="119">
        <f t="shared" si="28"/>
        <v>-329.22462648024884</v>
      </c>
      <c r="K631" s="119">
        <f t="shared" si="28"/>
        <v>-329.39446472713882</v>
      </c>
      <c r="L631" s="119">
        <f t="shared" si="28"/>
        <v>-308.04763219156996</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108"/>
      <c r="BE631" s="108"/>
      <c r="BF631" s="108"/>
      <c r="BG631" s="108"/>
      <c r="BH631" s="108"/>
      <c r="BI631" s="108"/>
      <c r="BJ631" s="108"/>
      <c r="BK631" s="12"/>
      <c r="BL631" s="12"/>
    </row>
    <row r="632" spans="1:64" ht="12" hidden="1" customHeight="1" outlineLevel="1">
      <c r="A632" s="9"/>
      <c r="B632" s="9"/>
      <c r="C632" s="9"/>
      <c r="D632" s="132" t="str">
        <f>Asset1</f>
        <v>Overhead Sub-Transmission Lines</v>
      </c>
      <c r="E632" s="9"/>
      <c r="F632" s="9"/>
      <c r="G632" s="198">
        <f t="shared" ref="G632:G639" si="29">-(G666-G502)</f>
        <v>-28.0916385407</v>
      </c>
      <c r="H632" s="113">
        <f>H$56*H$7</f>
        <v>-30.938175068989196</v>
      </c>
      <c r="I632" s="113">
        <f t="shared" ref="I632:Q632" si="30">I$56*I$7</f>
        <v>-31.968416298786543</v>
      </c>
      <c r="J632" s="113">
        <f t="shared" si="30"/>
        <v>-32.473517276307369</v>
      </c>
      <c r="K632" s="113">
        <f t="shared" si="30"/>
        <v>-33.285355208215051</v>
      </c>
      <c r="L632" s="113">
        <f t="shared" si="30"/>
        <v>-34.260616115815765</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12"/>
      <c r="BE632" s="12"/>
      <c r="BF632" s="12"/>
      <c r="BG632" s="12"/>
      <c r="BH632" s="12"/>
      <c r="BI632" s="12"/>
      <c r="BJ632" s="12"/>
      <c r="BK632" s="12"/>
      <c r="BL632" s="12"/>
    </row>
    <row r="633" spans="1:64" ht="12" hidden="1" customHeight="1" outlineLevel="1">
      <c r="A633" s="9"/>
      <c r="B633" s="9"/>
      <c r="C633" s="9"/>
      <c r="D633" s="132" t="str">
        <f>Asset2</f>
        <v>Underground Sub-Transmission Cables</v>
      </c>
      <c r="E633" s="9"/>
      <c r="F633" s="9"/>
      <c r="G633" s="198">
        <f t="shared" si="29"/>
        <v>-1.8471989495999999</v>
      </c>
      <c r="H633" s="113">
        <f t="shared" ref="H633:Q633" si="31">H$69*H$7</f>
        <v>-2.3115023144082754</v>
      </c>
      <c r="I633" s="113">
        <f t="shared" si="31"/>
        <v>-2.3884753414780713</v>
      </c>
      <c r="J633" s="113">
        <f t="shared" si="31"/>
        <v>-2.426213251873425</v>
      </c>
      <c r="K633" s="113">
        <f t="shared" si="31"/>
        <v>-2.4868685831702604</v>
      </c>
      <c r="L633" s="113">
        <f t="shared" si="31"/>
        <v>-2.5597338326571495</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12"/>
      <c r="BE633" s="12"/>
      <c r="BF633" s="12"/>
      <c r="BG633" s="12"/>
      <c r="BH633" s="12"/>
      <c r="BI633" s="12"/>
      <c r="BJ633" s="12"/>
      <c r="BK633" s="12"/>
      <c r="BL633" s="12"/>
    </row>
    <row r="634" spans="1:64" ht="12" hidden="1" customHeight="1" outlineLevel="1">
      <c r="A634" s="9"/>
      <c r="B634" s="9"/>
      <c r="C634" s="9"/>
      <c r="D634" s="132" t="str">
        <f>Asset3</f>
        <v>Overhead Distribution Lines</v>
      </c>
      <c r="E634" s="9"/>
      <c r="F634" s="9"/>
      <c r="G634" s="198">
        <f t="shared" si="29"/>
        <v>-58.294846292299994</v>
      </c>
      <c r="H634" s="113">
        <f t="shared" ref="H634:Q634" si="32">H$82*H$7</f>
        <v>-64.612102001844946</v>
      </c>
      <c r="I634" s="113">
        <f t="shared" si="32"/>
        <v>-66.763684998506392</v>
      </c>
      <c r="J634" s="113">
        <f t="shared" si="32"/>
        <v>-67.818551221482792</v>
      </c>
      <c r="K634" s="113">
        <f t="shared" si="32"/>
        <v>-69.51401500201986</v>
      </c>
      <c r="L634" s="113">
        <f t="shared" si="32"/>
        <v>-71.550775641579051</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12"/>
      <c r="BE634" s="12"/>
      <c r="BF634" s="12"/>
      <c r="BG634" s="12"/>
      <c r="BH634" s="12"/>
      <c r="BI634" s="12"/>
      <c r="BJ634" s="12"/>
      <c r="BK634" s="12"/>
      <c r="BL634" s="12"/>
    </row>
    <row r="635" spans="1:64" ht="12" hidden="1" customHeight="1" outlineLevel="1">
      <c r="A635" s="9"/>
      <c r="B635" s="9"/>
      <c r="C635" s="9"/>
      <c r="D635" s="132" t="str">
        <f>Asset4</f>
        <v>Underground Distribution Cables</v>
      </c>
      <c r="E635" s="9"/>
      <c r="F635" s="9"/>
      <c r="G635" s="198">
        <f t="shared" si="29"/>
        <v>-11.427595673600001</v>
      </c>
      <c r="H635" s="113">
        <f t="shared" ref="H635:Q635" si="33">H$95*H$7</f>
        <v>-13.908398596347016</v>
      </c>
      <c r="I635" s="113">
        <f t="shared" si="33"/>
        <v>-14.371548269605375</v>
      </c>
      <c r="J635" s="113">
        <f t="shared" si="33"/>
        <v>-14.598618732265139</v>
      </c>
      <c r="K635" s="113">
        <f t="shared" si="33"/>
        <v>-14.963584200571768</v>
      </c>
      <c r="L635" s="113">
        <f t="shared" si="33"/>
        <v>-15.402017217648524</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12"/>
      <c r="BE635" s="12"/>
      <c r="BF635" s="12"/>
      <c r="BG635" s="12"/>
      <c r="BH635" s="12"/>
      <c r="BI635" s="12"/>
      <c r="BJ635" s="12"/>
      <c r="BK635" s="12"/>
      <c r="BL635" s="12"/>
    </row>
    <row r="636" spans="1:64" ht="12" hidden="1" customHeight="1" outlineLevel="1">
      <c r="A636" s="9"/>
      <c r="B636" s="9"/>
      <c r="C636" s="9"/>
      <c r="D636" s="132" t="str">
        <f>Asset5</f>
        <v xml:space="preserve">Distribution Equipment  </v>
      </c>
      <c r="E636" s="9"/>
      <c r="F636" s="9"/>
      <c r="G636" s="198">
        <f t="shared" si="29"/>
        <v>-2.9123461112000002</v>
      </c>
      <c r="H636" s="113">
        <f t="shared" ref="H636:Q636" si="34">H$108*H$7</f>
        <v>-3.6196255989308233</v>
      </c>
      <c r="I636" s="113">
        <f t="shared" si="34"/>
        <v>-3.7401591313752203</v>
      </c>
      <c r="J636" s="113">
        <f t="shared" si="34"/>
        <v>-3.7992536456509485</v>
      </c>
      <c r="K636" s="113">
        <f t="shared" si="34"/>
        <v>-3.8942349867922221</v>
      </c>
      <c r="L636" s="113">
        <f t="shared" si="34"/>
        <v>-4.0083360719052354</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12"/>
      <c r="BE636" s="12"/>
      <c r="BF636" s="12"/>
      <c r="BG636" s="12"/>
      <c r="BH636" s="12"/>
      <c r="BI636" s="12"/>
      <c r="BJ636" s="12"/>
      <c r="BK636" s="12"/>
      <c r="BL636" s="12"/>
    </row>
    <row r="637" spans="1:64" ht="12" hidden="1" customHeight="1" outlineLevel="1">
      <c r="A637" s="9"/>
      <c r="B637" s="9"/>
      <c r="C637" s="9"/>
      <c r="D637" s="132" t="str">
        <f>Asset6</f>
        <v>Substation Bays</v>
      </c>
      <c r="E637" s="9"/>
      <c r="F637" s="9"/>
      <c r="G637" s="198">
        <f t="shared" si="29"/>
        <v>-22.395561276700001</v>
      </c>
      <c r="H637" s="113">
        <f t="shared" ref="H637:Q637" si="35">H$121*H$7</f>
        <v>-26.037750294512481</v>
      </c>
      <c r="I637" s="113">
        <f t="shared" si="35"/>
        <v>-26.904807379319749</v>
      </c>
      <c r="J637" s="113">
        <f t="shared" si="35"/>
        <v>-27.329903335913002</v>
      </c>
      <c r="K637" s="113">
        <f t="shared" si="35"/>
        <v>-28.013150919310828</v>
      </c>
      <c r="L637" s="113">
        <f t="shared" si="35"/>
        <v>-28.83393624124664</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12"/>
      <c r="BE637" s="12"/>
      <c r="BF637" s="12"/>
      <c r="BG637" s="12"/>
      <c r="BH637" s="12"/>
      <c r="BI637" s="12"/>
      <c r="BJ637" s="12"/>
      <c r="BK637" s="12"/>
      <c r="BL637" s="12"/>
    </row>
    <row r="638" spans="1:64" ht="12" hidden="1" customHeight="1" outlineLevel="1">
      <c r="A638" s="9"/>
      <c r="B638" s="9"/>
      <c r="C638" s="9"/>
      <c r="D638" s="132" t="str">
        <f>Asset7</f>
        <v>Substation Establishment</v>
      </c>
      <c r="E638" s="9"/>
      <c r="F638" s="9"/>
      <c r="G638" s="198">
        <f t="shared" si="29"/>
        <v>-8.4354552493000003</v>
      </c>
      <c r="H638" s="113">
        <f t="shared" ref="H638:Q638" si="36">H$134*H$7</f>
        <v>-9.442897925760068</v>
      </c>
      <c r="I638" s="113">
        <f t="shared" si="36"/>
        <v>-9.7573464266878798</v>
      </c>
      <c r="J638" s="113">
        <f t="shared" si="36"/>
        <v>-9.9115125002295486</v>
      </c>
      <c r="K638" s="113">
        <f t="shared" si="36"/>
        <v>-10.159300312735287</v>
      </c>
      <c r="L638" s="113">
        <f t="shared" si="36"/>
        <v>-10.456967811898433</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12"/>
      <c r="BE638" s="12"/>
      <c r="BF638" s="12"/>
      <c r="BG638" s="12"/>
      <c r="BH638" s="12"/>
      <c r="BI638" s="12"/>
      <c r="BJ638" s="12"/>
      <c r="BK638" s="12"/>
      <c r="BL638" s="12"/>
    </row>
    <row r="639" spans="1:64" ht="12" hidden="1" customHeight="1" outlineLevel="1">
      <c r="A639" s="9"/>
      <c r="B639" s="9"/>
      <c r="C639" s="9"/>
      <c r="D639" s="132" t="str">
        <f>Asset8</f>
        <v>Distribution Substation Switchgear</v>
      </c>
      <c r="E639" s="9"/>
      <c r="F639" s="9"/>
      <c r="G639" s="198">
        <f t="shared" si="29"/>
        <v>-2.4306569298</v>
      </c>
      <c r="H639" s="113">
        <f t="shared" ref="H639:Q639" si="37">H$147*H$7</f>
        <v>-2.7331754050157788</v>
      </c>
      <c r="I639" s="113">
        <f t="shared" si="37"/>
        <v>-2.8241901460028047</v>
      </c>
      <c r="J639" s="113">
        <f t="shared" si="37"/>
        <v>-2.868812350309649</v>
      </c>
      <c r="K639" s="113">
        <f t="shared" si="37"/>
        <v>-2.9405326590673901</v>
      </c>
      <c r="L639" s="113">
        <f t="shared" si="37"/>
        <v>-3.0266902659780652</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12"/>
      <c r="BE639" s="12"/>
      <c r="BF639" s="12"/>
      <c r="BG639" s="12"/>
      <c r="BH639" s="12"/>
      <c r="BI639" s="12"/>
      <c r="BJ639" s="12"/>
      <c r="BK639" s="12"/>
      <c r="BL639" s="12"/>
    </row>
    <row r="640" spans="1:64" ht="12" hidden="1" customHeight="1" outlineLevel="1">
      <c r="A640" s="9"/>
      <c r="B640" s="9"/>
      <c r="C640" s="9"/>
      <c r="D640" s="132" t="str">
        <f>Asset9</f>
        <v>Zone Transformers</v>
      </c>
      <c r="E640" s="9"/>
      <c r="F640" s="9"/>
      <c r="G640" s="198">
        <f>-(G674-G510)</f>
        <v>-8.0137095798999987</v>
      </c>
      <c r="H640" s="113">
        <f t="shared" ref="H640:Q640" si="38">H$160*H$7</f>
        <v>-9.0033951276666304</v>
      </c>
      <c r="I640" s="113">
        <f t="shared" si="38"/>
        <v>-9.3032081854179296</v>
      </c>
      <c r="J640" s="113">
        <f t="shared" si="38"/>
        <v>-9.4501988747475334</v>
      </c>
      <c r="K640" s="113">
        <f t="shared" si="38"/>
        <v>-9.6864538466162209</v>
      </c>
      <c r="L640" s="113">
        <f t="shared" si="38"/>
        <v>-9.9702669443220788</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12"/>
      <c r="BE640" s="12"/>
      <c r="BF640" s="12"/>
      <c r="BG640" s="12"/>
      <c r="BH640" s="12"/>
      <c r="BI640" s="12"/>
      <c r="BJ640" s="12"/>
      <c r="BK640" s="12"/>
      <c r="BL640" s="12"/>
    </row>
    <row r="641" spans="1:64" ht="12" hidden="1" customHeight="1" outlineLevel="1">
      <c r="A641" s="9"/>
      <c r="B641" s="9"/>
      <c r="C641" s="9"/>
      <c r="D641" s="132" t="str">
        <f>Asset10</f>
        <v>Distribution Transformers</v>
      </c>
      <c r="E641" s="9"/>
      <c r="F641" s="9"/>
      <c r="G641" s="198">
        <f t="shared" ref="G641:G651" si="39">-(G675-G511)</f>
        <v>-33.826306116200001</v>
      </c>
      <c r="H641" s="113">
        <f t="shared" ref="H641:Q641" si="40">H$173*H$7</f>
        <v>-38.135394560028963</v>
      </c>
      <c r="I641" s="113">
        <f t="shared" si="40"/>
        <v>-39.405303198877938</v>
      </c>
      <c r="J641" s="113">
        <f t="shared" si="40"/>
        <v>-40.027906989420202</v>
      </c>
      <c r="K641" s="113">
        <f t="shared" si="40"/>
        <v>-41.028604664155708</v>
      </c>
      <c r="L641" s="113">
        <f t="shared" si="40"/>
        <v>-42.230742780815483</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12"/>
      <c r="BE641" s="12"/>
      <c r="BF641" s="12"/>
      <c r="BG641" s="12"/>
      <c r="BH641" s="12"/>
      <c r="BI641" s="12"/>
      <c r="BJ641" s="12"/>
      <c r="BK641" s="12"/>
      <c r="BL641" s="12"/>
    </row>
    <row r="642" spans="1:64" ht="12" hidden="1" customHeight="1" outlineLevel="1">
      <c r="A642" s="9"/>
      <c r="B642" s="9"/>
      <c r="C642" s="9"/>
      <c r="D642" s="132" t="str">
        <f>Asset11</f>
        <v>Low Voltage Services</v>
      </c>
      <c r="E642" s="9"/>
      <c r="F642" s="9"/>
      <c r="G642" s="198">
        <f t="shared" si="39"/>
        <v>-24.392662700599999</v>
      </c>
      <c r="H642" s="113">
        <f t="shared" ref="H642:Q642" si="41">H$186*H$7</f>
        <v>-23.664952816459198</v>
      </c>
      <c r="I642" s="113">
        <f t="shared" si="41"/>
        <v>-24.452995745247296</v>
      </c>
      <c r="J642" s="113">
        <f t="shared" si="41"/>
        <v>-24.839353078022203</v>
      </c>
      <c r="K642" s="113">
        <f t="shared" si="41"/>
        <v>-25.460336904972756</v>
      </c>
      <c r="L642" s="113">
        <f t="shared" si="41"/>
        <v>-1.5451894571206992</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12"/>
      <c r="BE642" s="12"/>
      <c r="BF642" s="12"/>
      <c r="BG642" s="12"/>
      <c r="BH642" s="12"/>
      <c r="BI642" s="12"/>
      <c r="BJ642" s="12"/>
      <c r="BK642" s="12"/>
      <c r="BL642" s="12"/>
    </row>
    <row r="643" spans="1:64" ht="12" hidden="1" customHeight="1" outlineLevel="1">
      <c r="A643" s="9"/>
      <c r="B643" s="9"/>
      <c r="C643" s="9"/>
      <c r="D643" s="132" t="str">
        <f>Asset12</f>
        <v>Metering</v>
      </c>
      <c r="E643" s="9"/>
      <c r="F643" s="9"/>
      <c r="G643" s="198">
        <f t="shared" si="39"/>
        <v>-12.2782226044</v>
      </c>
      <c r="H643" s="113">
        <f t="shared" ref="H643:Q643" si="42">H$199*H$7</f>
        <v>-13.553217212592406</v>
      </c>
      <c r="I643" s="113">
        <f t="shared" si="42"/>
        <v>-14.004539345771736</v>
      </c>
      <c r="J643" s="113">
        <f t="shared" si="42"/>
        <v>-14.225811067434929</v>
      </c>
      <c r="K643" s="113">
        <f t="shared" si="42"/>
        <v>-14.581456344120802</v>
      </c>
      <c r="L643" s="113">
        <f t="shared" si="42"/>
        <v>-15.008693015003544</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12"/>
      <c r="BE643" s="12"/>
      <c r="BF643" s="12"/>
      <c r="BG643" s="12"/>
      <c r="BH643" s="12"/>
      <c r="BI643" s="12"/>
      <c r="BJ643" s="12"/>
      <c r="BK643" s="12"/>
      <c r="BL643" s="12"/>
    </row>
    <row r="644" spans="1:64" ht="12" hidden="1" customHeight="1" outlineLevel="1">
      <c r="A644" s="9"/>
      <c r="B644" s="9"/>
      <c r="C644" s="9"/>
      <c r="D644" s="132" t="str">
        <f>Asset13</f>
        <v xml:space="preserve">Communications – Pilot Wires </v>
      </c>
      <c r="E644" s="9"/>
      <c r="F644" s="9"/>
      <c r="G644" s="198">
        <f t="shared" si="39"/>
        <v>-2.8136086959999997</v>
      </c>
      <c r="H644" s="113">
        <f t="shared" ref="H644:Q644" si="43">H$212*H$7</f>
        <v>-4.1471869208877337</v>
      </c>
      <c r="I644" s="113">
        <f t="shared" si="43"/>
        <v>-4.2852882453532963</v>
      </c>
      <c r="J644" s="113">
        <f t="shared" si="43"/>
        <v>-4.3529957996298787</v>
      </c>
      <c r="K644" s="113">
        <f t="shared" si="43"/>
        <v>-4.4618206946206254</v>
      </c>
      <c r="L644" s="113">
        <f t="shared" si="43"/>
        <v>-4.5925520409730103</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12"/>
      <c r="BE644" s="12"/>
      <c r="BF644" s="12"/>
      <c r="BG644" s="12"/>
      <c r="BH644" s="12"/>
      <c r="BI644" s="12"/>
      <c r="BJ644" s="12"/>
      <c r="BK644" s="12"/>
      <c r="BL644" s="12"/>
    </row>
    <row r="645" spans="1:64" ht="12" hidden="1" customHeight="1" outlineLevel="1">
      <c r="A645" s="9"/>
      <c r="B645" s="9"/>
      <c r="C645" s="9"/>
      <c r="D645" s="132" t="str">
        <f>Asset14</f>
        <v>Generation Assets</v>
      </c>
      <c r="E645" s="9"/>
      <c r="F645" s="9"/>
      <c r="G645" s="198">
        <f t="shared" si="39"/>
        <v>-0.59856908419999999</v>
      </c>
      <c r="H645" s="113">
        <f t="shared" ref="H645:Q645" si="44">H$225*H$7</f>
        <v>-0.6361083529572501</v>
      </c>
      <c r="I645" s="113">
        <f t="shared" si="44"/>
        <v>-0.6572907611107266</v>
      </c>
      <c r="J645" s="113">
        <f t="shared" si="44"/>
        <v>-0.66767595513627609</v>
      </c>
      <c r="K645" s="113">
        <f t="shared" si="44"/>
        <v>-0.68436785401468303</v>
      </c>
      <c r="L645" s="113">
        <f t="shared" si="44"/>
        <v>-0.7044198321373133</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12"/>
      <c r="BE645" s="12"/>
      <c r="BF645" s="12"/>
      <c r="BG645" s="12"/>
      <c r="BH645" s="12"/>
      <c r="BI645" s="12"/>
      <c r="BJ645" s="12"/>
      <c r="BK645" s="12"/>
      <c r="BL645" s="12"/>
    </row>
    <row r="646" spans="1:64" ht="12" hidden="1" customHeight="1" outlineLevel="1">
      <c r="A646" s="9"/>
      <c r="B646" s="9"/>
      <c r="C646" s="9"/>
      <c r="D646" s="132" t="str">
        <f>Asset15</f>
        <v>Street Lighting</v>
      </c>
      <c r="E646" s="9"/>
      <c r="F646" s="9"/>
      <c r="G646" s="198">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12"/>
      <c r="BE646" s="12"/>
      <c r="BF646" s="12"/>
      <c r="BG646" s="12"/>
      <c r="BH646" s="12"/>
      <c r="BI646" s="12"/>
      <c r="BJ646" s="12"/>
      <c r="BK646" s="12"/>
      <c r="BL646" s="12"/>
    </row>
    <row r="647" spans="1:64" ht="12" hidden="1" customHeight="1" outlineLevel="1">
      <c r="A647" s="9"/>
      <c r="B647" s="9"/>
      <c r="C647" s="9"/>
      <c r="D647" s="132" t="str">
        <f>Asset16</f>
        <v>Other Equipment</v>
      </c>
      <c r="E647" s="9"/>
      <c r="F647" s="9"/>
      <c r="G647" s="198">
        <f t="shared" si="39"/>
        <v>-0.47648185429999995</v>
      </c>
      <c r="H647" s="113">
        <f t="shared" ref="H647:Q647" si="46">H$251*H$7</f>
        <v>-0.5084802419691109</v>
      </c>
      <c r="I647" s="113">
        <f t="shared" si="46"/>
        <v>-0.52541263402668237</v>
      </c>
      <c r="J647" s="113">
        <f t="shared" si="46"/>
        <v>-0.53371415364430397</v>
      </c>
      <c r="K647" s="113">
        <f t="shared" si="46"/>
        <v>-0.54705700748541153</v>
      </c>
      <c r="L647" s="113">
        <f t="shared" si="46"/>
        <v>-0.56308577780473423</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12"/>
      <c r="BE647" s="12"/>
      <c r="BF647" s="12"/>
      <c r="BG647" s="12"/>
      <c r="BH647" s="12"/>
      <c r="BI647" s="12"/>
      <c r="BJ647" s="12"/>
      <c r="BK647" s="12"/>
      <c r="BL647" s="12"/>
    </row>
    <row r="648" spans="1:64" ht="12" hidden="1" customHeight="1" outlineLevel="1">
      <c r="A648" s="9"/>
      <c r="B648" s="9"/>
      <c r="C648" s="9"/>
      <c r="D648" s="132" t="str">
        <f>Asset17</f>
        <v>Control Centre - SCADA</v>
      </c>
      <c r="E648" s="9"/>
      <c r="F648" s="9"/>
      <c r="G648" s="198">
        <f t="shared" si="39"/>
        <v>-9.5097850230000009</v>
      </c>
      <c r="H648" s="113">
        <f t="shared" ref="H648:Q648" si="47">H$264*H$7</f>
        <v>-13.214781888589972</v>
      </c>
      <c r="I648" s="113">
        <f t="shared" si="47"/>
        <v>-13.65483412548002</v>
      </c>
      <c r="J648" s="113">
        <f t="shared" si="47"/>
        <v>-13.870580504662605</v>
      </c>
      <c r="K648" s="113">
        <f t="shared" si="47"/>
        <v>-6.1565676021628839</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12"/>
      <c r="BE648" s="12"/>
      <c r="BF648" s="12"/>
      <c r="BG648" s="12"/>
      <c r="BH648" s="12"/>
      <c r="BI648" s="12"/>
      <c r="BJ648" s="12"/>
      <c r="BK648" s="12"/>
      <c r="BL648" s="12"/>
    </row>
    <row r="649" spans="1:64" ht="12" hidden="1" customHeight="1" outlineLevel="1">
      <c r="A649" s="9"/>
      <c r="B649" s="9"/>
      <c r="C649" s="9"/>
      <c r="D649" s="132" t="str">
        <f>Asset18</f>
        <v>Land &amp; Easements (System)</v>
      </c>
      <c r="E649" s="9"/>
      <c r="F649" s="9"/>
      <c r="G649" s="198">
        <f t="shared" si="39"/>
        <v>-3.0029999997793766E-7</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198">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12"/>
      <c r="BE650" s="12"/>
      <c r="BF650" s="12"/>
      <c r="BG650" s="12"/>
      <c r="BH650" s="12"/>
      <c r="BI650" s="12"/>
      <c r="BJ650" s="12"/>
      <c r="BK650" s="12"/>
      <c r="BL650" s="12"/>
    </row>
    <row r="651" spans="1:64" ht="12" hidden="1" customHeight="1" outlineLevel="1">
      <c r="A651" s="9"/>
      <c r="B651" s="9"/>
      <c r="C651" s="9"/>
      <c r="D651" s="132" t="str">
        <f>Asset20</f>
        <v>Communications</v>
      </c>
      <c r="E651" s="9"/>
      <c r="F651" s="9"/>
      <c r="G651" s="198">
        <f t="shared" si="39"/>
        <v>-1.1931503124999998</v>
      </c>
      <c r="H651" s="113">
        <f t="shared" ref="H651:Q651" si="50">H$303*H$7</f>
        <v>-1.2566106374219035</v>
      </c>
      <c r="I651" s="113">
        <f t="shared" si="50"/>
        <v>-1.2984557716480531</v>
      </c>
      <c r="J651" s="113">
        <f t="shared" si="50"/>
        <v>-1.3189713728400922</v>
      </c>
      <c r="K651" s="113">
        <f t="shared" si="50"/>
        <v>-1.3519456571610946</v>
      </c>
      <c r="L651" s="113">
        <f t="shared" si="50"/>
        <v>-1.3915576649159149</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12"/>
      <c r="BE651" s="12"/>
      <c r="BF651" s="12"/>
      <c r="BG651" s="12"/>
      <c r="BH651" s="12"/>
      <c r="BI651" s="12"/>
      <c r="BJ651" s="12"/>
      <c r="BK651" s="12"/>
      <c r="BL651" s="12"/>
    </row>
    <row r="652" spans="1:64" hidden="1" outlineLevel="1">
      <c r="A652" s="9"/>
      <c r="B652" s="9"/>
      <c r="C652" s="9"/>
      <c r="D652" s="132" t="str">
        <f>Asset21</f>
        <v>IT Systems</v>
      </c>
      <c r="E652" s="9"/>
      <c r="F652" s="9"/>
      <c r="G652" s="198">
        <f t="shared" ref="G652:G661" si="51">-(G686-G522)</f>
        <v>-19.316349729699997</v>
      </c>
      <c r="H652" s="113">
        <f>H$316*H$7</f>
        <v>-34.353950132329814</v>
      </c>
      <c r="I652" s="113">
        <f t="shared" ref="I652:Q652" si="52">I$316*I$7</f>
        <v>-1.0539334066372088E-2</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9"/>
      <c r="BE652" s="9"/>
      <c r="BF652" s="9"/>
      <c r="BG652" s="9"/>
      <c r="BH652" s="9"/>
      <c r="BI652" s="9"/>
      <c r="BJ652" s="9"/>
      <c r="BK652" s="9"/>
      <c r="BL652" s="9"/>
    </row>
    <row r="653" spans="1:64" hidden="1" outlineLevel="1">
      <c r="A653" s="9"/>
      <c r="B653" s="9"/>
      <c r="C653" s="9"/>
      <c r="D653" s="132" t="str">
        <f>Asset22</f>
        <v>Office Equipment &amp; Furniture</v>
      </c>
      <c r="E653" s="9"/>
      <c r="F653" s="9"/>
      <c r="G653" s="198">
        <f t="shared" si="51"/>
        <v>-4.1600513734</v>
      </c>
      <c r="H653" s="113">
        <f>H$329*H$7</f>
        <v>-4.4656888235254035</v>
      </c>
      <c r="I653" s="113">
        <f t="shared" ref="I653:Q653" si="53">I$329*I$7</f>
        <v>-4.6143962613487997</v>
      </c>
      <c r="J653" s="113">
        <f t="shared" si="53"/>
        <v>-4.6873037222781111</v>
      </c>
      <c r="K653" s="113">
        <f t="shared" si="53"/>
        <v>-4.8044863153350637</v>
      </c>
      <c r="L653" s="113">
        <f t="shared" si="53"/>
        <v>-4.9452577643743822</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9"/>
      <c r="BE653" s="9"/>
      <c r="BF653" s="9"/>
      <c r="BG653" s="9"/>
      <c r="BH653" s="9"/>
      <c r="BI653" s="9"/>
      <c r="BJ653" s="9"/>
      <c r="BK653" s="9"/>
      <c r="BL653" s="9"/>
    </row>
    <row r="654" spans="1:64" hidden="1" outlineLevel="1">
      <c r="A654" s="9"/>
      <c r="B654" s="9"/>
      <c r="C654" s="9"/>
      <c r="D654" s="132" t="str">
        <f>Asset23</f>
        <v>Motor Vehicles</v>
      </c>
      <c r="E654" s="9"/>
      <c r="F654" s="9"/>
      <c r="G654" s="198">
        <f t="shared" si="51"/>
        <v>-28.7946059185</v>
      </c>
      <c r="H654" s="113">
        <f>H$342*H$7</f>
        <v>-15.090093469130203</v>
      </c>
      <c r="I654" s="113">
        <f t="shared" ref="I654:Q654" si="54">I$342*I$7</f>
        <v>-15.59259358165224</v>
      </c>
      <c r="J654" s="113">
        <f t="shared" si="54"/>
        <v>-15.838956560242346</v>
      </c>
      <c r="K654" s="113">
        <f t="shared" si="54"/>
        <v>-16.234930474248404</v>
      </c>
      <c r="L654" s="113">
        <f t="shared" si="54"/>
        <v>-16.710613937143886</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9"/>
      <c r="BE654" s="9"/>
      <c r="BF654" s="9"/>
      <c r="BG654" s="9"/>
      <c r="BH654" s="9"/>
      <c r="BI654" s="9"/>
      <c r="BJ654" s="9"/>
      <c r="BK654" s="9"/>
      <c r="BL654" s="9"/>
    </row>
    <row r="655" spans="1:64" hidden="1" outlineLevel="1">
      <c r="A655" s="9"/>
      <c r="B655" s="9"/>
      <c r="C655" s="9"/>
      <c r="D655" s="132" t="str">
        <f>Asset24</f>
        <v>Plant &amp; Equipment</v>
      </c>
      <c r="E655" s="9"/>
      <c r="F655" s="9"/>
      <c r="G655" s="198">
        <f t="shared" si="51"/>
        <v>-14.8864901259</v>
      </c>
      <c r="H655" s="113">
        <f>H$355*H$7</f>
        <v>-11.901173359220138</v>
      </c>
      <c r="I655" s="113">
        <f t="shared" ref="I655:Q655" si="55">I$355*I$7</f>
        <v>-12.29748243208217</v>
      </c>
      <c r="J655" s="113">
        <f t="shared" si="55"/>
        <v>-12.491782654509068</v>
      </c>
      <c r="K655" s="113">
        <f t="shared" si="55"/>
        <v>-12.804077220871795</v>
      </c>
      <c r="L655" s="113">
        <f t="shared" si="55"/>
        <v>-13.179236683443341</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9"/>
      <c r="BE655" s="9"/>
      <c r="BF655" s="9"/>
      <c r="BG655" s="9"/>
      <c r="BH655" s="9"/>
      <c r="BI655" s="9"/>
      <c r="BJ655" s="9"/>
      <c r="BK655" s="9"/>
      <c r="BL655" s="9"/>
    </row>
    <row r="656" spans="1:64" hidden="1" outlineLevel="1">
      <c r="A656" s="9"/>
      <c r="B656" s="9"/>
      <c r="C656" s="9"/>
      <c r="D656" s="132" t="str">
        <f>Asset25</f>
        <v>Buildings</v>
      </c>
      <c r="E656" s="9"/>
      <c r="F656" s="9"/>
      <c r="G656" s="198">
        <f t="shared" si="51"/>
        <v>-13.227653158799999</v>
      </c>
      <c r="H656" s="113">
        <f>H$368*H$7</f>
        <v>-24.147331725632142</v>
      </c>
      <c r="I656" s="113">
        <f t="shared" ref="I656:Q656" si="56">I$368*I$7</f>
        <v>-24.951437872095699</v>
      </c>
      <c r="J656" s="113">
        <f t="shared" si="56"/>
        <v>-25.345670590474811</v>
      </c>
      <c r="K656" s="113">
        <f t="shared" si="56"/>
        <v>-25.979312355236679</v>
      </c>
      <c r="L656" s="113">
        <f t="shared" si="56"/>
        <v>-26.740506207245119</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9"/>
      <c r="BE656" s="9"/>
      <c r="BF656" s="9"/>
      <c r="BG656" s="9"/>
      <c r="BH656" s="9"/>
      <c r="BI656" s="9"/>
      <c r="BJ656" s="9"/>
      <c r="BK656" s="9"/>
      <c r="BL656" s="9"/>
    </row>
    <row r="657" spans="1:64" hidden="1" outlineLevel="1">
      <c r="A657" s="9"/>
      <c r="B657" s="9"/>
      <c r="C657" s="9"/>
      <c r="D657" s="132" t="str">
        <f>Asset26</f>
        <v>Land &amp; Easements</v>
      </c>
      <c r="E657" s="9"/>
      <c r="F657" s="9"/>
      <c r="G657" s="198">
        <f t="shared" si="51"/>
        <v>7.0100000026940279E-8</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9"/>
      <c r="BE657" s="9"/>
      <c r="BF657" s="9"/>
      <c r="BG657" s="9"/>
      <c r="BH657" s="9"/>
      <c r="BI657" s="9"/>
      <c r="BJ657" s="9"/>
      <c r="BK657" s="9"/>
      <c r="BL657" s="9"/>
    </row>
    <row r="658" spans="1:64" hidden="1" outlineLevel="1">
      <c r="A658" s="9"/>
      <c r="B658" s="9"/>
      <c r="C658" s="9"/>
      <c r="D658" s="132" t="str">
        <f>Asset27</f>
        <v>Land Improvements</v>
      </c>
      <c r="E658" s="9"/>
      <c r="F658" s="9"/>
      <c r="G658" s="198">
        <f t="shared" si="51"/>
        <v>-0.3125732531</v>
      </c>
      <c r="H658" s="113">
        <f>H$394*H$7</f>
        <v>-0.33090148000183395</v>
      </c>
      <c r="I658" s="113">
        <f t="shared" ref="I658:Q658" si="58">I$394*I$7</f>
        <v>-0.34192049928589507</v>
      </c>
      <c r="J658" s="113">
        <f t="shared" si="58"/>
        <v>-0.34732284317461221</v>
      </c>
      <c r="K658" s="113">
        <f t="shared" si="58"/>
        <v>-0.35600591425397754</v>
      </c>
      <c r="L658" s="113">
        <f t="shared" si="58"/>
        <v>-0.36643688754161913</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9"/>
      <c r="BE658" s="9"/>
      <c r="BF658" s="9"/>
      <c r="BG658" s="9"/>
      <c r="BH658" s="9"/>
      <c r="BI658" s="9"/>
      <c r="BJ658" s="9"/>
      <c r="BK658" s="9"/>
      <c r="BL658" s="9"/>
    </row>
    <row r="659" spans="1:64" hidden="1" outlineLevel="1">
      <c r="A659" s="9"/>
      <c r="B659" s="9"/>
      <c r="C659" s="9"/>
      <c r="D659" s="132" t="str">
        <f>Asset28</f>
        <v>Equity Raising Costs</v>
      </c>
      <c r="E659" s="9"/>
      <c r="F659" s="9"/>
      <c r="G659" s="198">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9"/>
      <c r="BE659" s="9"/>
      <c r="BF659" s="9"/>
      <c r="BG659" s="9"/>
      <c r="BH659" s="9"/>
      <c r="BI659" s="9"/>
      <c r="BJ659" s="9"/>
      <c r="BK659" s="9"/>
      <c r="BL659" s="9"/>
    </row>
    <row r="660" spans="1:64" hidden="1" outlineLevel="1">
      <c r="A660" s="9"/>
      <c r="B660" s="9"/>
      <c r="C660" s="9"/>
      <c r="D660" s="132" t="str">
        <f>Asset29</f>
        <v>Not Used</v>
      </c>
      <c r="E660" s="9"/>
      <c r="F660" s="9"/>
      <c r="G660" s="198">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9"/>
      <c r="BE660" s="9"/>
      <c r="BF660" s="9"/>
      <c r="BG660" s="9"/>
      <c r="BH660" s="9"/>
      <c r="BI660" s="9"/>
      <c r="BJ660" s="9"/>
      <c r="BK660" s="9"/>
      <c r="BL660" s="9"/>
    </row>
    <row r="661" spans="1:64" hidden="1" outlineLevel="1">
      <c r="A661" s="9"/>
      <c r="B661" s="9"/>
      <c r="C661" s="9"/>
      <c r="D661" s="132" t="str">
        <f>Asset30</f>
        <v>Not Used</v>
      </c>
      <c r="E661" s="9"/>
      <c r="F661" s="9"/>
      <c r="G661" s="198">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9"/>
      <c r="BE661" s="9"/>
      <c r="BF661" s="9"/>
      <c r="BG661" s="9"/>
      <c r="BH661" s="9"/>
      <c r="BI661" s="9"/>
      <c r="BJ661" s="9"/>
      <c r="BK661" s="9"/>
      <c r="BL661" s="9"/>
    </row>
    <row r="662" spans="1:64" hidden="1" outlineLevel="1">
      <c r="A662" s="9"/>
      <c r="B662" s="9"/>
      <c r="C662" s="9"/>
      <c r="D662" s="132"/>
      <c r="E662" s="9"/>
      <c r="F662" s="9"/>
      <c r="G662" s="198"/>
      <c r="H662" s="113"/>
      <c r="I662" s="113"/>
      <c r="J662" s="113"/>
      <c r="K662" s="113"/>
      <c r="L662" s="113"/>
      <c r="M662" s="113"/>
      <c r="N662" s="113"/>
      <c r="O662" s="113"/>
      <c r="P662" s="113"/>
      <c r="Q662" s="113"/>
      <c r="R662" s="9"/>
      <c r="S662" s="9"/>
      <c r="T662" s="9"/>
      <c r="U662" s="9"/>
      <c r="V662" s="9"/>
      <c r="W662" s="9"/>
      <c r="X662" s="9"/>
      <c r="Y662" s="9"/>
      <c r="Z662" s="9"/>
      <c r="AA662" s="9"/>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9"/>
      <c r="BE662" s="9"/>
      <c r="BF662" s="9"/>
      <c r="BG662" s="9"/>
      <c r="BH662" s="9"/>
      <c r="BI662" s="9"/>
      <c r="BJ662" s="9"/>
      <c r="BK662" s="9"/>
      <c r="BL662" s="9"/>
    </row>
    <row r="663" spans="1:64" hidden="1" outlineLevel="1">
      <c r="A663" s="9"/>
      <c r="B663" s="9"/>
      <c r="C663" s="9"/>
      <c r="D663" s="132"/>
      <c r="E663" s="9"/>
      <c r="F663" s="9"/>
      <c r="G663" s="198"/>
      <c r="H663" s="113"/>
      <c r="I663" s="113"/>
      <c r="J663" s="113"/>
      <c r="K663" s="113"/>
      <c r="L663" s="113"/>
      <c r="M663" s="113"/>
      <c r="N663" s="113"/>
      <c r="O663" s="113"/>
      <c r="P663" s="113"/>
      <c r="Q663" s="113"/>
      <c r="R663" s="9"/>
      <c r="S663" s="9"/>
      <c r="T663" s="9"/>
      <c r="U663" s="9"/>
      <c r="V663" s="9"/>
      <c r="W663" s="9"/>
      <c r="X663" s="9"/>
      <c r="Y663" s="9"/>
      <c r="Z663" s="9"/>
      <c r="AA663" s="9"/>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9"/>
      <c r="BE663" s="9"/>
      <c r="BF663" s="9"/>
      <c r="BG663" s="9"/>
      <c r="BH663" s="9"/>
      <c r="BI663" s="9"/>
      <c r="BJ663" s="9"/>
      <c r="BK663" s="9"/>
      <c r="BL663" s="9"/>
    </row>
    <row r="664" spans="1:64" collapsed="1">
      <c r="A664" s="9"/>
      <c r="B664" s="9"/>
      <c r="C664" s="9"/>
      <c r="D664" s="9"/>
      <c r="E664" s="9"/>
      <c r="F664" s="9"/>
      <c r="G664" s="198"/>
      <c r="H664" s="9"/>
      <c r="I664" s="9"/>
      <c r="J664" s="9"/>
      <c r="K664" s="9"/>
      <c r="L664" s="9"/>
      <c r="M664" s="9"/>
      <c r="N664" s="9"/>
      <c r="O664" s="9"/>
      <c r="P664" s="9"/>
      <c r="Q664" s="9"/>
      <c r="R664" s="9"/>
      <c r="S664" s="9"/>
      <c r="T664" s="9"/>
      <c r="U664" s="9"/>
      <c r="V664" s="9"/>
      <c r="W664" s="9"/>
      <c r="X664" s="9"/>
      <c r="Y664" s="9"/>
      <c r="Z664" s="9"/>
      <c r="AA664" s="9"/>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9"/>
      <c r="BE664" s="9"/>
      <c r="BF664" s="9"/>
      <c r="BG664" s="9"/>
      <c r="BH664" s="9"/>
      <c r="BI664" s="9"/>
      <c r="BJ664" s="9"/>
      <c r="BK664" s="9"/>
      <c r="BL664" s="9"/>
    </row>
    <row r="665" spans="1:64" ht="12" customHeight="1">
      <c r="A665" s="9"/>
      <c r="B665" s="12"/>
      <c r="C665" s="91" t="s">
        <v>47</v>
      </c>
      <c r="D665" s="12"/>
      <c r="E665" s="12"/>
      <c r="F665" s="12"/>
      <c r="G665" s="202">
        <f>SUM(G666:G695)</f>
        <v>186.48123678389999</v>
      </c>
      <c r="H665" s="123">
        <f>SUM(H666:H695)</f>
        <v>238.05998588250006</v>
      </c>
      <c r="I665" s="123">
        <f>SUM(I666:I695)</f>
        <v>111.21613074746682</v>
      </c>
      <c r="J665" s="123">
        <f t="shared" ref="J665:Q665" si="62">SUM(J666:J695)</f>
        <v>170.65243554226291</v>
      </c>
      <c r="K665" s="123">
        <f t="shared" si="62"/>
        <v>195.35848926104921</v>
      </c>
      <c r="L665" s="123">
        <f t="shared" si="62"/>
        <v>86.895407095309707</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12"/>
      <c r="BE665" s="12"/>
      <c r="BF665" s="12"/>
      <c r="BG665" s="12"/>
      <c r="BH665" s="12"/>
      <c r="BI665" s="12"/>
      <c r="BJ665" s="12"/>
      <c r="BK665" s="12"/>
      <c r="BL665" s="12"/>
    </row>
    <row r="666" spans="1:64" ht="12" hidden="1" customHeight="1" outlineLevel="1">
      <c r="A666" s="9"/>
      <c r="B666" s="9"/>
      <c r="C666" s="9"/>
      <c r="D666" s="132" t="str">
        <f>Asset1</f>
        <v>Overhead Sub-Transmission Lines</v>
      </c>
      <c r="E666" s="9"/>
      <c r="F666" s="9"/>
      <c r="G666" s="198">
        <f>G438*G$6</f>
        <v>28.717781540699999</v>
      </c>
      <c r="H666" s="113">
        <f>H438*H$6</f>
        <v>35.185880798100001</v>
      </c>
      <c r="I666" s="113">
        <f t="shared" ref="I666:Q666" si="63">I438*I$6</f>
        <v>16.76191605111995</v>
      </c>
      <c r="J666" s="113">
        <f t="shared" si="63"/>
        <v>26.141856562036107</v>
      </c>
      <c r="K666" s="113">
        <f t="shared" si="63"/>
        <v>30.452738231778167</v>
      </c>
      <c r="L666" s="113">
        <f t="shared" si="63"/>
        <v>13.78558279771679</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12"/>
      <c r="BE666" s="12"/>
      <c r="BF666" s="12"/>
      <c r="BG666" s="12"/>
      <c r="BH666" s="12"/>
      <c r="BI666" s="12"/>
      <c r="BJ666" s="12"/>
      <c r="BK666" s="12"/>
      <c r="BL666" s="12"/>
    </row>
    <row r="667" spans="1:64" hidden="1" outlineLevel="1">
      <c r="A667" s="9"/>
      <c r="B667" s="9"/>
      <c r="C667" s="9"/>
      <c r="D667" s="132" t="str">
        <f>Asset2</f>
        <v>Underground Sub-Transmission Cables</v>
      </c>
      <c r="E667" s="9"/>
      <c r="F667" s="9"/>
      <c r="G667" s="198">
        <f t="shared" ref="G667:H695" si="64">G439*G$6</f>
        <v>1.0918149495999998</v>
      </c>
      <c r="H667" s="113">
        <f t="shared" si="64"/>
        <v>1.7367965982</v>
      </c>
      <c r="I667" s="113">
        <f t="shared" ref="I667:Q667" si="65">I439*I$6</f>
        <v>0.81498530288390925</v>
      </c>
      <c r="J667" s="113">
        <f t="shared" si="65"/>
        <v>1.250196456129939</v>
      </c>
      <c r="K667" s="113">
        <f t="shared" si="65"/>
        <v>1.4307729544690042</v>
      </c>
      <c r="L667" s="113">
        <f t="shared" si="65"/>
        <v>0.63541741941601237</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102"/>
      <c r="BE667" s="102"/>
      <c r="BF667" s="102"/>
      <c r="BG667" s="102"/>
      <c r="BH667" s="102"/>
      <c r="BI667" s="102"/>
      <c r="BJ667" s="102"/>
      <c r="BK667" s="12"/>
      <c r="BL667" s="12"/>
    </row>
    <row r="668" spans="1:64" ht="12" hidden="1" customHeight="1" outlineLevel="1">
      <c r="A668" s="9"/>
      <c r="B668" s="9"/>
      <c r="C668" s="9"/>
      <c r="D668" s="132" t="str">
        <f>Asset3</f>
        <v>Overhead Distribution Lines</v>
      </c>
      <c r="E668" s="9"/>
      <c r="F668" s="9"/>
      <c r="G668" s="198">
        <f t="shared" si="64"/>
        <v>59.290029292299991</v>
      </c>
      <c r="H668" s="113">
        <f t="shared" si="64"/>
        <v>72.909709874100002</v>
      </c>
      <c r="I668" s="113">
        <f t="shared" ref="I668:Q668" si="66">I440*I$6</f>
        <v>34.724898480981629</v>
      </c>
      <c r="J668" s="113">
        <f t="shared" si="66"/>
        <v>54.143489958868251</v>
      </c>
      <c r="K668" s="113">
        <f t="shared" si="66"/>
        <v>63.055490936798975</v>
      </c>
      <c r="L668" s="113">
        <f t="shared" si="66"/>
        <v>28.536559973257692</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12"/>
      <c r="BE668" s="12"/>
      <c r="BF668" s="12"/>
      <c r="BG668" s="12"/>
      <c r="BH668" s="12"/>
      <c r="BI668" s="12"/>
      <c r="BJ668" s="12"/>
      <c r="BK668" s="12"/>
      <c r="BL668" s="12"/>
    </row>
    <row r="669" spans="1:64" ht="12" hidden="1" customHeight="1" outlineLevel="1">
      <c r="A669" s="9"/>
      <c r="B669" s="9"/>
      <c r="C669" s="9"/>
      <c r="D669" s="132" t="str">
        <f>Asset4</f>
        <v>Underground Distribution Cables</v>
      </c>
      <c r="E669" s="9"/>
      <c r="F669" s="9"/>
      <c r="G669" s="198">
        <f t="shared" si="64"/>
        <v>15.3059666736</v>
      </c>
      <c r="H669" s="113">
        <f t="shared" si="64"/>
        <v>21.182918244300005</v>
      </c>
      <c r="I669" s="113">
        <f t="shared" ref="I669:Q669" si="67">I441*I$6</f>
        <v>10.165691412237658</v>
      </c>
      <c r="J669" s="113">
        <f t="shared" si="67"/>
        <v>15.979808344764633</v>
      </c>
      <c r="K669" s="113">
        <f t="shared" si="67"/>
        <v>18.768804235710384</v>
      </c>
      <c r="L669" s="113">
        <f t="shared" si="67"/>
        <v>8.5702372877283715</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12"/>
      <c r="BE669" s="12"/>
      <c r="BF669" s="12"/>
      <c r="BG669" s="12"/>
      <c r="BH669" s="12"/>
      <c r="BI669" s="12"/>
      <c r="BJ669" s="12"/>
      <c r="BK669" s="12"/>
      <c r="BL669" s="12"/>
    </row>
    <row r="670" spans="1:64" ht="12" hidden="1" customHeight="1" outlineLevel="1">
      <c r="A670" s="9"/>
      <c r="B670" s="9"/>
      <c r="C670" s="9"/>
      <c r="D670" s="132" t="str">
        <f>Asset5</f>
        <v xml:space="preserve">Distribution Equipment  </v>
      </c>
      <c r="E670" s="9"/>
      <c r="F670" s="9"/>
      <c r="G670" s="198">
        <f t="shared" si="64"/>
        <v>1.4678081112000001</v>
      </c>
      <c r="H670" s="113">
        <f t="shared" si="64"/>
        <v>2.2338494145000007</v>
      </c>
      <c r="I670" s="113">
        <f t="shared" ref="I670:Q670" si="68">I442*I$6</f>
        <v>1.0380092632859934</v>
      </c>
      <c r="J670" s="113">
        <f t="shared" si="68"/>
        <v>1.5748659736869992</v>
      </c>
      <c r="K670" s="113">
        <f t="shared" si="68"/>
        <v>1.7805683623726192</v>
      </c>
      <c r="L670" s="113">
        <f t="shared" si="68"/>
        <v>0.78013257585958229</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12"/>
      <c r="BE670" s="12"/>
      <c r="BF670" s="12"/>
      <c r="BG670" s="12"/>
      <c r="BH670" s="12"/>
      <c r="BI670" s="12"/>
      <c r="BJ670" s="12"/>
      <c r="BK670" s="12"/>
      <c r="BL670" s="12"/>
    </row>
    <row r="671" spans="1:64" hidden="1" outlineLevel="1">
      <c r="A671" s="9"/>
      <c r="B671" s="9"/>
      <c r="C671" s="9"/>
      <c r="D671" s="132" t="str">
        <f>Asset6</f>
        <v>Substation Bays</v>
      </c>
      <c r="E671" s="9"/>
      <c r="F671" s="9"/>
      <c r="G671" s="198">
        <f t="shared" si="64"/>
        <v>21.068594276700001</v>
      </c>
      <c r="H671" s="113">
        <f t="shared" si="64"/>
        <v>27.528814828800005</v>
      </c>
      <c r="I671" s="113">
        <f t="shared" ref="I671:Q671" si="69">I443*I$6</f>
        <v>13.085278768441745</v>
      </c>
      <c r="J671" s="113">
        <f t="shared" si="69"/>
        <v>20.359066798085237</v>
      </c>
      <c r="K671" s="113">
        <f t="shared" si="69"/>
        <v>23.656580776797547</v>
      </c>
      <c r="L671" s="113">
        <f t="shared" si="69"/>
        <v>10.68036902773281</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12"/>
      <c r="BE671" s="12"/>
      <c r="BF671" s="12"/>
      <c r="BG671" s="12"/>
      <c r="BH671" s="12"/>
      <c r="BI671" s="12"/>
      <c r="BJ671" s="12"/>
      <c r="BK671" s="12"/>
      <c r="BL671" s="12"/>
    </row>
    <row r="672" spans="1:64" hidden="1" outlineLevel="1">
      <c r="A672" s="9"/>
      <c r="B672" s="9"/>
      <c r="C672" s="9"/>
      <c r="D672" s="132" t="str">
        <f>Asset7</f>
        <v>Substation Establishment</v>
      </c>
      <c r="E672" s="9"/>
      <c r="F672" s="9"/>
      <c r="G672" s="198">
        <f t="shared" si="64"/>
        <v>7.4699632493000001</v>
      </c>
      <c r="H672" s="113">
        <f t="shared" si="64"/>
        <v>9.5429873934000025</v>
      </c>
      <c r="I672" s="113">
        <f t="shared" ref="I672:Q672" si="70">I444*I$6</f>
        <v>4.5294853419887113</v>
      </c>
      <c r="J672" s="113">
        <f t="shared" si="70"/>
        <v>7.0362106595735199</v>
      </c>
      <c r="K672" s="113">
        <f t="shared" si="70"/>
        <v>8.1621925490889424</v>
      </c>
      <c r="L672" s="113">
        <f t="shared" si="70"/>
        <v>3.6784610231558905</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9"/>
      <c r="BE672" s="9"/>
      <c r="BF672" s="9"/>
      <c r="BG672" s="9"/>
      <c r="BH672" s="9"/>
      <c r="BI672" s="9"/>
      <c r="BJ672" s="9"/>
      <c r="BK672" s="9"/>
      <c r="BL672" s="9"/>
    </row>
    <row r="673" spans="1:64" hidden="1" outlineLevel="1">
      <c r="A673" s="9"/>
      <c r="B673" s="9"/>
      <c r="C673" s="9"/>
      <c r="D673" s="132" t="str">
        <f>Asset8</f>
        <v>Distribution Substation Switchgear</v>
      </c>
      <c r="E673" s="9"/>
      <c r="F673" s="9"/>
      <c r="G673" s="198">
        <f t="shared" si="64"/>
        <v>2.5151809298000001</v>
      </c>
      <c r="H673" s="113">
        <f t="shared" si="64"/>
        <v>3.1274045982000005</v>
      </c>
      <c r="I673" s="113">
        <f t="shared" ref="I673:Q673" si="71">I445*I$6</f>
        <v>1.4901024744523108</v>
      </c>
      <c r="J673" s="113">
        <f t="shared" si="71"/>
        <v>2.3244048880408434</v>
      </c>
      <c r="K673" s="113">
        <f t="shared" si="71"/>
        <v>2.7082513901393921</v>
      </c>
      <c r="L673" s="113">
        <f t="shared" si="71"/>
        <v>1.2262534403128111</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9"/>
      <c r="BE673" s="9"/>
      <c r="BF673" s="9"/>
      <c r="BG673" s="9"/>
      <c r="BH673" s="9"/>
      <c r="BI673" s="9"/>
      <c r="BJ673" s="9"/>
      <c r="BK673" s="9"/>
      <c r="BL673" s="9"/>
    </row>
    <row r="674" spans="1:64" hidden="1" outlineLevel="1">
      <c r="A674" s="9"/>
      <c r="B674" s="9"/>
      <c r="C674" s="9"/>
      <c r="D674" s="132" t="str">
        <f>Asset9</f>
        <v>Zone Transformers</v>
      </c>
      <c r="E674" s="9"/>
      <c r="F674" s="9"/>
      <c r="G674" s="198">
        <f t="shared" si="64"/>
        <v>6.3055635798999994</v>
      </c>
      <c r="H674" s="113">
        <f t="shared" si="64"/>
        <v>8.0262300357000012</v>
      </c>
      <c r="I674" s="113">
        <f t="shared" ref="I674:Q674" si="72">I446*I$6</f>
        <v>3.7928020697469274</v>
      </c>
      <c r="J674" s="113">
        <f t="shared" si="72"/>
        <v>5.8635089448090589</v>
      </c>
      <c r="K674" s="113">
        <f t="shared" si="72"/>
        <v>6.7669424683690194</v>
      </c>
      <c r="L674" s="113">
        <f t="shared" si="72"/>
        <v>3.0328542812395498</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9"/>
      <c r="BE674" s="9"/>
      <c r="BF674" s="9"/>
      <c r="BG674" s="9"/>
      <c r="BH674" s="9"/>
      <c r="BI674" s="9"/>
      <c r="BJ674" s="9"/>
      <c r="BK674" s="9"/>
      <c r="BL674" s="9"/>
    </row>
    <row r="675" spans="1:64" hidden="1" outlineLevel="1">
      <c r="A675" s="9"/>
      <c r="B675" s="9"/>
      <c r="C675" s="9"/>
      <c r="D675" s="132" t="str">
        <f>Asset10</f>
        <v>Distribution Transformers</v>
      </c>
      <c r="E675" s="9"/>
      <c r="F675" s="9"/>
      <c r="G675" s="198">
        <f t="shared" si="64"/>
        <v>21.356223116199999</v>
      </c>
      <c r="H675" s="113">
        <f t="shared" si="64"/>
        <v>27.484434520200001</v>
      </c>
      <c r="I675" s="113">
        <f t="shared" ref="I675:Q675" si="73">I447*I$6</f>
        <v>12.872377456570703</v>
      </c>
      <c r="J675" s="113">
        <f t="shared" si="73"/>
        <v>19.704362705446595</v>
      </c>
      <c r="K675" s="113">
        <f t="shared" si="73"/>
        <v>22.498033243262977</v>
      </c>
      <c r="L675" s="113">
        <f t="shared" si="73"/>
        <v>9.965961220422864</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9"/>
      <c r="BE675" s="9"/>
      <c r="BF675" s="9"/>
      <c r="BG675" s="9"/>
      <c r="BH675" s="9"/>
      <c r="BI675" s="9"/>
      <c r="BJ675" s="9"/>
      <c r="BK675" s="9"/>
      <c r="BL675" s="9"/>
    </row>
    <row r="676" spans="1:64" hidden="1" outlineLevel="1">
      <c r="A676" s="9"/>
      <c r="B676" s="9"/>
      <c r="C676" s="9"/>
      <c r="D676" s="132" t="str">
        <f>Asset11</f>
        <v>Low Voltage Services</v>
      </c>
      <c r="E676" s="9"/>
      <c r="F676" s="9"/>
      <c r="G676" s="198">
        <f t="shared" si="64"/>
        <v>3.0088557005999998</v>
      </c>
      <c r="H676" s="113">
        <f t="shared" si="64"/>
        <v>3.1087925622000006</v>
      </c>
      <c r="I676" s="113">
        <f t="shared" ref="I676:Q676" si="74">I448*I$6</f>
        <v>1.1502553851827049</v>
      </c>
      <c r="J676" s="113">
        <f t="shared" si="74"/>
        <v>1.2374558346419056</v>
      </c>
      <c r="K676" s="113">
        <f t="shared" si="74"/>
        <v>0.75876264896927037</v>
      </c>
      <c r="L676" s="113">
        <f t="shared" si="74"/>
        <v>1.5890333087689359E-2</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9"/>
      <c r="BE676" s="9"/>
      <c r="BF676" s="9"/>
      <c r="BG676" s="9"/>
      <c r="BH676" s="9"/>
      <c r="BI676" s="9"/>
      <c r="BJ676" s="9"/>
      <c r="BK676" s="9"/>
      <c r="BL676" s="9"/>
    </row>
    <row r="677" spans="1:64" hidden="1" outlineLevel="1">
      <c r="A677" s="9"/>
      <c r="B677" s="9"/>
      <c r="C677" s="9"/>
      <c r="D677" s="132" t="str">
        <f>Asset12</f>
        <v>Metering</v>
      </c>
      <c r="E677" s="9"/>
      <c r="F677" s="9"/>
      <c r="G677" s="198">
        <f t="shared" si="64"/>
        <v>1.8306646043999999</v>
      </c>
      <c r="H677" s="113">
        <f t="shared" si="64"/>
        <v>2.1979705626000001</v>
      </c>
      <c r="I677" s="113">
        <f t="shared" ref="I677:Q677" si="75">I449*I$6</f>
        <v>0.86346803053012</v>
      </c>
      <c r="J677" s="113">
        <f t="shared" si="75"/>
        <v>1.0377201008691495</v>
      </c>
      <c r="K677" s="113">
        <f t="shared" si="75"/>
        <v>0.82979689289826564</v>
      </c>
      <c r="L677" s="113">
        <f t="shared" si="75"/>
        <v>0.19376841310580281</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9"/>
      <c r="BE677" s="9"/>
      <c r="BF677" s="9"/>
      <c r="BG677" s="9"/>
      <c r="BH677" s="9"/>
      <c r="BI677" s="9"/>
      <c r="BJ677" s="9"/>
      <c r="BK677" s="9"/>
      <c r="BL677" s="9"/>
    </row>
    <row r="678" spans="1:64" hidden="1" outlineLevel="1">
      <c r="A678" s="9"/>
      <c r="B678" s="9"/>
      <c r="C678" s="9"/>
      <c r="D678" s="132" t="str">
        <f>Asset13</f>
        <v xml:space="preserve">Communications – Pilot Wires </v>
      </c>
      <c r="E678" s="9"/>
      <c r="F678" s="9"/>
      <c r="G678" s="198">
        <f t="shared" si="64"/>
        <v>1.2524866959999998</v>
      </c>
      <c r="H678" s="113">
        <f t="shared" si="64"/>
        <v>2.6777590938000007</v>
      </c>
      <c r="I678" s="113">
        <f t="shared" ref="I678:Q678" si="76">I450*I$6</f>
        <v>1.2473113791320143</v>
      </c>
      <c r="J678" s="113">
        <f t="shared" si="76"/>
        <v>1.8976445326672751</v>
      </c>
      <c r="K678" s="113">
        <f t="shared" si="76"/>
        <v>2.1520976001640419</v>
      </c>
      <c r="L678" s="113">
        <f t="shared" si="76"/>
        <v>0.94617140237211494</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9"/>
      <c r="BE678" s="9"/>
      <c r="BF678" s="9"/>
      <c r="BG678" s="9"/>
      <c r="BH678" s="9"/>
      <c r="BI678" s="9"/>
      <c r="BJ678" s="9"/>
      <c r="BK678" s="9"/>
      <c r="BL678" s="9"/>
    </row>
    <row r="679" spans="1:64" hidden="1" outlineLevel="1">
      <c r="A679" s="9"/>
      <c r="B679" s="9"/>
      <c r="C679" s="9"/>
      <c r="D679" s="132" t="str">
        <f>Asset14</f>
        <v>Generation Assets</v>
      </c>
      <c r="E679" s="9"/>
      <c r="F679" s="9"/>
      <c r="G679" s="198">
        <f t="shared" si="64"/>
        <v>0.11227008419999999</v>
      </c>
      <c r="H679" s="113">
        <f t="shared" si="64"/>
        <v>0.11547341100000001</v>
      </c>
      <c r="I679" s="113">
        <f t="shared" ref="I679:Q679" si="77">I451*I$6</f>
        <v>4.6563153917075453E-2</v>
      </c>
      <c r="J679" s="113">
        <f t="shared" si="77"/>
        <v>5.8407686271227471E-2</v>
      </c>
      <c r="K679" s="113">
        <f t="shared" si="77"/>
        <v>5.0602248032132667E-2</v>
      </c>
      <c r="L679" s="113">
        <f t="shared" si="77"/>
        <v>1.4540538560819946E-2</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9"/>
      <c r="BE679" s="9"/>
      <c r="BF679" s="9"/>
      <c r="BG679" s="9"/>
      <c r="BH679" s="9"/>
      <c r="BI679" s="9"/>
      <c r="BJ679" s="9"/>
      <c r="BK679" s="9"/>
      <c r="BL679" s="9"/>
    </row>
    <row r="680" spans="1:64" hidden="1" outlineLevel="1">
      <c r="A680" s="9"/>
      <c r="B680" s="9"/>
      <c r="C680" s="9"/>
      <c r="D680" s="132" t="str">
        <f>Asset15</f>
        <v>Street Lighting</v>
      </c>
      <c r="E680" s="9"/>
      <c r="F680" s="9"/>
      <c r="G680" s="198">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9"/>
      <c r="BE680" s="9"/>
      <c r="BF680" s="9"/>
      <c r="BG680" s="9"/>
      <c r="BH680" s="9"/>
      <c r="BI680" s="9"/>
      <c r="BJ680" s="9"/>
      <c r="BK680" s="9"/>
      <c r="BL680" s="9"/>
    </row>
    <row r="681" spans="1:64" hidden="1" outlineLevel="1">
      <c r="A681" s="9"/>
      <c r="B681" s="9"/>
      <c r="C681" s="9"/>
      <c r="D681" s="132" t="str">
        <f>Asset16</f>
        <v>Other Equipment</v>
      </c>
      <c r="E681" s="9"/>
      <c r="F681" s="9"/>
      <c r="G681" s="198">
        <f t="shared" si="64"/>
        <v>0.51993085429999997</v>
      </c>
      <c r="H681" s="113">
        <f t="shared" si="64"/>
        <v>0.60536975760000011</v>
      </c>
      <c r="I681" s="113">
        <f t="shared" ref="I681:Q681" si="79">I453*I$6</f>
        <v>0.28876335194696806</v>
      </c>
      <c r="J681" s="113">
        <f t="shared" si="79"/>
        <v>0.4509878058387794</v>
      </c>
      <c r="K681" s="113">
        <f t="shared" si="79"/>
        <v>0.52613382645234752</v>
      </c>
      <c r="L681" s="113">
        <f t="shared" si="79"/>
        <v>0.23854697397267735</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9"/>
      <c r="BE681" s="9"/>
      <c r="BF681" s="9"/>
      <c r="BG681" s="9"/>
      <c r="BH681" s="9"/>
      <c r="BI681" s="9"/>
      <c r="BJ681" s="9"/>
      <c r="BK681" s="9"/>
      <c r="BL681" s="9"/>
    </row>
    <row r="682" spans="1:64" hidden="1" outlineLevel="1">
      <c r="A682" s="9"/>
      <c r="B682" s="9"/>
      <c r="C682" s="9"/>
      <c r="D682" s="132" t="str">
        <f>Asset17</f>
        <v>Control Centre - SCADA</v>
      </c>
      <c r="E682" s="9"/>
      <c r="F682" s="9"/>
      <c r="G682" s="198">
        <f t="shared" si="64"/>
        <v>1.2106230229999999</v>
      </c>
      <c r="H682" s="113">
        <f t="shared" si="64"/>
        <v>1.4682801834000001</v>
      </c>
      <c r="I682" s="113">
        <f t="shared" ref="I682:Q682" si="80">I454*I$6</f>
        <v>0.51106674145799846</v>
      </c>
      <c r="J682" s="113">
        <f t="shared" si="80"/>
        <v>0.48005572276970021</v>
      </c>
      <c r="K682" s="113">
        <f t="shared" si="80"/>
        <v>0.17028293097662653</v>
      </c>
      <c r="L682" s="113">
        <f t="shared" si="80"/>
        <v>-2.3219212124723472E-3</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9"/>
      <c r="BE682" s="9"/>
      <c r="BF682" s="9"/>
      <c r="BG682" s="9"/>
      <c r="BH682" s="9"/>
      <c r="BI682" s="9"/>
      <c r="BJ682" s="9"/>
      <c r="BK682" s="9"/>
      <c r="BL682" s="9"/>
    </row>
    <row r="683" spans="1:64" hidden="1" outlineLevel="1">
      <c r="A683" s="9"/>
      <c r="B683" s="9"/>
      <c r="C683" s="9"/>
      <c r="D683" s="132" t="str">
        <f>Asset18</f>
        <v>Land &amp; Easements (System)</v>
      </c>
      <c r="E683" s="9"/>
      <c r="F683" s="9"/>
      <c r="G683" s="198">
        <f t="shared" si="64"/>
        <v>1.7665653002999999</v>
      </c>
      <c r="H683" s="113">
        <f t="shared" si="64"/>
        <v>2.6882243847000002</v>
      </c>
      <c r="I683" s="113">
        <f t="shared" ref="I683:Q683" si="81">I455*I$6</f>
        <v>1.3179677974782602</v>
      </c>
      <c r="J683" s="113">
        <f t="shared" si="81"/>
        <v>2.1183412795544565</v>
      </c>
      <c r="K683" s="113">
        <f t="shared" si="81"/>
        <v>2.5447633791287685</v>
      </c>
      <c r="L683" s="113">
        <f t="shared" si="81"/>
        <v>1.1889768526834577</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9"/>
      <c r="BE683" s="9"/>
      <c r="BF683" s="9"/>
      <c r="BG683" s="9"/>
      <c r="BH683" s="9"/>
      <c r="BI683" s="9"/>
      <c r="BJ683" s="9"/>
      <c r="BK683" s="9"/>
      <c r="BL683" s="9"/>
    </row>
    <row r="684" spans="1:64" hidden="1" outlineLevel="1">
      <c r="A684" s="9"/>
      <c r="B684" s="9"/>
      <c r="C684" s="9"/>
      <c r="D684" s="132" t="str">
        <f>Asset19</f>
        <v>Metering Type 5-6</v>
      </c>
      <c r="E684" s="9"/>
      <c r="F684" s="9"/>
      <c r="G684" s="198">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9"/>
      <c r="BE684" s="9"/>
      <c r="BF684" s="9"/>
      <c r="BG684" s="9"/>
      <c r="BH684" s="9"/>
      <c r="BI684" s="9"/>
      <c r="BJ684" s="9"/>
      <c r="BK684" s="9"/>
      <c r="BL684" s="9"/>
    </row>
    <row r="685" spans="1:64" hidden="1" outlineLevel="1">
      <c r="A685" s="9"/>
      <c r="B685" s="9"/>
      <c r="C685" s="9"/>
      <c r="D685" s="132" t="str">
        <f>Asset20</f>
        <v>Communications</v>
      </c>
      <c r="E685" s="9"/>
      <c r="F685" s="9"/>
      <c r="G685" s="198">
        <f t="shared" si="64"/>
        <v>0.26105731249999997</v>
      </c>
      <c r="H685" s="113">
        <f t="shared" si="64"/>
        <v>0.26837602200000005</v>
      </c>
      <c r="I685" s="113">
        <f t="shared" ref="I685:Q685" si="83">I457*I$6</f>
        <v>0.11172346507633393</v>
      </c>
      <c r="J685" s="113">
        <f t="shared" si="83"/>
        <v>0.14710932695015944</v>
      </c>
      <c r="K685" s="113">
        <f t="shared" si="83"/>
        <v>0.13807657324101183</v>
      </c>
      <c r="L685" s="113">
        <f t="shared" si="83"/>
        <v>4.6531937911011609E-2</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9"/>
      <c r="BE685" s="9"/>
      <c r="BF685" s="9"/>
      <c r="BG685" s="9"/>
      <c r="BH685" s="9"/>
      <c r="BI685" s="9"/>
      <c r="BJ685" s="9"/>
      <c r="BK685" s="9"/>
      <c r="BL685" s="9"/>
    </row>
    <row r="686" spans="1:64" hidden="1" outlineLevel="1">
      <c r="A686" s="9"/>
      <c r="B686" s="9"/>
      <c r="C686" s="9"/>
      <c r="D686" s="132" t="str">
        <f>Asset21</f>
        <v>IT Systems</v>
      </c>
      <c r="E686" s="9"/>
      <c r="F686" s="9"/>
      <c r="G686" s="198">
        <f t="shared" si="64"/>
        <v>1.1009707296999998</v>
      </c>
      <c r="H686" s="113">
        <f t="shared" si="64"/>
        <v>1.1121840693000002</v>
      </c>
      <c r="I686" s="113">
        <f t="shared" ref="I686:Q686" si="84">I458*I$6</f>
        <v>2.4830480041289548E-3</v>
      </c>
      <c r="J686" s="113">
        <f t="shared" si="84"/>
        <v>3.7274662726985972E-3</v>
      </c>
      <c r="K686" s="113">
        <f t="shared" si="84"/>
        <v>4.4778052333928247E-3</v>
      </c>
      <c r="L686" s="113">
        <f t="shared" si="84"/>
        <v>2.0921421681066696E-3</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9"/>
      <c r="BE686" s="9"/>
      <c r="BF686" s="9"/>
      <c r="BG686" s="9"/>
      <c r="BH686" s="9"/>
      <c r="BI686" s="9"/>
      <c r="BJ686" s="9"/>
      <c r="BK686" s="9"/>
      <c r="BL686" s="9"/>
    </row>
    <row r="687" spans="1:64" hidden="1" outlineLevel="1">
      <c r="A687" s="9"/>
      <c r="B687" s="9"/>
      <c r="C687" s="9"/>
      <c r="D687" s="132" t="str">
        <f>Asset22</f>
        <v>Office Equipment &amp; Furniture</v>
      </c>
      <c r="E687" s="9"/>
      <c r="F687" s="9"/>
      <c r="G687" s="198">
        <f t="shared" si="64"/>
        <v>0.74614037339999995</v>
      </c>
      <c r="H687" s="113">
        <f t="shared" si="64"/>
        <v>0.75651059880000016</v>
      </c>
      <c r="I687" s="113">
        <f t="shared" ref="I687:Q687" si="85">I459*I$6</f>
        <v>0.30033995284933868</v>
      </c>
      <c r="J687" s="113">
        <f t="shared" si="85"/>
        <v>0.36737003666937845</v>
      </c>
      <c r="K687" s="113">
        <f t="shared" si="85"/>
        <v>0.30398362598817563</v>
      </c>
      <c r="L687" s="113">
        <f t="shared" si="85"/>
        <v>7.8129055721199561E-2</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9"/>
      <c r="BE687" s="9"/>
      <c r="BF687" s="9"/>
      <c r="BG687" s="9"/>
      <c r="BH687" s="9"/>
      <c r="BI687" s="9"/>
      <c r="BJ687" s="9"/>
      <c r="BK687" s="9"/>
      <c r="BL687" s="9"/>
    </row>
    <row r="688" spans="1:64" hidden="1" outlineLevel="1">
      <c r="A688" s="9"/>
      <c r="B688" s="9"/>
      <c r="C688" s="9"/>
      <c r="D688" s="132" t="str">
        <f>Asset23</f>
        <v>Motor Vehicles</v>
      </c>
      <c r="E688" s="9"/>
      <c r="F688" s="9"/>
      <c r="G688" s="198">
        <f t="shared" si="64"/>
        <v>2.9846089184999998</v>
      </c>
      <c r="H688" s="113">
        <f t="shared" si="64"/>
        <v>3.4231286115000006</v>
      </c>
      <c r="I688" s="113">
        <f t="shared" ref="I688:Q688" si="86">I460*I$6</f>
        <v>1.439849104249443</v>
      </c>
      <c r="J688" s="113">
        <f t="shared" si="86"/>
        <v>1.9244236416241751</v>
      </c>
      <c r="K688" s="113">
        <f t="shared" si="86"/>
        <v>1.8477286934680208</v>
      </c>
      <c r="L688" s="113">
        <f t="shared" si="86"/>
        <v>0.64738030584206041</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9"/>
      <c r="BE688" s="9"/>
      <c r="BF688" s="9"/>
      <c r="BG688" s="9"/>
      <c r="BH688" s="9"/>
      <c r="BI688" s="9"/>
      <c r="BJ688" s="9"/>
      <c r="BK688" s="9"/>
      <c r="BL688" s="9"/>
    </row>
    <row r="689" spans="1:64" hidden="1" outlineLevel="1">
      <c r="A689" s="9"/>
      <c r="B689" s="9"/>
      <c r="C689" s="9"/>
      <c r="D689" s="132" t="str">
        <f>Asset24</f>
        <v>Plant &amp; Equipment</v>
      </c>
      <c r="E689" s="9"/>
      <c r="F689" s="9"/>
      <c r="G689" s="198">
        <f t="shared" si="64"/>
        <v>2.6148931259000001</v>
      </c>
      <c r="H689" s="113">
        <f t="shared" si="64"/>
        <v>2.8456592922000006</v>
      </c>
      <c r="I689" s="113">
        <f t="shared" ref="I689:Q689" si="87">I461*I$6</f>
        <v>1.207115574941082</v>
      </c>
      <c r="J689" s="113">
        <f t="shared" si="87"/>
        <v>1.6327338268959695</v>
      </c>
      <c r="K689" s="113">
        <f t="shared" si="87"/>
        <v>1.5953939144730123</v>
      </c>
      <c r="L689" s="113">
        <f t="shared" si="87"/>
        <v>0.57511355852629764</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9"/>
      <c r="BE689" s="9"/>
      <c r="BF689" s="9"/>
      <c r="BG689" s="9"/>
      <c r="BH689" s="9"/>
      <c r="BI689" s="9"/>
      <c r="BJ689" s="9"/>
      <c r="BK689" s="9"/>
      <c r="BL689" s="9"/>
    </row>
    <row r="690" spans="1:64" hidden="1" outlineLevel="1">
      <c r="A690" s="9"/>
      <c r="B690" s="9"/>
      <c r="C690" s="9"/>
      <c r="D690" s="132" t="str">
        <f>Asset25</f>
        <v>Buildings</v>
      </c>
      <c r="E690" s="9"/>
      <c r="F690" s="9"/>
      <c r="G690" s="198">
        <f t="shared" si="64"/>
        <v>3.7623491587999998</v>
      </c>
      <c r="H690" s="113">
        <f t="shared" si="64"/>
        <v>6.9320664279000006</v>
      </c>
      <c r="I690" s="113">
        <f t="shared" ref="I690:Q690" si="88">I462*I$6</f>
        <v>3.0170873836958325</v>
      </c>
      <c r="J690" s="113">
        <f t="shared" si="88"/>
        <v>4.2255136803467002</v>
      </c>
      <c r="K690" s="113">
        <f t="shared" si="88"/>
        <v>4.3334814358995777</v>
      </c>
      <c r="L690" s="113">
        <f t="shared" si="88"/>
        <v>1.6791856398125566</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9"/>
      <c r="BE690" s="9"/>
      <c r="BF690" s="9"/>
      <c r="BG690" s="9"/>
      <c r="BH690" s="9"/>
      <c r="BI690" s="9"/>
      <c r="BJ690" s="9"/>
      <c r="BK690" s="9"/>
      <c r="BL690" s="9"/>
    </row>
    <row r="691" spans="1:64" hidden="1" outlineLevel="1">
      <c r="A691" s="9"/>
      <c r="B691" s="9"/>
      <c r="C691" s="9"/>
      <c r="D691" s="132" t="str">
        <f>Asset26</f>
        <v>Land &amp; Easements</v>
      </c>
      <c r="E691" s="9"/>
      <c r="F691" s="9"/>
      <c r="G691" s="198">
        <f t="shared" si="64"/>
        <v>0.37503792989999996</v>
      </c>
      <c r="H691" s="113">
        <f t="shared" si="64"/>
        <v>0.50154252210000005</v>
      </c>
      <c r="I691" s="113">
        <f t="shared" ref="I691:Q691" si="89">I463*I$6</f>
        <v>0.24589349644918002</v>
      </c>
      <c r="J691" s="113">
        <f t="shared" si="89"/>
        <v>0.39521932546372951</v>
      </c>
      <c r="K691" s="113">
        <f t="shared" si="89"/>
        <v>0.47477697567957816</v>
      </c>
      <c r="L691" s="113">
        <f t="shared" si="89"/>
        <v>0.22182763195191005</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9"/>
      <c r="BE691" s="9"/>
      <c r="BF691" s="9"/>
      <c r="BG691" s="9"/>
      <c r="BH691" s="9"/>
      <c r="BI691" s="9"/>
      <c r="BJ691" s="9"/>
      <c r="BK691" s="9"/>
      <c r="BL691" s="9"/>
    </row>
    <row r="692" spans="1:64" hidden="1" outlineLevel="1">
      <c r="A692" s="9"/>
      <c r="B692" s="9"/>
      <c r="C692" s="9"/>
      <c r="D692" s="132" t="str">
        <f>Asset27</f>
        <v>Land Improvements</v>
      </c>
      <c r="E692" s="9"/>
      <c r="F692" s="9"/>
      <c r="G692" s="198">
        <f t="shared" si="64"/>
        <v>0.34585725309999998</v>
      </c>
      <c r="H692" s="113">
        <f t="shared" si="64"/>
        <v>0.39962207790000004</v>
      </c>
      <c r="I692" s="113">
        <f t="shared" ref="I692:Q692" si="90">I464*I$6</f>
        <v>0.19069626084679103</v>
      </c>
      <c r="J692" s="113">
        <f t="shared" si="90"/>
        <v>0.29795398398647654</v>
      </c>
      <c r="K692" s="113">
        <f t="shared" si="90"/>
        <v>0.34775556165793814</v>
      </c>
      <c r="L692" s="113">
        <f t="shared" si="90"/>
        <v>0.15774518396407597</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9"/>
      <c r="BE692" s="9"/>
      <c r="BF692" s="9"/>
      <c r="BG692" s="9"/>
      <c r="BH692" s="9"/>
      <c r="BI692" s="9"/>
      <c r="BJ692" s="9"/>
      <c r="BK692" s="9"/>
      <c r="BL692" s="9"/>
    </row>
    <row r="693" spans="1:64" hidden="1" outlineLevel="1">
      <c r="A693" s="9"/>
      <c r="B693" s="9"/>
      <c r="C693" s="9"/>
      <c r="D693" s="132" t="str">
        <f>Asset28</f>
        <v>Equity Raising Costs</v>
      </c>
      <c r="E693" s="9"/>
      <c r="F693" s="9"/>
      <c r="G693" s="198">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9"/>
      <c r="BE693" s="9"/>
      <c r="BF693" s="9"/>
      <c r="BG693" s="9"/>
      <c r="BH693" s="9"/>
      <c r="BI693" s="9"/>
      <c r="BJ693" s="9"/>
      <c r="BK693" s="9"/>
      <c r="BL693" s="9"/>
    </row>
    <row r="694" spans="1:64" hidden="1" outlineLevel="1">
      <c r="A694" s="9"/>
      <c r="B694" s="9"/>
      <c r="C694" s="9"/>
      <c r="D694" s="132" t="str">
        <f>Asset29</f>
        <v>Not Used</v>
      </c>
      <c r="E694" s="9"/>
      <c r="F694" s="9"/>
      <c r="G694" s="198">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9"/>
      <c r="BE694" s="9"/>
      <c r="BF694" s="9"/>
      <c r="BG694" s="9"/>
      <c r="BH694" s="9"/>
      <c r="BI694" s="9"/>
      <c r="BJ694" s="9"/>
      <c r="BK694" s="9"/>
      <c r="BL694" s="9"/>
    </row>
    <row r="695" spans="1:64" hidden="1" outlineLevel="1">
      <c r="A695" s="9"/>
      <c r="B695" s="9"/>
      <c r="C695" s="9"/>
      <c r="D695" s="132" t="str">
        <f>Asset30</f>
        <v>Not Used</v>
      </c>
      <c r="E695" s="9"/>
      <c r="F695" s="9"/>
      <c r="G695" s="198">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9"/>
      <c r="BE695" s="9"/>
      <c r="BF695" s="9"/>
      <c r="BG695" s="9"/>
      <c r="BH695" s="9"/>
      <c r="BI695" s="9"/>
      <c r="BJ695" s="9"/>
      <c r="BK695" s="9"/>
      <c r="BL695" s="9"/>
    </row>
    <row r="696" spans="1:64" collapsed="1">
      <c r="A696" s="9"/>
      <c r="B696" s="9"/>
      <c r="C696" s="9"/>
      <c r="D696" s="9"/>
      <c r="E696" s="9"/>
      <c r="F696" s="9"/>
      <c r="G696" s="198"/>
      <c r="H696" s="113"/>
      <c r="I696" s="113"/>
      <c r="J696" s="113"/>
      <c r="K696" s="113"/>
      <c r="L696" s="113"/>
      <c r="M696" s="113"/>
      <c r="N696" s="113"/>
      <c r="O696" s="113"/>
      <c r="P696" s="113"/>
      <c r="Q696" s="113"/>
      <c r="R696" s="9"/>
      <c r="S696" s="9"/>
      <c r="T696" s="9"/>
      <c r="U696" s="9"/>
      <c r="V696" s="9"/>
      <c r="W696" s="9"/>
      <c r="X696" s="9"/>
      <c r="Y696" s="9"/>
      <c r="Z696" s="9"/>
      <c r="AA696" s="9"/>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9"/>
      <c r="BE710" s="9"/>
      <c r="BF710" s="9"/>
      <c r="BG710" s="9"/>
      <c r="BH710" s="9"/>
      <c r="BI710" s="9"/>
      <c r="BJ710" s="9"/>
      <c r="BK710" s="9"/>
      <c r="BL710" s="9"/>
    </row>
    <row r="711" spans="1:64">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9"/>
      <c r="BE711" s="9"/>
      <c r="BF711" s="9"/>
      <c r="BG711" s="9"/>
      <c r="BH711" s="9"/>
      <c r="BI711" s="9"/>
      <c r="BJ711" s="9"/>
      <c r="BK711" s="9"/>
      <c r="BL711" s="9"/>
    </row>
    <row r="712" spans="1:64">
      <c r="B712" s="192"/>
      <c r="C712" s="192" t="s">
        <v>115</v>
      </c>
      <c r="D712" s="192"/>
      <c r="E712" s="192"/>
      <c r="F712" s="192"/>
      <c r="G712" s="192"/>
      <c r="H712" s="265">
        <f t="shared" ref="H712:M712" si="94">SUM(H44,H57,H70,H83,H96,H109,H122,H135,H148,H161,H174,H187,H200,H213,H226,H239,H252,H265,H278,H291,H304,H317,H330,H343,H356,H369,H382,H395,H408,H421)</f>
        <v>338.23782092936278</v>
      </c>
      <c r="I712" s="265">
        <f t="shared" si="94"/>
        <v>304.85872631593128</v>
      </c>
      <c r="J712" s="265">
        <f t="shared" si="94"/>
        <v>304.84881312264702</v>
      </c>
      <c r="K712" s="265">
        <f t="shared" si="94"/>
        <v>297.56690393598177</v>
      </c>
      <c r="L712" s="265">
        <f t="shared" si="94"/>
        <v>270.36111674954373</v>
      </c>
      <c r="M712" s="265">
        <f t="shared" si="94"/>
        <v>252.40962747749248</v>
      </c>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9"/>
      <c r="BE712" s="9"/>
      <c r="BF712" s="9"/>
      <c r="BG712" s="9"/>
      <c r="BH712" s="9"/>
      <c r="BI712" s="9"/>
      <c r="BJ712" s="9"/>
      <c r="BK712" s="9"/>
      <c r="BL712" s="9"/>
    </row>
    <row r="713" spans="1:64">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9"/>
      <c r="BE713" s="9"/>
      <c r="BF713" s="9"/>
      <c r="BG713" s="9"/>
      <c r="BH713" s="9"/>
      <c r="BI713" s="9"/>
      <c r="BJ713" s="9"/>
      <c r="BK713" s="9"/>
      <c r="BL713" s="9"/>
    </row>
    <row r="714" spans="1:64">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9"/>
      <c r="BE714" s="9"/>
      <c r="BF714" s="9"/>
      <c r="BG714" s="9"/>
      <c r="BH714" s="9"/>
      <c r="BI714" s="9"/>
      <c r="BJ714" s="9"/>
      <c r="BK714" s="9"/>
      <c r="BL714" s="9"/>
    </row>
    <row r="715" spans="1:64">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9"/>
      <c r="BE715" s="9"/>
      <c r="BF715" s="9"/>
      <c r="BG715" s="9"/>
      <c r="BH715" s="9"/>
      <c r="BI715" s="9"/>
      <c r="BJ715" s="9"/>
      <c r="BK715" s="9"/>
      <c r="BL715" s="9"/>
    </row>
    <row r="716" spans="1:64">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9"/>
      <c r="BE716" s="9"/>
      <c r="BF716" s="9"/>
      <c r="BG716" s="9"/>
      <c r="BH716" s="9"/>
      <c r="BI716" s="9"/>
      <c r="BJ716" s="9"/>
      <c r="BK716" s="9"/>
      <c r="BL716" s="9"/>
    </row>
    <row r="717" spans="1:64">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9"/>
      <c r="BE717" s="9"/>
      <c r="BF717" s="9"/>
      <c r="BG717" s="9"/>
      <c r="BH717" s="9"/>
      <c r="BI717" s="9"/>
      <c r="BJ717" s="9"/>
      <c r="BK717" s="9"/>
      <c r="BL717" s="9"/>
    </row>
    <row r="718" spans="1:64">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9"/>
      <c r="BE718" s="9"/>
      <c r="BF718" s="9"/>
      <c r="BG718" s="9"/>
      <c r="BH718" s="9"/>
      <c r="BI718" s="9"/>
      <c r="BJ718" s="9"/>
      <c r="BK718" s="9"/>
      <c r="BL718" s="9"/>
    </row>
    <row r="719" spans="1:64">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9"/>
      <c r="BE719" s="9"/>
      <c r="BF719" s="9"/>
      <c r="BG719" s="9"/>
      <c r="BH719" s="9"/>
      <c r="BI719" s="9"/>
      <c r="BJ719" s="9"/>
      <c r="BK719" s="9"/>
      <c r="BL719" s="9"/>
    </row>
    <row r="720" spans="1:64">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9"/>
      <c r="BE720" s="9"/>
      <c r="BF720" s="9"/>
      <c r="BG720" s="9"/>
      <c r="BH720" s="9"/>
      <c r="BI720" s="9"/>
      <c r="BJ720" s="9"/>
      <c r="BK720" s="9"/>
      <c r="BL720" s="9"/>
    </row>
    <row r="721" spans="2:64">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9"/>
      <c r="BE721" s="9"/>
      <c r="BF721" s="9"/>
      <c r="BG721" s="9"/>
      <c r="BH721" s="9"/>
      <c r="BI721" s="9"/>
      <c r="BJ721" s="9"/>
      <c r="BK721" s="9"/>
      <c r="BL721" s="9"/>
    </row>
    <row r="722" spans="2:64">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9"/>
      <c r="BE722" s="9"/>
      <c r="BF722" s="9"/>
      <c r="BG722" s="9"/>
      <c r="BH722" s="9"/>
      <c r="BI722" s="9"/>
      <c r="BJ722" s="9"/>
      <c r="BK722" s="9"/>
      <c r="BL722" s="9"/>
    </row>
    <row r="723" spans="2:64">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9"/>
      <c r="BE723" s="9"/>
      <c r="BF723" s="9"/>
      <c r="BG723" s="9"/>
      <c r="BH723" s="9"/>
      <c r="BI723" s="9"/>
      <c r="BJ723" s="9"/>
      <c r="BK723" s="9"/>
      <c r="BL723" s="9"/>
    </row>
    <row r="724" spans="2:64">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9"/>
      <c r="BE724" s="9"/>
      <c r="BF724" s="9"/>
      <c r="BG724" s="9"/>
      <c r="BH724" s="9"/>
      <c r="BI724" s="9"/>
      <c r="BJ724" s="9"/>
      <c r="BK724" s="9"/>
      <c r="BL724" s="9"/>
    </row>
    <row r="725" spans="2:64">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9"/>
      <c r="BE725" s="9"/>
      <c r="BF725" s="9"/>
      <c r="BG725" s="9"/>
      <c r="BH725" s="9"/>
      <c r="BI725" s="9"/>
      <c r="BJ725" s="9"/>
      <c r="BK725" s="9"/>
      <c r="BL725" s="9"/>
    </row>
    <row r="726" spans="2:64">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9"/>
      <c r="BE726" s="9"/>
      <c r="BF726" s="9"/>
      <c r="BG726" s="9"/>
      <c r="BH726" s="9"/>
      <c r="BI726" s="9"/>
      <c r="BJ726" s="9"/>
      <c r="BK726" s="9"/>
      <c r="BL726" s="9"/>
    </row>
    <row r="727" spans="2:64">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row>
    <row r="728" spans="2:64">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row>
    <row r="729" spans="2:64">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row>
    <row r="730" spans="2:64">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row>
    <row r="731" spans="2:64">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row>
    <row r="732" spans="2:64">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row>
    <row r="733" spans="2:64">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row>
    <row r="734" spans="2:64">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row>
    <row r="735" spans="2:64">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row>
    <row r="736" spans="2:64">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row>
    <row r="737" spans="2:55">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row>
    <row r="738" spans="2:55">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row>
    <row r="739" spans="2:55">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row>
    <row r="740" spans="2:55">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row>
    <row r="741" spans="2:55">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row>
    <row r="742" spans="2:55">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row>
    <row r="743" spans="2:55">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row>
    <row r="744" spans="2:55">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row>
    <row r="745" spans="2:55">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row>
    <row r="746" spans="2:55">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row>
    <row r="747" spans="2:55">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row>
    <row r="748" spans="2:55">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row>
    <row r="749" spans="2:55">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row>
    <row r="750" spans="2:55">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row>
    <row r="751" spans="2:55">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row>
    <row r="752" spans="2:55">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row>
    <row r="753" spans="2:55">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row>
    <row r="754" spans="2:55">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row>
    <row r="755" spans="2:55">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row>
    <row r="756" spans="2:55">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row>
    <row r="757" spans="2:55">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row>
    <row r="758" spans="2:55">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row>
    <row r="759" spans="2:55">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row>
    <row r="760" spans="2:55">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row>
    <row r="761" spans="2:55">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row>
    <row r="762" spans="2:55">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row>
    <row r="763" spans="2:55">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row>
    <row r="764" spans="2:55">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row>
    <row r="765" spans="2:55">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row>
    <row r="766" spans="2:55">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row>
    <row r="767" spans="2:55">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row>
    <row r="768" spans="2:55">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row>
    <row r="769" spans="28:55">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row>
    <row r="770" spans="28:55">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row>
    <row r="771" spans="28:55">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row>
    <row r="772" spans="28:55">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row>
    <row r="773" spans="28:55">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row>
    <row r="774" spans="28:55">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row>
    <row r="775" spans="28:55">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row>
    <row r="776" spans="28:55">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row>
    <row r="777" spans="28:55">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row>
    <row r="778" spans="28:55">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row>
    <row r="779" spans="28:55">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row>
    <row r="780" spans="28:55">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row>
    <row r="781" spans="28:55">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row>
    <row r="782" spans="28:55">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row>
    <row r="783" spans="28:55">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row>
    <row r="784" spans="28:55">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row>
    <row r="785" spans="28:55">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row>
    <row r="786" spans="28:55">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row>
    <row r="787" spans="28:55">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row>
    <row r="788" spans="28:55">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row>
    <row r="789" spans="28:55">
      <c r="AB789" s="192"/>
      <c r="AC789" s="192"/>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2"/>
      <c r="BC789" s="192"/>
    </row>
    <row r="790" spans="28:55">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row>
    <row r="791" spans="28:55">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row>
    <row r="792" spans="28:55">
      <c r="AB792" s="192"/>
      <c r="AC792" s="192"/>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2"/>
      <c r="BC792" s="192"/>
    </row>
    <row r="793" spans="28:55">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row>
    <row r="794" spans="28:55">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row>
    <row r="795" spans="28:55">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row>
    <row r="796" spans="28:55">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row>
    <row r="797" spans="28:55">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row>
    <row r="798" spans="28:55">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row>
    <row r="799" spans="28:55">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row>
    <row r="800" spans="28:55">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row>
    <row r="801" spans="28:55">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row>
    <row r="802" spans="28:55">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row>
    <row r="803" spans="28:55">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row>
    <row r="804" spans="28:55">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row>
    <row r="805" spans="28:55">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row>
    <row r="806" spans="28:55">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row>
    <row r="807" spans="28:55">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row>
    <row r="808" spans="28:55">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row>
    <row r="809" spans="28:55">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row>
    <row r="810" spans="28:55">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row>
    <row r="811" spans="28:55">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row>
    <row r="812" spans="28:55">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row>
    <row r="813" spans="28:55">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row>
    <row r="814" spans="28:55">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row>
    <row r="815" spans="28:55">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row>
    <row r="816" spans="28:55">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row>
    <row r="817" spans="28:55">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row>
    <row r="818" spans="28:55">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row>
    <row r="819" spans="28:55">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row>
    <row r="820" spans="28:55">
      <c r="AB820" s="192"/>
      <c r="AC820" s="192"/>
      <c r="AD820" s="192"/>
      <c r="AE820" s="192"/>
      <c r="AF820" s="192"/>
      <c r="AG820" s="192"/>
      <c r="AH820" s="192"/>
      <c r="AI820" s="192"/>
      <c r="AJ820" s="192"/>
      <c r="AK820" s="192"/>
      <c r="AL820" s="192"/>
      <c r="AM820" s="192"/>
      <c r="AN820" s="192"/>
      <c r="AO820" s="192"/>
      <c r="AP820" s="192"/>
      <c r="AQ820" s="192"/>
      <c r="AR820" s="192"/>
      <c r="AS820" s="192"/>
      <c r="AT820" s="192"/>
      <c r="AU820" s="192"/>
      <c r="AV820" s="192"/>
      <c r="AW820" s="192"/>
      <c r="AX820" s="192"/>
      <c r="AY820" s="192"/>
      <c r="AZ820" s="192"/>
      <c r="BA820" s="192"/>
      <c r="BB820" s="192"/>
      <c r="BC820" s="192"/>
    </row>
    <row r="821" spans="28:55">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row>
    <row r="822" spans="28:55">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row>
    <row r="823" spans="28:55">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row>
    <row r="824" spans="28:55">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row>
    <row r="825" spans="28:55">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row>
    <row r="826" spans="28:55">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row>
    <row r="827" spans="28:55">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row>
    <row r="828" spans="28:55">
      <c r="AB828" s="192"/>
      <c r="AC828" s="192"/>
      <c r="AD828" s="192"/>
      <c r="AE828" s="192"/>
      <c r="AF828" s="192"/>
      <c r="AG828" s="192"/>
      <c r="AH828" s="192"/>
      <c r="AI828" s="192"/>
      <c r="AJ828" s="192"/>
      <c r="AK828" s="192"/>
      <c r="AL828" s="192"/>
      <c r="AM828" s="192"/>
      <c r="AN828" s="192"/>
      <c r="AO828" s="192"/>
      <c r="AP828" s="192"/>
      <c r="AQ828" s="192"/>
      <c r="AR828" s="192"/>
      <c r="AS828" s="192"/>
      <c r="AT828" s="192"/>
      <c r="AU828" s="192"/>
      <c r="AV828" s="192"/>
      <c r="AW828" s="192"/>
      <c r="AX828" s="192"/>
      <c r="AY828" s="192"/>
      <c r="AZ828" s="192"/>
      <c r="BA828" s="192"/>
      <c r="BB828" s="192"/>
      <c r="BC828" s="192"/>
    </row>
    <row r="829" spans="28:55">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row>
    <row r="830" spans="28:55">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row>
    <row r="831" spans="28:55">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row>
    <row r="832" spans="28:55">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row>
    <row r="833" spans="28:55">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row>
    <row r="834" spans="28:55">
      <c r="AB834" s="192"/>
      <c r="AC834" s="192"/>
      <c r="AD834" s="192"/>
      <c r="AE834" s="192"/>
      <c r="AF834" s="192"/>
      <c r="AG834" s="192"/>
      <c r="AH834" s="192"/>
      <c r="AI834" s="192"/>
      <c r="AJ834" s="192"/>
      <c r="AK834" s="192"/>
      <c r="AL834" s="192"/>
      <c r="AM834" s="192"/>
      <c r="AN834" s="192"/>
      <c r="AO834" s="192"/>
      <c r="AP834" s="192"/>
      <c r="AQ834" s="192"/>
      <c r="AR834" s="192"/>
      <c r="AS834" s="192"/>
      <c r="AT834" s="192"/>
      <c r="AU834" s="192"/>
      <c r="AV834" s="192"/>
      <c r="AW834" s="192"/>
      <c r="AX834" s="192"/>
      <c r="AY834" s="192"/>
      <c r="AZ834" s="192"/>
      <c r="BA834" s="192"/>
      <c r="BB834" s="192"/>
      <c r="BC834" s="192"/>
    </row>
    <row r="835" spans="28:55">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row>
    <row r="836" spans="28:55">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row>
    <row r="837" spans="28:55">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row>
    <row r="838" spans="28:55">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row>
    <row r="839" spans="28:55">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row>
    <row r="840" spans="28:55">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row>
    <row r="841" spans="28:55">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row>
    <row r="842" spans="28:55">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row>
    <row r="843" spans="28:55">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row>
    <row r="844" spans="28:55">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row>
    <row r="845" spans="28:55">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row>
    <row r="846" spans="28:55">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row>
    <row r="847" spans="28:55">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row>
    <row r="848" spans="28:55">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row>
    <row r="849" spans="28:55">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row>
    <row r="850" spans="28:55">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row>
    <row r="851" spans="28:55">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row>
    <row r="852" spans="28:55">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row>
    <row r="853" spans="28:55">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row>
    <row r="854" spans="28:55">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row>
    <row r="855" spans="28:55">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row>
    <row r="856" spans="28:55">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row>
    <row r="857" spans="28:55">
      <c r="AB857" s="192"/>
      <c r="AC857" s="192"/>
      <c r="AD857" s="192"/>
      <c r="AE857" s="192"/>
      <c r="AF857" s="192"/>
      <c r="AG857" s="192"/>
      <c r="AH857" s="192"/>
      <c r="AI857" s="192"/>
      <c r="AJ857" s="192"/>
      <c r="AK857" s="192"/>
      <c r="AL857" s="192"/>
      <c r="AM857" s="192"/>
      <c r="AN857" s="192"/>
      <c r="AO857" s="192"/>
      <c r="AP857" s="192"/>
      <c r="AQ857" s="192"/>
      <c r="AR857" s="192"/>
      <c r="AS857" s="192"/>
      <c r="AT857" s="192"/>
      <c r="AU857" s="192"/>
      <c r="AV857" s="192"/>
      <c r="AW857" s="192"/>
      <c r="AX857" s="192"/>
      <c r="AY857" s="192"/>
      <c r="AZ857" s="192"/>
      <c r="BA857" s="192"/>
      <c r="BB857" s="192"/>
      <c r="BC857" s="192"/>
    </row>
    <row r="858" spans="28:55">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row>
    <row r="859" spans="28:55">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row>
    <row r="860" spans="28:55">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row>
    <row r="861" spans="28:55">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row>
    <row r="862" spans="28:55">
      <c r="AB862" s="192"/>
      <c r="AC862" s="192"/>
      <c r="AD862" s="192"/>
      <c r="AE862" s="192"/>
      <c r="AF862" s="192"/>
      <c r="AG862" s="192"/>
      <c r="AH862" s="192"/>
      <c r="AI862" s="192"/>
      <c r="AJ862" s="192"/>
      <c r="AK862" s="192"/>
      <c r="AL862" s="192"/>
      <c r="AM862" s="192"/>
      <c r="AN862" s="192"/>
      <c r="AO862" s="192"/>
      <c r="AP862" s="192"/>
      <c r="AQ862" s="192"/>
      <c r="AR862" s="192"/>
      <c r="AS862" s="192"/>
      <c r="AT862" s="192"/>
      <c r="AU862" s="192"/>
      <c r="AV862" s="192"/>
      <c r="AW862" s="192"/>
      <c r="AX862" s="192"/>
      <c r="AY862" s="192"/>
      <c r="AZ862" s="192"/>
      <c r="BA862" s="192"/>
      <c r="BB862" s="192"/>
      <c r="BC862" s="192"/>
    </row>
    <row r="863" spans="28:55">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row>
    <row r="864" spans="28:55">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row>
    <row r="865" spans="28:55">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row>
    <row r="866" spans="28:55">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row>
    <row r="867" spans="28:55">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row>
    <row r="868" spans="28:55">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row>
    <row r="869" spans="28:55">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row>
    <row r="870" spans="28:55">
      <c r="AB870" s="192"/>
      <c r="AC870" s="192"/>
      <c r="AD870" s="192"/>
      <c r="AE870" s="192"/>
      <c r="AF870" s="192"/>
      <c r="AG870" s="192"/>
      <c r="AH870" s="192"/>
      <c r="AI870" s="192"/>
      <c r="AJ870" s="192"/>
      <c r="AK870" s="192"/>
      <c r="AL870" s="192"/>
      <c r="AM870" s="192"/>
      <c r="AN870" s="192"/>
      <c r="AO870" s="192"/>
      <c r="AP870" s="192"/>
      <c r="AQ870" s="192"/>
      <c r="AR870" s="192"/>
      <c r="AS870" s="192"/>
      <c r="AT870" s="192"/>
      <c r="AU870" s="192"/>
      <c r="AV870" s="192"/>
      <c r="AW870" s="192"/>
      <c r="AX870" s="192"/>
      <c r="AY870" s="192"/>
      <c r="AZ870" s="192"/>
      <c r="BA870" s="192"/>
      <c r="BB870" s="192"/>
      <c r="BC870" s="192"/>
    </row>
    <row r="871" spans="28:55">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row>
    <row r="872" spans="28:55">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row>
    <row r="873" spans="28:55">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row>
    <row r="874" spans="28:55">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row>
    <row r="875" spans="28:55">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row>
    <row r="876" spans="28:55">
      <c r="AB876" s="192"/>
      <c r="AC876" s="192"/>
      <c r="AD876" s="192"/>
      <c r="AE876" s="192"/>
      <c r="AF876" s="192"/>
      <c r="AG876" s="192"/>
      <c r="AH876" s="192"/>
      <c r="AI876" s="192"/>
      <c r="AJ876" s="192"/>
      <c r="AK876" s="192"/>
      <c r="AL876" s="192"/>
      <c r="AM876" s="192"/>
      <c r="AN876" s="192"/>
      <c r="AO876" s="192"/>
      <c r="AP876" s="192"/>
      <c r="AQ876" s="192"/>
      <c r="AR876" s="192"/>
      <c r="AS876" s="192"/>
      <c r="AT876" s="192"/>
      <c r="AU876" s="192"/>
      <c r="AV876" s="192"/>
      <c r="AW876" s="192"/>
      <c r="AX876" s="192"/>
      <c r="AY876" s="192"/>
      <c r="AZ876" s="192"/>
      <c r="BA876" s="192"/>
      <c r="BB876" s="192"/>
      <c r="BC876" s="192"/>
    </row>
    <row r="877" spans="28:55">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row>
    <row r="878" spans="28:55">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row>
    <row r="879" spans="28:55">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row>
    <row r="880" spans="28:55">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row>
    <row r="881" spans="28:55">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row>
    <row r="882" spans="28:55">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row>
    <row r="883" spans="28:55">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row>
    <row r="884" spans="28:55">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row>
    <row r="885" spans="28:55">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row>
    <row r="886" spans="28:55">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row>
    <row r="887" spans="28:55">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row>
    <row r="888" spans="28:55">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row>
    <row r="889" spans="28:55">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row>
    <row r="890" spans="28:55">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row>
    <row r="891" spans="28:55">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row>
    <row r="892" spans="28:55">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row>
    <row r="893" spans="28:55">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row>
    <row r="894" spans="28:55">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row>
    <row r="895" spans="28:55">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row>
    <row r="896" spans="28:55">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row>
    <row r="897" spans="28:55">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row>
    <row r="898" spans="28:55">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row>
    <row r="899" spans="28:55">
      <c r="AB899" s="192"/>
      <c r="AC899" s="192"/>
      <c r="AD899" s="192"/>
      <c r="AE899" s="192"/>
      <c r="AF899" s="192"/>
      <c r="AG899" s="192"/>
      <c r="AH899" s="192"/>
      <c r="AI899" s="192"/>
      <c r="AJ899" s="192"/>
      <c r="AK899" s="192"/>
      <c r="AL899" s="192"/>
      <c r="AM899" s="192"/>
      <c r="AN899" s="192"/>
      <c r="AO899" s="192"/>
      <c r="AP899" s="192"/>
      <c r="AQ899" s="192"/>
      <c r="AR899" s="192"/>
      <c r="AS899" s="192"/>
      <c r="AT899" s="192"/>
      <c r="AU899" s="192"/>
      <c r="AV899" s="192"/>
      <c r="AW899" s="192"/>
      <c r="AX899" s="192"/>
      <c r="AY899" s="192"/>
      <c r="AZ899" s="192"/>
      <c r="BA899" s="192"/>
      <c r="BB899" s="192"/>
      <c r="BC899" s="192"/>
    </row>
    <row r="900" spans="28:55">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row>
    <row r="901" spans="28:55">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row>
    <row r="902" spans="28:55">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row>
    <row r="903" spans="28:55">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row>
    <row r="904" spans="28:55">
      <c r="AB904" s="192"/>
      <c r="AC904" s="192"/>
      <c r="AD904" s="192"/>
      <c r="AE904" s="192"/>
      <c r="AF904" s="192"/>
      <c r="AG904" s="192"/>
      <c r="AH904" s="192"/>
      <c r="AI904" s="192"/>
      <c r="AJ904" s="192"/>
      <c r="AK904" s="192"/>
      <c r="AL904" s="192"/>
      <c r="AM904" s="192"/>
      <c r="AN904" s="192"/>
      <c r="AO904" s="192"/>
      <c r="AP904" s="192"/>
      <c r="AQ904" s="192"/>
      <c r="AR904" s="192"/>
      <c r="AS904" s="192"/>
      <c r="AT904" s="192"/>
      <c r="AU904" s="192"/>
      <c r="AV904" s="192"/>
      <c r="AW904" s="192"/>
      <c r="AX904" s="192"/>
      <c r="AY904" s="192"/>
      <c r="AZ904" s="192"/>
      <c r="BA904" s="192"/>
      <c r="BB904" s="192"/>
      <c r="BC904" s="192"/>
    </row>
    <row r="905" spans="28:55">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row>
    <row r="906" spans="28:55">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row>
    <row r="907" spans="28:55">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row>
    <row r="908" spans="28:55">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row>
    <row r="909" spans="28:55">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row>
    <row r="910" spans="28:55">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row>
    <row r="911" spans="28:55">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row>
    <row r="912" spans="28:55">
      <c r="AB912" s="192"/>
      <c r="AC912" s="192"/>
      <c r="AD912" s="192"/>
      <c r="AE912" s="192"/>
      <c r="AF912" s="192"/>
      <c r="AG912" s="192"/>
      <c r="AH912" s="192"/>
      <c r="AI912" s="192"/>
      <c r="AJ912" s="192"/>
      <c r="AK912" s="192"/>
      <c r="AL912" s="192"/>
      <c r="AM912" s="192"/>
      <c r="AN912" s="192"/>
      <c r="AO912" s="192"/>
      <c r="AP912" s="192"/>
      <c r="AQ912" s="192"/>
      <c r="AR912" s="192"/>
      <c r="AS912" s="192"/>
      <c r="AT912" s="192"/>
      <c r="AU912" s="192"/>
      <c r="AV912" s="192"/>
      <c r="AW912" s="192"/>
      <c r="AX912" s="192"/>
      <c r="AY912" s="192"/>
      <c r="AZ912" s="192"/>
      <c r="BA912" s="192"/>
      <c r="BB912" s="192"/>
      <c r="BC912" s="192"/>
    </row>
    <row r="913" spans="28:55">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row>
    <row r="914" spans="28:55">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row>
    <row r="915" spans="28:55">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row>
    <row r="916" spans="28:55">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row>
    <row r="917" spans="28:55">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row>
    <row r="918" spans="28:55">
      <c r="AB918" s="192"/>
      <c r="AC918" s="192"/>
      <c r="AD918" s="192"/>
      <c r="AE918" s="192"/>
      <c r="AF918" s="192"/>
      <c r="AG918" s="192"/>
      <c r="AH918" s="192"/>
      <c r="AI918" s="192"/>
      <c r="AJ918" s="192"/>
      <c r="AK918" s="192"/>
      <c r="AL918" s="192"/>
      <c r="AM918" s="192"/>
      <c r="AN918" s="192"/>
      <c r="AO918" s="192"/>
      <c r="AP918" s="192"/>
      <c r="AQ918" s="192"/>
      <c r="AR918" s="192"/>
      <c r="AS918" s="192"/>
      <c r="AT918" s="192"/>
      <c r="AU918" s="192"/>
      <c r="AV918" s="192"/>
      <c r="AW918" s="192"/>
      <c r="AX918" s="192"/>
      <c r="AY918" s="192"/>
      <c r="AZ918" s="192"/>
      <c r="BA918" s="192"/>
      <c r="BB918" s="192"/>
      <c r="BC918" s="192"/>
    </row>
    <row r="919" spans="28:55">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row>
    <row r="920" spans="28:55">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row>
    <row r="921" spans="28:55">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row>
    <row r="922" spans="28:55">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row>
    <row r="923" spans="28:55">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row>
    <row r="924" spans="28:55">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row>
    <row r="925" spans="28:55">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row>
    <row r="926" spans="28:55">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row>
    <row r="927" spans="28:55">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row>
    <row r="928" spans="28:55">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row>
    <row r="929" spans="28:55">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row>
    <row r="930" spans="28:55">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row>
    <row r="931" spans="28:55">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row>
    <row r="932" spans="28:55">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row>
    <row r="933" spans="28:55">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row>
    <row r="934" spans="28:55">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row>
    <row r="935" spans="28:55">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row>
    <row r="936" spans="28:55">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row>
    <row r="937" spans="28:55">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row>
    <row r="938" spans="28:55">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row>
    <row r="939" spans="28:55">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row>
    <row r="940" spans="28:55">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row>
    <row r="941" spans="28:55">
      <c r="AB941" s="192"/>
      <c r="AC941" s="192"/>
      <c r="AD941" s="192"/>
      <c r="AE941" s="192"/>
      <c r="AF941" s="192"/>
      <c r="AG941" s="192"/>
      <c r="AH941" s="192"/>
      <c r="AI941" s="192"/>
      <c r="AJ941" s="192"/>
      <c r="AK941" s="192"/>
      <c r="AL941" s="192"/>
      <c r="AM941" s="192"/>
      <c r="AN941" s="192"/>
      <c r="AO941" s="192"/>
      <c r="AP941" s="192"/>
      <c r="AQ941" s="192"/>
      <c r="AR941" s="192"/>
      <c r="AS941" s="192"/>
      <c r="AT941" s="192"/>
      <c r="AU941" s="192"/>
      <c r="AV941" s="192"/>
      <c r="AW941" s="192"/>
      <c r="AX941" s="192"/>
      <c r="AY941" s="192"/>
      <c r="AZ941" s="192"/>
      <c r="BA941" s="192"/>
      <c r="BB941" s="192"/>
      <c r="BC941" s="192"/>
    </row>
    <row r="942" spans="28:55">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row>
    <row r="943" spans="28:55">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row>
    <row r="944" spans="28:55">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row>
    <row r="945" spans="28:55">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row>
    <row r="946" spans="28:55">
      <c r="AB946" s="192"/>
      <c r="AC946" s="192"/>
      <c r="AD946" s="192"/>
      <c r="AE946" s="192"/>
      <c r="AF946" s="192"/>
      <c r="AG946" s="192"/>
      <c r="AH946" s="192"/>
      <c r="AI946" s="192"/>
      <c r="AJ946" s="192"/>
      <c r="AK946" s="192"/>
      <c r="AL946" s="192"/>
      <c r="AM946" s="192"/>
      <c r="AN946" s="192"/>
      <c r="AO946" s="192"/>
      <c r="AP946" s="192"/>
      <c r="AQ946" s="192"/>
      <c r="AR946" s="192"/>
      <c r="AS946" s="192"/>
      <c r="AT946" s="192"/>
      <c r="AU946" s="192"/>
      <c r="AV946" s="192"/>
      <c r="AW946" s="192"/>
      <c r="AX946" s="192"/>
      <c r="AY946" s="192"/>
      <c r="AZ946" s="192"/>
      <c r="BA946" s="192"/>
      <c r="BB946" s="192"/>
      <c r="BC946" s="192"/>
    </row>
    <row r="947" spans="28:55">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row>
    <row r="948" spans="28:55">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row>
    <row r="949" spans="28:55">
      <c r="AB949" s="192"/>
      <c r="AC949" s="192"/>
      <c r="AD949" s="192"/>
      <c r="AE949" s="192"/>
      <c r="AF949" s="192"/>
      <c r="AG949" s="192"/>
      <c r="AH949" s="192"/>
      <c r="AI949" s="192"/>
      <c r="AJ949" s="192"/>
      <c r="AK949" s="192"/>
      <c r="AL949" s="192"/>
      <c r="AM949" s="192"/>
      <c r="AN949" s="192"/>
      <c r="AO949" s="192"/>
      <c r="AP949" s="192"/>
      <c r="AQ949" s="192"/>
      <c r="AR949" s="192"/>
      <c r="AS949" s="192"/>
      <c r="AT949" s="192"/>
      <c r="AU949" s="192"/>
      <c r="AV949" s="192"/>
      <c r="AW949" s="192"/>
      <c r="AX949" s="192"/>
      <c r="AY949" s="192"/>
      <c r="AZ949" s="192"/>
      <c r="BA949" s="192"/>
      <c r="BB949" s="192"/>
      <c r="BC949" s="192"/>
    </row>
    <row r="950" spans="28:55">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row>
    <row r="951" spans="28:55">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row>
    <row r="952" spans="28:55">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row>
    <row r="953" spans="28:55">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row>
    <row r="954" spans="28:55">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row>
    <row r="955" spans="28:55">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row>
    <row r="956" spans="28:55">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row>
    <row r="957" spans="28:55">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row>
    <row r="958" spans="28:55">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row>
    <row r="959" spans="28:55">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row>
    <row r="960" spans="28:55">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row>
    <row r="961" spans="28:55">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row>
    <row r="962" spans="28:55">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row>
    <row r="963" spans="28:55">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row>
    <row r="964" spans="28:55">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row>
    <row r="965" spans="28:55">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row>
    <row r="966" spans="28:55">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row>
    <row r="967" spans="28:55">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row>
    <row r="968" spans="28:55">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row>
    <row r="969" spans="28:55">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row>
    <row r="970" spans="28:55">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row>
    <row r="971" spans="28:55">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row>
    <row r="972" spans="28:55">
      <c r="AB972" s="192"/>
      <c r="AC972" s="192"/>
      <c r="AD972" s="192"/>
      <c r="AE972" s="192"/>
      <c r="AF972" s="192"/>
      <c r="AG972" s="192"/>
      <c r="AH972" s="192"/>
      <c r="AI972" s="192"/>
      <c r="AJ972" s="192"/>
      <c r="AK972" s="192"/>
      <c r="AL972" s="192"/>
      <c r="AM972" s="192"/>
      <c r="AN972" s="192"/>
      <c r="AO972" s="192"/>
      <c r="AP972" s="192"/>
      <c r="AQ972" s="192"/>
      <c r="AR972" s="192"/>
      <c r="AS972" s="192"/>
      <c r="AT972" s="192"/>
      <c r="AU972" s="192"/>
      <c r="AV972" s="192"/>
      <c r="AW972" s="192"/>
      <c r="AX972" s="192"/>
      <c r="AY972" s="192"/>
      <c r="AZ972" s="192"/>
      <c r="BA972" s="192"/>
      <c r="BB972" s="192"/>
      <c r="BC972" s="192"/>
    </row>
    <row r="973" spans="28:55">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row>
    <row r="974" spans="28:55">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row>
    <row r="975" spans="28:55">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row>
    <row r="976" spans="28:55">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row>
    <row r="977" spans="28:55">
      <c r="AB977" s="192"/>
      <c r="AC977" s="192"/>
      <c r="AD977" s="192"/>
      <c r="AE977" s="192"/>
      <c r="AF977" s="192"/>
      <c r="AG977" s="192"/>
      <c r="AH977" s="192"/>
      <c r="AI977" s="192"/>
      <c r="AJ977" s="192"/>
      <c r="AK977" s="192"/>
      <c r="AL977" s="192"/>
      <c r="AM977" s="192"/>
      <c r="AN977" s="192"/>
      <c r="AO977" s="192"/>
      <c r="AP977" s="192"/>
      <c r="AQ977" s="192"/>
      <c r="AR977" s="192"/>
      <c r="AS977" s="192"/>
      <c r="AT977" s="192"/>
      <c r="AU977" s="192"/>
      <c r="AV977" s="192"/>
      <c r="AW977" s="192"/>
      <c r="AX977" s="192"/>
      <c r="AY977" s="192"/>
      <c r="AZ977" s="192"/>
      <c r="BA977" s="192"/>
      <c r="BB977" s="192"/>
      <c r="BC977" s="192"/>
    </row>
    <row r="978" spans="28:55">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row>
    <row r="979" spans="28:55">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row>
    <row r="980" spans="28:55">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row>
    <row r="981" spans="28:55">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row>
    <row r="982" spans="28:55">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row>
    <row r="983" spans="28:55">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row>
    <row r="984" spans="28:55">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row>
    <row r="985" spans="28:55">
      <c r="AB985" s="192"/>
      <c r="AC985" s="192"/>
      <c r="AD985" s="192"/>
      <c r="AE985" s="192"/>
      <c r="AF985" s="192"/>
      <c r="AG985" s="192"/>
      <c r="AH985" s="192"/>
      <c r="AI985" s="192"/>
      <c r="AJ985" s="192"/>
      <c r="AK985" s="192"/>
      <c r="AL985" s="192"/>
      <c r="AM985" s="192"/>
      <c r="AN985" s="192"/>
      <c r="AO985" s="192"/>
      <c r="AP985" s="192"/>
      <c r="AQ985" s="192"/>
      <c r="AR985" s="192"/>
      <c r="AS985" s="192"/>
      <c r="AT985" s="192"/>
      <c r="AU985" s="192"/>
      <c r="AV985" s="192"/>
      <c r="AW985" s="192"/>
      <c r="AX985" s="192"/>
      <c r="AY985" s="192"/>
      <c r="AZ985" s="192"/>
      <c r="BA985" s="192"/>
      <c r="BB985" s="192"/>
      <c r="BC985" s="192"/>
    </row>
    <row r="986" spans="28:55">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row>
    <row r="987" spans="28:55">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row>
    <row r="988" spans="28:55">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row>
    <row r="989" spans="28:55">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row>
    <row r="990" spans="28:55">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row>
    <row r="991" spans="28:55">
      <c r="AB991" s="192"/>
      <c r="AC991" s="192"/>
      <c r="AD991" s="192"/>
      <c r="AE991" s="192"/>
      <c r="AF991" s="192"/>
      <c r="AG991" s="192"/>
      <c r="AH991" s="192"/>
      <c r="AI991" s="192"/>
      <c r="AJ991" s="192"/>
      <c r="AK991" s="192"/>
      <c r="AL991" s="192"/>
      <c r="AM991" s="192"/>
      <c r="AN991" s="192"/>
      <c r="AO991" s="192"/>
      <c r="AP991" s="192"/>
      <c r="AQ991" s="192"/>
      <c r="AR991" s="192"/>
      <c r="AS991" s="192"/>
      <c r="AT991" s="192"/>
      <c r="AU991" s="192"/>
      <c r="AV991" s="192"/>
      <c r="AW991" s="192"/>
      <c r="AX991" s="192"/>
      <c r="AY991" s="192"/>
      <c r="AZ991" s="192"/>
      <c r="BA991" s="192"/>
      <c r="BB991" s="192"/>
      <c r="BC991" s="192"/>
    </row>
    <row r="992" spans="28:55">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row>
    <row r="993" spans="28:55">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row>
    <row r="994" spans="28:55">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row>
    <row r="995" spans="28:55">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row>
    <row r="996" spans="28:55">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row>
    <row r="997" spans="28:55">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row>
    <row r="998" spans="28:55">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row>
    <row r="999" spans="28:55">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row>
    <row r="1000" spans="28:55">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row>
    <row r="1001" spans="28:55">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row>
    <row r="1002" spans="28:55">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row>
    <row r="1003" spans="28:55">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row>
    <row r="1004" spans="28:55">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row>
    <row r="1005" spans="28:55">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row>
    <row r="1006" spans="28:55">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row>
    <row r="1007" spans="28:55">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row>
    <row r="1008" spans="28:55">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row>
    <row r="1009" spans="28:55">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row>
    <row r="1010" spans="28:55">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row>
    <row r="1011" spans="28:55">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row>
    <row r="1012" spans="28:55">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row>
    <row r="1013" spans="28:55">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row>
    <row r="1014" spans="28:55">
      <c r="AB1014" s="192"/>
      <c r="AC1014" s="192"/>
      <c r="AD1014" s="192"/>
      <c r="AE1014" s="192"/>
      <c r="AF1014" s="192"/>
      <c r="AG1014" s="192"/>
      <c r="AH1014" s="192"/>
      <c r="AI1014" s="192"/>
      <c r="AJ1014" s="192"/>
      <c r="AK1014" s="192"/>
      <c r="AL1014" s="192"/>
      <c r="AM1014" s="192"/>
      <c r="AN1014" s="192"/>
      <c r="AO1014" s="192"/>
      <c r="AP1014" s="192"/>
      <c r="AQ1014" s="192"/>
      <c r="AR1014" s="192"/>
      <c r="AS1014" s="192"/>
      <c r="AT1014" s="192"/>
      <c r="AU1014" s="192"/>
      <c r="AV1014" s="192"/>
      <c r="AW1014" s="192"/>
      <c r="AX1014" s="192"/>
      <c r="AY1014" s="192"/>
      <c r="AZ1014" s="192"/>
      <c r="BA1014" s="192"/>
      <c r="BB1014" s="192"/>
      <c r="BC1014" s="192"/>
    </row>
    <row r="1015" spans="28:55">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row>
    <row r="1016" spans="28:55">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row>
    <row r="1017" spans="28:55">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row>
    <row r="1018" spans="28:55">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row>
    <row r="1019" spans="28:55">
      <c r="AB1019" s="192"/>
      <c r="AC1019" s="192"/>
      <c r="AD1019" s="192"/>
      <c r="AE1019" s="192"/>
      <c r="AF1019" s="192"/>
      <c r="AG1019" s="192"/>
      <c r="AH1019" s="192"/>
      <c r="AI1019" s="192"/>
      <c r="AJ1019" s="192"/>
      <c r="AK1019" s="192"/>
      <c r="AL1019" s="192"/>
      <c r="AM1019" s="192"/>
      <c r="AN1019" s="192"/>
      <c r="AO1019" s="192"/>
      <c r="AP1019" s="192"/>
      <c r="AQ1019" s="192"/>
      <c r="AR1019" s="192"/>
      <c r="AS1019" s="192"/>
      <c r="AT1019" s="192"/>
      <c r="AU1019" s="192"/>
      <c r="AV1019" s="192"/>
      <c r="AW1019" s="192"/>
      <c r="AX1019" s="192"/>
      <c r="AY1019" s="192"/>
      <c r="AZ1019" s="192"/>
      <c r="BA1019" s="192"/>
      <c r="BB1019" s="192"/>
      <c r="BC1019" s="192"/>
    </row>
    <row r="1020" spans="28:55">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row>
    <row r="1021" spans="28:55">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row>
    <row r="1022" spans="28:55">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row>
    <row r="1023" spans="28:55">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row>
    <row r="1024" spans="28:55">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row>
    <row r="1025" spans="28:55">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row>
    <row r="1026" spans="28:55">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row>
    <row r="1027" spans="28:55">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2"/>
      <c r="AV1027" s="192"/>
      <c r="AW1027" s="192"/>
      <c r="AX1027" s="192"/>
      <c r="AY1027" s="192"/>
      <c r="AZ1027" s="192"/>
      <c r="BA1027" s="192"/>
      <c r="BB1027" s="192"/>
      <c r="BC1027" s="192"/>
    </row>
    <row r="1028" spans="28:55">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row>
    <row r="1029" spans="28:55">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row>
    <row r="1030" spans="28:55">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row>
    <row r="1031" spans="28:55">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row>
    <row r="1032" spans="28:55">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row>
    <row r="1033" spans="28:55">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2"/>
      <c r="AV1033" s="192"/>
      <c r="AW1033" s="192"/>
      <c r="AX1033" s="192"/>
      <c r="AY1033" s="192"/>
      <c r="AZ1033" s="192"/>
      <c r="BA1033" s="192"/>
      <c r="BB1033" s="192"/>
      <c r="BC1033" s="192"/>
    </row>
    <row r="1034" spans="28:55">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row>
    <row r="1035" spans="28:55">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row>
    <row r="1036" spans="28:55">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row>
    <row r="1037" spans="28:55">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row>
    <row r="1038" spans="28:55">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row>
    <row r="1039" spans="28:55">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row>
    <row r="1040" spans="28:55">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row>
    <row r="1041" spans="28:55">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row>
    <row r="1042" spans="28:55">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row>
    <row r="1043" spans="28:55">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row>
    <row r="1044" spans="28:55">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row>
    <row r="1045" spans="28:55">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row>
    <row r="1046" spans="28:55">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row>
    <row r="1047" spans="28:55">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row>
    <row r="1048" spans="28:55">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row>
    <row r="1049" spans="28:55">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row>
    <row r="1050" spans="28:55">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row>
    <row r="1051" spans="28:55">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row>
    <row r="1052" spans="28:55">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row>
    <row r="1053" spans="28:55">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row>
    <row r="1054" spans="28:55">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row>
    <row r="1055" spans="28:55">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row>
    <row r="1056" spans="28:55">
      <c r="AB1056" s="192"/>
      <c r="AC1056" s="192"/>
      <c r="AD1056" s="192"/>
      <c r="AE1056" s="192"/>
      <c r="AF1056" s="192"/>
      <c r="AG1056" s="192"/>
      <c r="AH1056" s="192"/>
      <c r="AI1056" s="192"/>
      <c r="AJ1056" s="192"/>
      <c r="AK1056" s="192"/>
      <c r="AL1056" s="192"/>
      <c r="AM1056" s="192"/>
      <c r="AN1056" s="192"/>
      <c r="AO1056" s="192"/>
      <c r="AP1056" s="192"/>
      <c r="AQ1056" s="192"/>
      <c r="AR1056" s="192"/>
      <c r="AS1056" s="192"/>
      <c r="AT1056" s="192"/>
      <c r="AU1056" s="192"/>
      <c r="AV1056" s="192"/>
      <c r="AW1056" s="192"/>
      <c r="AX1056" s="192"/>
      <c r="AY1056" s="192"/>
      <c r="AZ1056" s="192"/>
      <c r="BA1056" s="192"/>
      <c r="BB1056" s="192"/>
      <c r="BC1056" s="192"/>
    </row>
    <row r="1057" spans="28:55">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row>
    <row r="1058" spans="28:55">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row>
    <row r="1059" spans="28:55">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row>
    <row r="1060" spans="28:55">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row>
    <row r="1061" spans="28:55">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192"/>
      <c r="AW1061" s="192"/>
      <c r="AX1061" s="192"/>
      <c r="AY1061" s="192"/>
      <c r="AZ1061" s="192"/>
      <c r="BA1061" s="192"/>
      <c r="BB1061" s="192"/>
      <c r="BC1061" s="192"/>
    </row>
    <row r="1062" spans="28:55">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row>
    <row r="1063" spans="28:55">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row>
    <row r="1064" spans="28:55">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row>
    <row r="1065" spans="28:55">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row>
    <row r="1066" spans="28:55">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row>
    <row r="1067" spans="28:55">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row>
    <row r="1068" spans="28:55">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row>
    <row r="1069" spans="28:55">
      <c r="AB1069" s="192"/>
      <c r="AC1069" s="192"/>
      <c r="AD1069" s="192"/>
      <c r="AE1069" s="192"/>
      <c r="AF1069" s="192"/>
      <c r="AG1069" s="192"/>
      <c r="AH1069" s="192"/>
      <c r="AI1069" s="192"/>
      <c r="AJ1069" s="192"/>
      <c r="AK1069" s="192"/>
      <c r="AL1069" s="192"/>
      <c r="AM1069" s="192"/>
      <c r="AN1069" s="192"/>
      <c r="AO1069" s="192"/>
      <c r="AP1069" s="192"/>
      <c r="AQ1069" s="192"/>
      <c r="AR1069" s="192"/>
      <c r="AS1069" s="192"/>
      <c r="AT1069" s="192"/>
      <c r="AU1069" s="192"/>
      <c r="AV1069" s="192"/>
      <c r="AW1069" s="192"/>
      <c r="AX1069" s="192"/>
      <c r="AY1069" s="192"/>
      <c r="AZ1069" s="192"/>
      <c r="BA1069" s="192"/>
      <c r="BB1069" s="192"/>
      <c r="BC1069" s="192"/>
    </row>
    <row r="1070" spans="28:55">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row>
    <row r="1071" spans="28:55">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row>
    <row r="1072" spans="28:55">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row>
    <row r="1073" spans="28:55">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row>
    <row r="1074" spans="28:55">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row>
    <row r="1075" spans="28:55">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2"/>
      <c r="AV1075" s="192"/>
      <c r="AW1075" s="192"/>
      <c r="AX1075" s="192"/>
      <c r="AY1075" s="192"/>
      <c r="AZ1075" s="192"/>
      <c r="BA1075" s="192"/>
      <c r="BB1075" s="192"/>
      <c r="BC1075" s="192"/>
    </row>
    <row r="1076" spans="28:55">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row>
    <row r="1077" spans="28:55">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row>
    <row r="1078" spans="28:55">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row>
    <row r="1079" spans="28:55">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row>
    <row r="1080" spans="28:55">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row>
    <row r="1081" spans="28:55">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row>
    <row r="1082" spans="28:55">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row>
    <row r="1083" spans="28:55">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row>
    <row r="1084" spans="28:55">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row>
    <row r="1085" spans="28:55">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row>
    <row r="1086" spans="28:55">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row>
    <row r="1087" spans="28:55">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row>
    <row r="1088" spans="28:55">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row>
    <row r="1089" spans="28:55">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row>
    <row r="1090" spans="28:55">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row>
    <row r="1091" spans="28:55">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row>
    <row r="1092" spans="28:55">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row>
    <row r="1093" spans="28:55">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row>
    <row r="1094" spans="28:55">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row>
    <row r="1095" spans="28:55">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row>
    <row r="1096" spans="28:55">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row>
    <row r="1097" spans="28:55">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row>
    <row r="1098" spans="28:55">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2"/>
      <c r="AV1098" s="192"/>
      <c r="AW1098" s="192"/>
      <c r="AX1098" s="192"/>
      <c r="AY1098" s="192"/>
      <c r="AZ1098" s="192"/>
      <c r="BA1098" s="192"/>
      <c r="BB1098" s="192"/>
      <c r="BC1098" s="192"/>
    </row>
    <row r="1099" spans="28:55">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row>
    <row r="1100" spans="28:55">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row>
    <row r="1101" spans="28:55">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row>
    <row r="1102" spans="28:55">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row>
    <row r="1103" spans="28:55">
      <c r="AB1103" s="192"/>
      <c r="AC1103" s="192"/>
      <c r="AD1103" s="192"/>
      <c r="AE1103" s="192"/>
      <c r="AF1103" s="192"/>
      <c r="AG1103" s="192"/>
      <c r="AH1103" s="192"/>
      <c r="AI1103" s="192"/>
      <c r="AJ1103" s="192"/>
      <c r="AK1103" s="192"/>
      <c r="AL1103" s="192"/>
      <c r="AM1103" s="192"/>
      <c r="AN1103" s="192"/>
      <c r="AO1103" s="192"/>
      <c r="AP1103" s="192"/>
      <c r="AQ1103" s="192"/>
      <c r="AR1103" s="192"/>
      <c r="AS1103" s="192"/>
      <c r="AT1103" s="192"/>
      <c r="AU1103" s="192"/>
      <c r="AV1103" s="192"/>
      <c r="AW1103" s="192"/>
      <c r="AX1103" s="192"/>
      <c r="AY1103" s="192"/>
      <c r="AZ1103" s="192"/>
      <c r="BA1103" s="192"/>
      <c r="BB1103" s="192"/>
      <c r="BC1103" s="192"/>
    </row>
    <row r="1104" spans="28:55">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row>
    <row r="1105" spans="28:55">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row>
    <row r="1106" spans="28:55">
      <c r="AB1106" s="192"/>
      <c r="AC1106" s="192"/>
      <c r="AD1106" s="192"/>
      <c r="AE1106" s="192"/>
      <c r="AF1106" s="192"/>
      <c r="AG1106" s="192"/>
      <c r="AH1106" s="192"/>
      <c r="AI1106" s="192"/>
      <c r="AJ1106" s="192"/>
      <c r="AK1106" s="192"/>
      <c r="AL1106" s="192"/>
      <c r="AM1106" s="192"/>
      <c r="AN1106" s="192"/>
      <c r="AO1106" s="192"/>
      <c r="AP1106" s="192"/>
      <c r="AQ1106" s="192"/>
      <c r="AR1106" s="192"/>
      <c r="AS1106" s="192"/>
      <c r="AT1106" s="192"/>
      <c r="AU1106" s="192"/>
      <c r="AV1106" s="192"/>
      <c r="AW1106" s="192"/>
      <c r="AX1106" s="192"/>
      <c r="AY1106" s="192"/>
      <c r="AZ1106" s="192"/>
      <c r="BA1106" s="192"/>
      <c r="BB1106" s="192"/>
      <c r="BC1106" s="192"/>
    </row>
    <row r="1107" spans="28:55">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row>
    <row r="1108" spans="28:55">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row>
    <row r="1109" spans="28:55">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row>
    <row r="1110" spans="28:55">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row>
    <row r="1111" spans="28:55">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row>
    <row r="1112" spans="28:55">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row>
    <row r="1113" spans="28:55">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row>
    <row r="1114" spans="28:55">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row>
    <row r="1115" spans="28:55">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row>
    <row r="1116" spans="28:55">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row>
    <row r="1117" spans="28:55">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row>
    <row r="1118" spans="28:55">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row>
    <row r="1119" spans="28:55">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row>
    <row r="1120" spans="28:55">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row>
    <row r="1121" spans="28:55">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row>
    <row r="1122" spans="28:55">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row>
    <row r="1123" spans="28:55">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row>
    <row r="1124" spans="28:55">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row>
    <row r="1125" spans="28:55">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row>
    <row r="1126" spans="28:55">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row>
    <row r="1127" spans="28:55">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row>
    <row r="1128" spans="28:55">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row>
    <row r="1129" spans="28:55">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2"/>
      <c r="AV1129" s="192"/>
      <c r="AW1129" s="192"/>
      <c r="AX1129" s="192"/>
      <c r="AY1129" s="192"/>
      <c r="AZ1129" s="192"/>
      <c r="BA1129" s="192"/>
      <c r="BB1129" s="192"/>
      <c r="BC1129" s="192"/>
    </row>
    <row r="1130" spans="28:55">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row>
    <row r="1131" spans="28:55">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row>
    <row r="1132" spans="28:55">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row>
    <row r="1133" spans="28:55">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row>
    <row r="1134" spans="28:55">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2"/>
      <c r="AV1134" s="192"/>
      <c r="AW1134" s="192"/>
      <c r="AX1134" s="192"/>
      <c r="AY1134" s="192"/>
      <c r="AZ1134" s="192"/>
      <c r="BA1134" s="192"/>
      <c r="BB1134" s="192"/>
      <c r="BC1134" s="192"/>
    </row>
    <row r="1135" spans="28:55">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row>
    <row r="1136" spans="28:55">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row>
    <row r="1137" spans="28:55">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row>
    <row r="1138" spans="28:55">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row>
    <row r="1139" spans="28:55">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row>
    <row r="1140" spans="28:55">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row>
    <row r="1141" spans="28:55">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row>
    <row r="1142" spans="28:55">
      <c r="AB1142" s="192"/>
      <c r="AC1142" s="192"/>
      <c r="AD1142" s="192"/>
      <c r="AE1142" s="192"/>
      <c r="AF1142" s="192"/>
      <c r="AG1142" s="192"/>
      <c r="AH1142" s="192"/>
      <c r="AI1142" s="192"/>
      <c r="AJ1142" s="192"/>
      <c r="AK1142" s="192"/>
      <c r="AL1142" s="192"/>
      <c r="AM1142" s="192"/>
      <c r="AN1142" s="192"/>
      <c r="AO1142" s="192"/>
      <c r="AP1142" s="192"/>
      <c r="AQ1142" s="192"/>
      <c r="AR1142" s="192"/>
      <c r="AS1142" s="192"/>
      <c r="AT1142" s="192"/>
      <c r="AU1142" s="192"/>
      <c r="AV1142" s="192"/>
      <c r="AW1142" s="192"/>
      <c r="AX1142" s="192"/>
      <c r="AY1142" s="192"/>
      <c r="AZ1142" s="192"/>
      <c r="BA1142" s="192"/>
      <c r="BB1142" s="192"/>
      <c r="BC1142" s="192"/>
    </row>
    <row r="1143" spans="28:55">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row>
    <row r="1144" spans="28:55">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row>
    <row r="1145" spans="28:55">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row>
    <row r="1146" spans="28:55">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row>
    <row r="1147" spans="28:55">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row>
    <row r="1148" spans="28:55">
      <c r="AB1148" s="192"/>
      <c r="AC1148" s="192"/>
      <c r="AD1148" s="192"/>
      <c r="AE1148" s="192"/>
      <c r="AF1148" s="192"/>
      <c r="AG1148" s="192"/>
      <c r="AH1148" s="192"/>
      <c r="AI1148" s="192"/>
      <c r="AJ1148" s="192"/>
      <c r="AK1148" s="192"/>
      <c r="AL1148" s="192"/>
      <c r="AM1148" s="192"/>
      <c r="AN1148" s="192"/>
      <c r="AO1148" s="192"/>
      <c r="AP1148" s="192"/>
      <c r="AQ1148" s="192"/>
      <c r="AR1148" s="192"/>
      <c r="AS1148" s="192"/>
      <c r="AT1148" s="192"/>
      <c r="AU1148" s="192"/>
      <c r="AV1148" s="192"/>
      <c r="AW1148" s="192"/>
      <c r="AX1148" s="192"/>
      <c r="AY1148" s="192"/>
      <c r="AZ1148" s="192"/>
      <c r="BA1148" s="192"/>
      <c r="BB1148" s="192"/>
      <c r="BC1148" s="192"/>
    </row>
    <row r="1149" spans="28:55">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row>
    <row r="1150" spans="28:55">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row>
    <row r="1151" spans="28:55">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row>
    <row r="1152" spans="28:55">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row>
    <row r="1153" spans="28:55">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row>
    <row r="1154" spans="28:55">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row>
    <row r="1155" spans="28:55">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row>
    <row r="1156" spans="28:55">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row>
    <row r="1157" spans="28:55">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row>
    <row r="1158" spans="28:55">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row>
    <row r="1159" spans="28:55">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row>
    <row r="1160" spans="28:55">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row>
    <row r="1161" spans="28:55">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row>
    <row r="1162" spans="28:55">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row>
    <row r="1163" spans="28:55">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row>
  </sheetData>
  <mergeCells count="30">
    <mergeCell ref="E97:E107"/>
    <mergeCell ref="E110:E120"/>
    <mergeCell ref="E123:E133"/>
    <mergeCell ref="E136:E146"/>
    <mergeCell ref="E45:E55"/>
    <mergeCell ref="E58:E68"/>
    <mergeCell ref="E71:E81"/>
    <mergeCell ref="E84:E94"/>
    <mergeCell ref="E201:E211"/>
    <mergeCell ref="E214:E224"/>
    <mergeCell ref="E227:E237"/>
    <mergeCell ref="E240:E250"/>
    <mergeCell ref="E149:E159"/>
    <mergeCell ref="E162:E172"/>
    <mergeCell ref="E175:E185"/>
    <mergeCell ref="E188:E198"/>
    <mergeCell ref="E305:E315"/>
    <mergeCell ref="E318:E328"/>
    <mergeCell ref="E331:E341"/>
    <mergeCell ref="E344:E354"/>
    <mergeCell ref="E253:E263"/>
    <mergeCell ref="E266:E276"/>
    <mergeCell ref="E279:E289"/>
    <mergeCell ref="E292:E302"/>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tabSelected="1" topLeftCell="D1" workbookViewId="0">
      <pane ySplit="4" topLeftCell="A294" activePane="bottomLeft" state="frozen"/>
      <selection activeCell="G22" sqref="G22:I22"/>
      <selection pane="bottomLeft" activeCell="X381" sqref="X38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26"/>
      <c r="BL1" s="226"/>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31"/>
      <c r="BL3" s="23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26"/>
      <c r="BL4" s="226"/>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26"/>
      <c r="BL5" s="226"/>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7">
        <f>SUM(G7:G36)</f>
        <v>6452.6379509999997</v>
      </c>
      <c r="H6" s="143">
        <f>SUM(H7:H36)</f>
        <v>7148.9485249999989</v>
      </c>
      <c r="I6" s="143">
        <f t="shared" ref="I6:Q6" si="1">SUM(I7:I36)</f>
        <v>7038.9956169282787</v>
      </c>
      <c r="J6" s="143">
        <f t="shared" si="1"/>
        <v>6826.0974216905197</v>
      </c>
      <c r="K6" s="143">
        <f t="shared" si="1"/>
        <v>6667.5252307525316</v>
      </c>
      <c r="L6" s="143">
        <f t="shared" si="1"/>
        <v>6533.4892552864412</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26"/>
      <c r="BL6" s="226"/>
    </row>
    <row r="7" spans="1:256" outlineLevel="1">
      <c r="A7" s="9"/>
      <c r="B7" s="9"/>
      <c r="C7" s="9"/>
      <c r="D7" s="132" t="str">
        <f>Asset1</f>
        <v>Overhead Sub-Transmission Lines</v>
      </c>
      <c r="E7" s="9"/>
      <c r="F7" s="9"/>
      <c r="G7" s="198">
        <f>'Actual RAB roll forward'!G438</f>
        <v>993.69486300000005</v>
      </c>
      <c r="H7" s="113">
        <f t="shared" ref="H7:H26" si="2">G7+G39+G71+G103+G135+G167</f>
        <v>1056.633057</v>
      </c>
      <c r="I7" s="113">
        <f t="shared" ref="I7:L34" si="3">H7+H39+H71</f>
        <v>1060.8807627291108</v>
      </c>
      <c r="J7" s="113">
        <f t="shared" si="3"/>
        <v>1045.6742624814442</v>
      </c>
      <c r="K7" s="113">
        <f t="shared" si="3"/>
        <v>1039.3426017671729</v>
      </c>
      <c r="L7" s="113">
        <f t="shared" si="3"/>
        <v>1036.5099847907361</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256" outlineLevel="1">
      <c r="A8" s="9"/>
      <c r="B8" s="9"/>
      <c r="C8" s="46"/>
      <c r="D8" s="132" t="str">
        <f>Asset2</f>
        <v>Underground Sub-Transmission Cables</v>
      </c>
      <c r="E8" s="9"/>
      <c r="F8" s="9"/>
      <c r="G8" s="198">
        <f>'Actual RAB roll forward'!G439</f>
        <v>37.779063999999998</v>
      </c>
      <c r="H8" s="113">
        <f t="shared" si="2"/>
        <v>52.156053999999997</v>
      </c>
      <c r="I8" s="113">
        <f t="shared" si="3"/>
        <v>51.581348283791719</v>
      </c>
      <c r="J8" s="113">
        <f t="shared" si="3"/>
        <v>50.007858245197554</v>
      </c>
      <c r="K8" s="113">
        <f t="shared" si="3"/>
        <v>48.831841449454068</v>
      </c>
      <c r="L8" s="113">
        <f t="shared" si="3"/>
        <v>47.77574582075281</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26"/>
      <c r="BL8" s="226"/>
    </row>
    <row r="9" spans="1:256" outlineLevel="1">
      <c r="A9" s="9"/>
      <c r="B9" s="9"/>
      <c r="C9" s="46"/>
      <c r="D9" s="132" t="str">
        <f>Asset3</f>
        <v>Overhead Distribution Lines</v>
      </c>
      <c r="E9" s="9"/>
      <c r="F9" s="9"/>
      <c r="G9" s="198">
        <f>'Actual RAB roll forward'!G440</f>
        <v>2051.5581069999998</v>
      </c>
      <c r="H9" s="113">
        <f t="shared" si="2"/>
        <v>2189.4807769999998</v>
      </c>
      <c r="I9" s="113">
        <f t="shared" si="3"/>
        <v>2197.7783848722547</v>
      </c>
      <c r="J9" s="113">
        <f t="shared" si="3"/>
        <v>2165.7395983547299</v>
      </c>
      <c r="K9" s="113">
        <f t="shared" si="3"/>
        <v>2152.0645370921152</v>
      </c>
      <c r="L9" s="113">
        <f t="shared" si="3"/>
        <v>2145.6060130268943</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26"/>
      <c r="BL9" s="226"/>
    </row>
    <row r="10" spans="1:256" outlineLevel="1">
      <c r="A10" s="9"/>
      <c r="B10" s="9"/>
      <c r="C10" s="46"/>
      <c r="D10" s="132" t="str">
        <f>Asset4</f>
        <v>Underground Distribution Cables</v>
      </c>
      <c r="E10" s="9"/>
      <c r="F10" s="9"/>
      <c r="G10" s="198">
        <f>'Actual RAB roll forward'!G441</f>
        <v>529.61822400000005</v>
      </c>
      <c r="H10" s="113">
        <f t="shared" si="2"/>
        <v>636.12367100000006</v>
      </c>
      <c r="I10" s="113">
        <f t="shared" si="3"/>
        <v>643.39819064795302</v>
      </c>
      <c r="J10" s="113">
        <f t="shared" si="3"/>
        <v>639.19233379058528</v>
      </c>
      <c r="K10" s="113">
        <f t="shared" si="3"/>
        <v>640.57352340308478</v>
      </c>
      <c r="L10" s="113">
        <f t="shared" si="3"/>
        <v>644.37874343822341</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26"/>
      <c r="BL10" s="226"/>
    </row>
    <row r="11" spans="1:256" outlineLevel="1">
      <c r="A11" s="9"/>
      <c r="B11" s="9"/>
      <c r="C11" s="46"/>
      <c r="D11" s="132" t="str">
        <f>Asset5</f>
        <v xml:space="preserve">Distribution Equipment  </v>
      </c>
      <c r="E11" s="9"/>
      <c r="F11" s="9"/>
      <c r="G11" s="198">
        <f>'Actual RAB roll forward'!G442</f>
        <v>50.789208000000002</v>
      </c>
      <c r="H11" s="113">
        <f t="shared" si="2"/>
        <v>67.082565000000017</v>
      </c>
      <c r="I11" s="113">
        <f t="shared" si="3"/>
        <v>65.696788815569192</v>
      </c>
      <c r="J11" s="113">
        <f t="shared" si="3"/>
        <v>62.994638947479963</v>
      </c>
      <c r="K11" s="113">
        <f t="shared" si="3"/>
        <v>60.770251275516017</v>
      </c>
      <c r="L11" s="113">
        <f t="shared" si="3"/>
        <v>58.656584651096416</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26"/>
      <c r="BL11" s="226"/>
    </row>
    <row r="12" spans="1:256" outlineLevel="1">
      <c r="A12" s="9"/>
      <c r="B12" s="9"/>
      <c r="C12" s="46"/>
      <c r="D12" s="132" t="str">
        <f>Asset6</f>
        <v>Substation Bays</v>
      </c>
      <c r="E12" s="9"/>
      <c r="F12" s="9"/>
      <c r="G12" s="198">
        <f>'Actual RAB roll forward'!G443</f>
        <v>729.01710300000002</v>
      </c>
      <c r="H12" s="113">
        <f t="shared" si="2"/>
        <v>826.69113600000003</v>
      </c>
      <c r="I12" s="113">
        <f t="shared" si="3"/>
        <v>828.18220053428752</v>
      </c>
      <c r="J12" s="113">
        <f t="shared" si="3"/>
        <v>814.36267192340949</v>
      </c>
      <c r="K12" s="113">
        <f t="shared" si="3"/>
        <v>807.39183538558177</v>
      </c>
      <c r="L12" s="113">
        <f t="shared" si="3"/>
        <v>803.03526524306847</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26"/>
      <c r="BL12" s="226"/>
    </row>
    <row r="13" spans="1:256" outlineLevel="1">
      <c r="A13" s="9"/>
      <c r="B13" s="9"/>
      <c r="C13" s="46"/>
      <c r="D13" s="132" t="str">
        <f>Asset7</f>
        <v>Substation Establishment</v>
      </c>
      <c r="E13" s="9"/>
      <c r="F13" s="9"/>
      <c r="G13" s="198">
        <f>'Actual RAB roll forward'!G444</f>
        <v>258.47623700000003</v>
      </c>
      <c r="H13" s="113">
        <f t="shared" si="2"/>
        <v>286.57619800000003</v>
      </c>
      <c r="I13" s="113">
        <f t="shared" si="3"/>
        <v>286.67628746763995</v>
      </c>
      <c r="J13" s="113">
        <f t="shared" si="3"/>
        <v>281.4484263829408</v>
      </c>
      <c r="K13" s="113">
        <f t="shared" si="3"/>
        <v>278.57312454228475</v>
      </c>
      <c r="L13" s="113">
        <f t="shared" si="3"/>
        <v>276.5760167786384</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26"/>
      <c r="BL13" s="226"/>
    </row>
    <row r="14" spans="1:256" outlineLevel="1">
      <c r="A14" s="9"/>
      <c r="B14" s="9"/>
      <c r="C14" s="46"/>
      <c r="D14" s="132" t="str">
        <f>Asset8</f>
        <v>Distribution Substation Switchgear</v>
      </c>
      <c r="E14" s="9"/>
      <c r="F14" s="9"/>
      <c r="G14" s="198">
        <f>'Actual RAB roll forward'!G445</f>
        <v>87.030482000000006</v>
      </c>
      <c r="H14" s="113">
        <f t="shared" si="2"/>
        <v>93.916054000000003</v>
      </c>
      <c r="I14" s="113">
        <f t="shared" si="3"/>
        <v>94.310283193184219</v>
      </c>
      <c r="J14" s="113">
        <f t="shared" si="3"/>
        <v>92.976195521633727</v>
      </c>
      <c r="K14" s="113">
        <f t="shared" si="3"/>
        <v>92.431788059364919</v>
      </c>
      <c r="L14" s="113">
        <f t="shared" si="3"/>
        <v>92.199506790436928</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26"/>
      <c r="BL14" s="226"/>
    </row>
    <row r="15" spans="1:256" outlineLevel="1">
      <c r="A15" s="9"/>
      <c r="B15" s="9"/>
      <c r="C15" s="46"/>
      <c r="D15" s="132" t="str">
        <f>Asset9</f>
        <v>Zone Transformers</v>
      </c>
      <c r="E15" s="9"/>
      <c r="F15" s="9"/>
      <c r="G15" s="198">
        <f>'Actual RAB roll forward'!G446</f>
        <v>218.18559099999999</v>
      </c>
      <c r="H15" s="113">
        <f t="shared" si="2"/>
        <v>241.027929</v>
      </c>
      <c r="I15" s="113">
        <f t="shared" si="3"/>
        <v>240.05076390803336</v>
      </c>
      <c r="J15" s="113">
        <f t="shared" si="3"/>
        <v>234.54035779236236</v>
      </c>
      <c r="K15" s="113">
        <f t="shared" si="3"/>
        <v>230.95366786242388</v>
      </c>
      <c r="L15" s="113">
        <f t="shared" si="3"/>
        <v>228.03415648417669</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26"/>
      <c r="BL15" s="226"/>
    </row>
    <row r="16" spans="1:256" outlineLevel="1">
      <c r="A16" s="9"/>
      <c r="B16" s="9"/>
      <c r="C16" s="46"/>
      <c r="D16" s="132" t="str">
        <f>Asset10</f>
        <v>Distribution Transformers</v>
      </c>
      <c r="E16" s="9"/>
      <c r="F16" s="9"/>
      <c r="G16" s="198">
        <f>'Actual RAB roll forward'!G447</f>
        <v>738.96965799999998</v>
      </c>
      <c r="H16" s="113">
        <f t="shared" si="2"/>
        <v>825.35839399999998</v>
      </c>
      <c r="I16" s="113">
        <f t="shared" si="3"/>
        <v>814.70743396017099</v>
      </c>
      <c r="J16" s="113">
        <f t="shared" si="3"/>
        <v>788.17450821786372</v>
      </c>
      <c r="K16" s="113">
        <f t="shared" si="3"/>
        <v>767.85096393389006</v>
      </c>
      <c r="L16" s="113">
        <f t="shared" si="3"/>
        <v>749.32039251299727</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26"/>
      <c r="BL16" s="226"/>
    </row>
    <row r="17" spans="1:64" outlineLevel="1">
      <c r="A17" s="9"/>
      <c r="B17" s="9"/>
      <c r="C17" s="46"/>
      <c r="D17" s="132" t="str">
        <f>Asset11</f>
        <v>Low Voltage Services</v>
      </c>
      <c r="E17" s="9"/>
      <c r="F17" s="9"/>
      <c r="G17" s="198">
        <f>'Actual RAB roll forward'!G448</f>
        <v>104.11265400000001</v>
      </c>
      <c r="H17" s="113">
        <f t="shared" si="2"/>
        <v>93.357134000000002</v>
      </c>
      <c r="I17" s="113">
        <f t="shared" si="3"/>
        <v>72.800973745740805</v>
      </c>
      <c r="J17" s="113">
        <f t="shared" si="3"/>
        <v>49.498233385676215</v>
      </c>
      <c r="K17" s="113">
        <f t="shared" si="3"/>
        <v>25.896336142295919</v>
      </c>
      <c r="L17" s="113">
        <f t="shared" si="3"/>
        <v>1.194761886292433</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26"/>
      <c r="BL17" s="226"/>
    </row>
    <row r="18" spans="1:64" outlineLevel="1">
      <c r="A18" s="9"/>
      <c r="B18" s="9"/>
      <c r="C18" s="46"/>
      <c r="D18" s="132" t="str">
        <f>Asset12</f>
        <v>Metering</v>
      </c>
      <c r="E18" s="9"/>
      <c r="F18" s="9"/>
      <c r="G18" s="198">
        <f>'Actual RAB roll forward'!G449</f>
        <v>63.344796000000002</v>
      </c>
      <c r="H18" s="113">
        <f t="shared" si="2"/>
        <v>66.005122</v>
      </c>
      <c r="I18" s="113">
        <f>H18+H50+H82</f>
        <v>54.649875350007591</v>
      </c>
      <c r="J18" s="113">
        <f t="shared" si="3"/>
        <v>41.508804034765973</v>
      </c>
      <c r="K18" s="113">
        <f t="shared" si="3"/>
        <v>28.320713068200192</v>
      </c>
      <c r="L18" s="113">
        <f t="shared" si="3"/>
        <v>14.569053616977655</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26"/>
      <c r="BL18" s="226"/>
    </row>
    <row r="19" spans="1:64" outlineLevel="1">
      <c r="A19" s="9"/>
      <c r="B19" s="9"/>
      <c r="C19" s="46"/>
      <c r="D19" s="132" t="str">
        <f>Asset13</f>
        <v xml:space="preserve">Communications – Pilot Wires </v>
      </c>
      <c r="E19" s="9"/>
      <c r="F19" s="9"/>
      <c r="G19" s="198">
        <f>'Actual RAB roll forward'!G450</f>
        <v>43.338639999999998</v>
      </c>
      <c r="H19" s="113">
        <f t="shared" si="2"/>
        <v>80.41318600000001</v>
      </c>
      <c r="I19" s="113">
        <f t="shared" si="3"/>
        <v>78.943758172912283</v>
      </c>
      <c r="J19" s="113">
        <f t="shared" si="3"/>
        <v>75.905781306690997</v>
      </c>
      <c r="K19" s="113">
        <f t="shared" si="3"/>
        <v>73.450430039728388</v>
      </c>
      <c r="L19" s="113">
        <f t="shared" si="3"/>
        <v>71.140706945271802</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26"/>
      <c r="BL19" s="226"/>
    </row>
    <row r="20" spans="1:64" outlineLevel="1">
      <c r="A20" s="9"/>
      <c r="B20" s="9"/>
      <c r="C20" s="46"/>
      <c r="D20" s="132" t="str">
        <f>Asset14</f>
        <v>Generation Assets</v>
      </c>
      <c r="E20" s="9"/>
      <c r="F20" s="9"/>
      <c r="G20" s="198">
        <f>'Actual RAB roll forward'!G451</f>
        <v>3.8847779999999998</v>
      </c>
      <c r="H20" s="113">
        <f t="shared" si="2"/>
        <v>3.46767</v>
      </c>
      <c r="I20" s="113">
        <f t="shared" si="3"/>
        <v>2.9470350580427498</v>
      </c>
      <c r="J20" s="113">
        <f t="shared" si="3"/>
        <v>2.3363074508490986</v>
      </c>
      <c r="K20" s="113">
        <f t="shared" si="3"/>
        <v>1.72703918198405</v>
      </c>
      <c r="L20" s="113">
        <f t="shared" si="3"/>
        <v>1.0932735760014998</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26"/>
      <c r="BL20" s="226"/>
    </row>
    <row r="21" spans="1:64" outlineLevel="1">
      <c r="A21" s="9"/>
      <c r="B21" s="9"/>
      <c r="C21" s="46"/>
      <c r="D21" s="132" t="str">
        <f>Asset15</f>
        <v>Street Lighting</v>
      </c>
      <c r="E21" s="9"/>
      <c r="F21" s="9"/>
      <c r="G21" s="198">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26"/>
      <c r="BL21" s="226"/>
    </row>
    <row r="22" spans="1:64" outlineLevel="1">
      <c r="A22" s="9"/>
      <c r="B22" s="9"/>
      <c r="C22" s="46"/>
      <c r="D22" s="132" t="str">
        <f>Asset16</f>
        <v>Other Equipment</v>
      </c>
      <c r="E22" s="9"/>
      <c r="F22" s="9"/>
      <c r="G22" s="198">
        <f>'Actual RAB roll forward'!G453</f>
        <v>17.990687000000001</v>
      </c>
      <c r="H22" s="113">
        <f t="shared" si="2"/>
        <v>18.179272000000001</v>
      </c>
      <c r="I22" s="113">
        <f t="shared" si="3"/>
        <v>18.276161515630889</v>
      </c>
      <c r="J22" s="113">
        <f t="shared" si="3"/>
        <v>18.039512233551175</v>
      </c>
      <c r="K22" s="113">
        <f t="shared" si="3"/>
        <v>17.956785885745649</v>
      </c>
      <c r="L22" s="113">
        <f t="shared" si="3"/>
        <v>17.935862704712584</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26"/>
      <c r="BL22" s="226"/>
    </row>
    <row r="23" spans="1:64" outlineLevel="1">
      <c r="A23" s="9"/>
      <c r="B23" s="9"/>
      <c r="C23" s="46"/>
      <c r="D23" s="132" t="str">
        <f>Asset17</f>
        <v>Control Centre - SCADA</v>
      </c>
      <c r="E23" s="9"/>
      <c r="F23" s="9"/>
      <c r="G23" s="198">
        <f>'Actual RAB roll forward'!G454</f>
        <v>41.890070000000001</v>
      </c>
      <c r="H23" s="113">
        <f t="shared" si="2"/>
        <v>44.092497999999999</v>
      </c>
      <c r="I23" s="113">
        <f t="shared" si="3"/>
        <v>32.345996294810028</v>
      </c>
      <c r="J23" s="113">
        <f t="shared" si="3"/>
        <v>19.202228910788008</v>
      </c>
      <c r="K23" s="113">
        <f t="shared" si="3"/>
        <v>5.8117041288951032</v>
      </c>
      <c r="L23" s="113">
        <f t="shared" si="3"/>
        <v>-0.17458054229115394</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26"/>
      <c r="BL23" s="226"/>
    </row>
    <row r="24" spans="1:64" outlineLevel="1">
      <c r="A24" s="9"/>
      <c r="B24" s="9"/>
      <c r="C24" s="46"/>
      <c r="D24" s="132" t="str">
        <f>Asset18</f>
        <v>Land &amp; Easements (System)</v>
      </c>
      <c r="E24" s="9"/>
      <c r="F24" s="9"/>
      <c r="G24" s="198">
        <f>'Actual RAB roll forward'!G455</f>
        <v>61.126826999999999</v>
      </c>
      <c r="H24" s="113">
        <f t="shared" si="2"/>
        <v>80.727458999999996</v>
      </c>
      <c r="I24" s="113">
        <f t="shared" si="3"/>
        <v>83.415683384700003</v>
      </c>
      <c r="J24" s="113">
        <f t="shared" si="3"/>
        <v>84.733651182178264</v>
      </c>
      <c r="K24" s="113">
        <f t="shared" si="3"/>
        <v>86.851992461732721</v>
      </c>
      <c r="L24" s="113">
        <f t="shared" si="3"/>
        <v>89.396755840861488</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26"/>
      <c r="BL24" s="226"/>
    </row>
    <row r="25" spans="1:64" outlineLevel="1">
      <c r="A25" s="9"/>
      <c r="B25" s="9"/>
      <c r="C25" s="46"/>
      <c r="D25" s="132" t="str">
        <f>Asset19</f>
        <v>Metering Type 5-6</v>
      </c>
      <c r="E25" s="9"/>
      <c r="F25" s="9"/>
      <c r="G25" s="198">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26"/>
      <c r="BL25" s="226"/>
    </row>
    <row r="26" spans="1:64" outlineLevel="1">
      <c r="A26" s="9"/>
      <c r="B26" s="9"/>
      <c r="C26" s="46"/>
      <c r="D26" s="132" t="str">
        <f>Asset20</f>
        <v>Communications</v>
      </c>
      <c r="E26" s="9"/>
      <c r="F26" s="9"/>
      <c r="G26" s="198">
        <f>'Actual RAB roll forward'!G457</f>
        <v>9.0331250000000001</v>
      </c>
      <c r="H26" s="113">
        <f t="shared" si="2"/>
        <v>8.0593400000000006</v>
      </c>
      <c r="I26" s="113">
        <f t="shared" si="3"/>
        <v>7.0711053845780967</v>
      </c>
      <c r="J26" s="113">
        <f t="shared" si="3"/>
        <v>5.8843730780063774</v>
      </c>
      <c r="K26" s="113">
        <f t="shared" si="3"/>
        <v>4.7125110321164447</v>
      </c>
      <c r="L26" s="113">
        <f t="shared" si="3"/>
        <v>3.498641948196362</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26"/>
      <c r="BL26" s="226"/>
    </row>
    <row r="27" spans="1:64" outlineLevel="1">
      <c r="A27" s="9"/>
      <c r="B27" s="9"/>
      <c r="C27" s="46"/>
      <c r="D27" s="132" t="str">
        <f>Asset21</f>
        <v>IT Systems</v>
      </c>
      <c r="E27" s="9"/>
      <c r="F27" s="9"/>
      <c r="G27" s="198">
        <f>'Actual RAB roll forward'!G458</f>
        <v>38.095872999999997</v>
      </c>
      <c r="H27" s="113">
        <f t="shared" ref="H27:H36" si="4">G27+G59+G91+G123+G155+G187</f>
        <v>33.398921000000001</v>
      </c>
      <c r="I27" s="113">
        <f t="shared" si="3"/>
        <v>0.15715493697018701</v>
      </c>
      <c r="J27" s="113">
        <f t="shared" si="3"/>
        <v>0.14909865090794389</v>
      </c>
      <c r="K27" s="113">
        <f t="shared" si="3"/>
        <v>0.15282611718064248</v>
      </c>
      <c r="L27" s="113">
        <f t="shared" si="3"/>
        <v>0.15730392241403532</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26"/>
      <c r="BL27" s="226"/>
    </row>
    <row r="28" spans="1:64" outlineLevel="1">
      <c r="A28" s="9"/>
      <c r="B28" s="9"/>
      <c r="C28" s="46"/>
      <c r="D28" s="132" t="str">
        <f>Asset22</f>
        <v>Office Equipment &amp; Furniture</v>
      </c>
      <c r="E28" s="9"/>
      <c r="F28" s="9"/>
      <c r="G28" s="198">
        <f>'Actual RAB roll forward'!G459</f>
        <v>25.818006</v>
      </c>
      <c r="H28" s="113">
        <f t="shared" si="4"/>
        <v>22.718036000000001</v>
      </c>
      <c r="I28" s="113">
        <f t="shared" si="3"/>
        <v>19.008857775274599</v>
      </c>
      <c r="J28" s="113">
        <f t="shared" si="3"/>
        <v>14.694801466775138</v>
      </c>
      <c r="K28" s="113">
        <f t="shared" si="3"/>
        <v>10.374867781166405</v>
      </c>
      <c r="L28" s="113">
        <f t="shared" si="3"/>
        <v>5.8743650918195165</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26"/>
      <c r="BL28" s="226"/>
    </row>
    <row r="29" spans="1:64" outlineLevel="1">
      <c r="A29" s="9"/>
      <c r="B29" s="9"/>
      <c r="C29" s="46"/>
      <c r="D29" s="132" t="str">
        <f>Asset23</f>
        <v>Motor Vehicles</v>
      </c>
      <c r="E29" s="9"/>
      <c r="F29" s="9"/>
      <c r="G29" s="198">
        <f>'Actual RAB roll forward'!G460</f>
        <v>103.27366499999999</v>
      </c>
      <c r="H29" s="113">
        <f t="shared" si="4"/>
        <v>102.796655</v>
      </c>
      <c r="I29" s="113">
        <f t="shared" si="3"/>
        <v>91.129690142369796</v>
      </c>
      <c r="J29" s="113">
        <f t="shared" si="3"/>
        <v>76.976945664967005</v>
      </c>
      <c r="K29" s="113">
        <f t="shared" si="3"/>
        <v>63.062412746348834</v>
      </c>
      <c r="L29" s="113">
        <f t="shared" si="3"/>
        <v>48.675210965568454</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26"/>
      <c r="BL29" s="226"/>
    </row>
    <row r="30" spans="1:64" outlineLevel="1">
      <c r="A30" s="9"/>
      <c r="B30" s="9"/>
      <c r="C30" s="46"/>
      <c r="D30" s="132" t="str">
        <f>Asset24</f>
        <v>Plant &amp; Equipment</v>
      </c>
      <c r="E30" s="9"/>
      <c r="F30" s="9"/>
      <c r="G30" s="198">
        <f>'Actual RAB roll forward'!G461</f>
        <v>90.480731000000006</v>
      </c>
      <c r="H30" s="113">
        <f t="shared" si="4"/>
        <v>85.455234000000004</v>
      </c>
      <c r="I30" s="113">
        <f t="shared" si="3"/>
        <v>76.399719932979863</v>
      </c>
      <c r="J30" s="113">
        <f t="shared" si="3"/>
        <v>65.309353075838771</v>
      </c>
      <c r="K30" s="113">
        <f t="shared" si="3"/>
        <v>54.450304248225677</v>
      </c>
      <c r="L30" s="113">
        <f t="shared" si="3"/>
        <v>43.241620941826895</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26"/>
      <c r="BL30" s="226"/>
    </row>
    <row r="31" spans="1:64" outlineLevel="1">
      <c r="A31" s="9"/>
      <c r="B31" s="9"/>
      <c r="C31" s="46"/>
      <c r="D31" s="132" t="str">
        <f>Asset25</f>
        <v>Buildings</v>
      </c>
      <c r="E31" s="9"/>
      <c r="F31" s="9"/>
      <c r="G31" s="198">
        <f>'Actual RAB roll forward'!G462</f>
        <v>130.185092</v>
      </c>
      <c r="H31" s="113">
        <f t="shared" si="4"/>
        <v>208.170163</v>
      </c>
      <c r="I31" s="113">
        <f t="shared" si="3"/>
        <v>190.95489770226786</v>
      </c>
      <c r="J31" s="113">
        <f t="shared" si="3"/>
        <v>169.02054721386799</v>
      </c>
      <c r="K31" s="113">
        <f t="shared" si="3"/>
        <v>147.90039030373987</v>
      </c>
      <c r="L31" s="113">
        <f t="shared" si="3"/>
        <v>126.25455938440277</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26"/>
      <c r="BL31" s="226"/>
    </row>
    <row r="32" spans="1:64" outlineLevel="1">
      <c r="A32" s="9"/>
      <c r="B32" s="9"/>
      <c r="C32" s="46"/>
      <c r="D32" s="132" t="str">
        <f>Asset26</f>
        <v>Land &amp; Easements</v>
      </c>
      <c r="E32" s="9"/>
      <c r="F32" s="9"/>
      <c r="G32" s="198">
        <f>'Actual RAB roll forward'!G463</f>
        <v>12.977091</v>
      </c>
      <c r="H32" s="113">
        <f t="shared" si="4"/>
        <v>15.061337</v>
      </c>
      <c r="I32" s="113">
        <f t="shared" si="3"/>
        <v>15.562879522099999</v>
      </c>
      <c r="J32" s="113">
        <f t="shared" si="3"/>
        <v>15.808773018549179</v>
      </c>
      <c r="K32" s="113">
        <f t="shared" si="3"/>
        <v>16.203992344012907</v>
      </c>
      <c r="L32" s="113">
        <f t="shared" si="3"/>
        <v>16.678769319692485</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26"/>
      <c r="BL32" s="226"/>
    </row>
    <row r="33" spans="1:64" outlineLevel="1">
      <c r="A33" s="9"/>
      <c r="B33" s="9"/>
      <c r="C33" s="46"/>
      <c r="D33" s="132" t="str">
        <f>Asset27</f>
        <v>Land Improvements</v>
      </c>
      <c r="E33" s="9"/>
      <c r="F33" s="9"/>
      <c r="G33" s="198">
        <f>'Actual RAB roll forward'!G464</f>
        <v>11.967378999999999</v>
      </c>
      <c r="H33" s="113">
        <f t="shared" si="4"/>
        <v>12.000662999999999</v>
      </c>
      <c r="I33" s="113">
        <f t="shared" si="3"/>
        <v>12.069383597898165</v>
      </c>
      <c r="J33" s="113">
        <f t="shared" si="3"/>
        <v>11.918159359459061</v>
      </c>
      <c r="K33" s="113">
        <f t="shared" si="3"/>
        <v>11.868790500270926</v>
      </c>
      <c r="L33" s="113">
        <f t="shared" si="3"/>
        <v>11.860540147674886</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26"/>
      <c r="BL33" s="226"/>
    </row>
    <row r="34" spans="1:64" outlineLevel="1">
      <c r="A34" s="9"/>
      <c r="B34" s="9"/>
      <c r="C34" s="46"/>
      <c r="D34" s="132" t="str">
        <f>Asset28</f>
        <v>Equity Raising Costs</v>
      </c>
      <c r="E34" s="9"/>
      <c r="F34" s="9"/>
      <c r="G34" s="198">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26"/>
      <c r="BL34" s="226"/>
    </row>
    <row r="35" spans="1:64" outlineLevel="1">
      <c r="A35" s="9"/>
      <c r="B35" s="9"/>
      <c r="C35" s="46"/>
      <c r="D35" s="132" t="str">
        <f>Asset29</f>
        <v>Not Used</v>
      </c>
      <c r="E35" s="9"/>
      <c r="F35" s="9"/>
      <c r="G35" s="198">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26"/>
      <c r="BL35" s="226"/>
    </row>
    <row r="36" spans="1:64" outlineLevel="1">
      <c r="A36" s="9"/>
      <c r="B36" s="9"/>
      <c r="C36" s="46"/>
      <c r="D36" s="132" t="str">
        <f>Asset30</f>
        <v>Not Used</v>
      </c>
      <c r="E36" s="9"/>
      <c r="F36" s="9"/>
      <c r="G36" s="198">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26"/>
      <c r="BL36" s="226"/>
    </row>
    <row r="37" spans="1:64">
      <c r="A37" s="9"/>
      <c r="B37" s="9"/>
      <c r="C37" s="46"/>
      <c r="D37" s="116"/>
      <c r="E37" s="9"/>
      <c r="F37" s="9"/>
      <c r="G37" s="209"/>
      <c r="H37" s="37"/>
      <c r="I37" s="37"/>
      <c r="J37" s="37"/>
      <c r="K37" s="37"/>
      <c r="L37" s="37"/>
      <c r="M37" s="37"/>
      <c r="N37" s="102"/>
      <c r="O37" s="29"/>
      <c r="P37" s="29"/>
      <c r="Q37" s="29"/>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26"/>
      <c r="BL37" s="226"/>
    </row>
    <row r="38" spans="1:64">
      <c r="A38" s="9"/>
      <c r="B38" s="9"/>
      <c r="C38" s="46" t="s">
        <v>36</v>
      </c>
      <c r="D38" s="9"/>
      <c r="E38" s="9"/>
      <c r="F38" s="9"/>
      <c r="G38" s="199">
        <f>SUM(G39:G68)</f>
        <v>819.46485599999994</v>
      </c>
      <c r="H38" s="37">
        <f>SUM(H39:H68)</f>
        <v>0</v>
      </c>
      <c r="I38" s="37">
        <f t="shared" ref="I38:Q38" si="6">SUM(I39:I68)</f>
        <v>0</v>
      </c>
      <c r="J38" s="37">
        <f t="shared" si="6"/>
        <v>0</v>
      </c>
      <c r="K38" s="37">
        <f t="shared" si="6"/>
        <v>0</v>
      </c>
      <c r="L38" s="37">
        <f t="shared" si="6"/>
        <v>0</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26"/>
      <c r="BL38" s="226"/>
    </row>
    <row r="39" spans="1:64" hidden="1" outlineLevel="1">
      <c r="A39" s="9"/>
      <c r="B39" s="9"/>
      <c r="C39" s="46"/>
      <c r="D39" s="132" t="str">
        <f>Asset1</f>
        <v>Overhead Sub-Transmission Lines</v>
      </c>
      <c r="E39" s="9"/>
      <c r="F39" s="9"/>
      <c r="G39" s="198">
        <f>'Actual RAB roll forward'!G470</f>
        <v>62.312050999999997</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26"/>
      <c r="BL39" s="226"/>
    </row>
    <row r="40" spans="1:64" hidden="1" outlineLevel="1">
      <c r="A40" s="9"/>
      <c r="B40" s="9"/>
      <c r="C40" s="46"/>
      <c r="D40" s="132" t="str">
        <f>Asset2</f>
        <v>Underground Sub-Transmission Cables</v>
      </c>
      <c r="E40" s="9"/>
      <c r="F40" s="9"/>
      <c r="G40" s="198">
        <f>'Actual RAB roll forward'!G471</f>
        <v>15.132374</v>
      </c>
      <c r="H40" s="113">
        <f>'Actual RAB roll forward'!H471</f>
        <v>0</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26"/>
      <c r="BL40" s="226"/>
    </row>
    <row r="41" spans="1:64" hidden="1" outlineLevel="1">
      <c r="A41" s="9"/>
      <c r="B41" s="9"/>
      <c r="C41" s="46"/>
      <c r="D41" s="132" t="str">
        <f>Asset3</f>
        <v>Overhead Distribution Lines</v>
      </c>
      <c r="E41" s="9"/>
      <c r="F41" s="9"/>
      <c r="G41" s="198">
        <f>'Actual RAB roll forward'!G472</f>
        <v>136.92748700000001</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26"/>
      <c r="BL41" s="226"/>
    </row>
    <row r="42" spans="1:64" hidden="1" outlineLevel="1">
      <c r="A42" s="9"/>
      <c r="B42" s="9"/>
      <c r="C42" s="46"/>
      <c r="D42" s="132" t="str">
        <f>Asset4</f>
        <v>Underground Distribution Cables</v>
      </c>
      <c r="E42" s="9"/>
      <c r="F42" s="9"/>
      <c r="G42" s="198">
        <f>'Actual RAB roll forward'!G473</f>
        <v>102.627076</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26"/>
      <c r="BL42" s="226"/>
    </row>
    <row r="43" spans="1:64" hidden="1" outlineLevel="1">
      <c r="A43" s="9"/>
      <c r="B43" s="9"/>
      <c r="C43" s="46"/>
      <c r="D43" s="132" t="str">
        <f>Asset5</f>
        <v xml:space="preserve">Distribution Equipment  </v>
      </c>
      <c r="E43" s="9"/>
      <c r="F43" s="9"/>
      <c r="G43" s="198">
        <f>'Actual RAB roll forward'!G474</f>
        <v>17.737895000000002</v>
      </c>
      <c r="H43" s="113">
        <f>'Actual RAB roll forward'!H474</f>
        <v>0</v>
      </c>
      <c r="I43" s="113">
        <f>'Actual RAB roll forward'!I474</f>
        <v>0</v>
      </c>
      <c r="J43" s="113">
        <f>'Actual RAB roll forward'!J474</f>
        <v>0</v>
      </c>
      <c r="K43" s="113">
        <f>'Actual RAB roll forward'!K474</f>
        <v>0</v>
      </c>
      <c r="L43" s="113">
        <f>'Actual RAB roll forward'!L474</f>
        <v>0</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26"/>
      <c r="BL43" s="226"/>
    </row>
    <row r="44" spans="1:64" hidden="1" outlineLevel="1">
      <c r="A44" s="9"/>
      <c r="B44" s="9"/>
      <c r="C44" s="46"/>
      <c r="D44" s="132" t="str">
        <f>Asset6</f>
        <v>Substation Bays</v>
      </c>
      <c r="E44" s="9"/>
      <c r="F44" s="9"/>
      <c r="G44" s="198">
        <f>'Actual RAB roll forward'!G475</f>
        <v>99.001000000000005</v>
      </c>
      <c r="H44" s="113">
        <f>'Actual RAB roll forward'!H475</f>
        <v>0</v>
      </c>
      <c r="I44" s="113">
        <f>'Actual RAB roll forward'!I475</f>
        <v>0</v>
      </c>
      <c r="J44" s="113">
        <f>'Actual RAB roll forward'!J475</f>
        <v>0</v>
      </c>
      <c r="K44" s="113">
        <f>'Actual RAB roll forward'!K475</f>
        <v>0</v>
      </c>
      <c r="L44" s="113">
        <f>'Actual RAB roll forward'!L475</f>
        <v>0</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26"/>
      <c r="BL44" s="226"/>
    </row>
    <row r="45" spans="1:64" hidden="1" outlineLevel="1">
      <c r="A45" s="9"/>
      <c r="B45" s="9"/>
      <c r="C45" s="46"/>
      <c r="D45" s="132" t="str">
        <f>Asset7</f>
        <v>Substation Establishment</v>
      </c>
      <c r="E45" s="9"/>
      <c r="F45" s="9"/>
      <c r="G45" s="198">
        <f>'Actual RAB roll forward'!G476</f>
        <v>29.065453000000002</v>
      </c>
      <c r="H45" s="113">
        <f>'Actual RAB roll forward'!H476</f>
        <v>0</v>
      </c>
      <c r="I45" s="113">
        <f>'Actual RAB roll forward'!I476</f>
        <v>0</v>
      </c>
      <c r="J45" s="113">
        <f>'Actual RAB roll forward'!J476</f>
        <v>0</v>
      </c>
      <c r="K45" s="113">
        <f>'Actual RAB roll forward'!K476</f>
        <v>0</v>
      </c>
      <c r="L45" s="113">
        <f>'Actual RAB roll forward'!L476</f>
        <v>0</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26"/>
      <c r="BL45" s="226"/>
    </row>
    <row r="46" spans="1:64" hidden="1" outlineLevel="1">
      <c r="A46" s="9"/>
      <c r="B46" s="9"/>
      <c r="C46" s="46"/>
      <c r="D46" s="132" t="str">
        <f>Asset8</f>
        <v>Distribution Substation Switchgear</v>
      </c>
      <c r="E46" s="9"/>
      <c r="F46" s="9"/>
      <c r="G46" s="198">
        <f>'Actual RAB roll forward'!G477</f>
        <v>6.8010479999999998</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26"/>
      <c r="BL46" s="226"/>
    </row>
    <row r="47" spans="1:64" hidden="1" outlineLevel="1">
      <c r="A47" s="9"/>
      <c r="B47" s="9"/>
      <c r="C47" s="46"/>
      <c r="D47" s="132" t="str">
        <f>Asset9</f>
        <v>Zone Transformers</v>
      </c>
      <c r="E47" s="9"/>
      <c r="F47" s="9"/>
      <c r="G47" s="198">
        <f>'Actual RAB roll forward'!G478</f>
        <v>24.550484000000001</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26"/>
      <c r="BL47" s="226"/>
    </row>
    <row r="48" spans="1:64" hidden="1" outlineLevel="1">
      <c r="A48" s="9"/>
      <c r="B48" s="9"/>
      <c r="C48" s="46"/>
      <c r="D48" s="132" t="str">
        <f>Asset10</f>
        <v>Distribution Transformers</v>
      </c>
      <c r="E48" s="9"/>
      <c r="F48" s="9"/>
      <c r="G48" s="198">
        <f>'Actual RAB roll forward'!G479</f>
        <v>98.858818999999997</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26"/>
      <c r="BL48" s="226"/>
    </row>
    <row r="49" spans="1:64" hidden="1" outlineLevel="1">
      <c r="A49" s="9"/>
      <c r="B49" s="9"/>
      <c r="C49" s="46"/>
      <c r="D49" s="132" t="str">
        <f>Asset11</f>
        <v>Low Voltage Services</v>
      </c>
      <c r="E49" s="9"/>
      <c r="F49" s="9"/>
      <c r="G49" s="198">
        <f>'Actual RAB roll forward'!G480</f>
        <v>10.628287</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26"/>
      <c r="BL49" s="226"/>
    </row>
    <row r="50" spans="1:64" hidden="1" outlineLevel="1">
      <c r="A50" s="9"/>
      <c r="B50" s="9"/>
      <c r="C50" s="46"/>
      <c r="D50" s="132" t="str">
        <f>Asset12</f>
        <v>Metering</v>
      </c>
      <c r="E50" s="9"/>
      <c r="F50" s="9"/>
      <c r="G50" s="198">
        <f>'Actual RAB roll forward'!G481</f>
        <v>13.107884</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26"/>
      <c r="BL50" s="226"/>
    </row>
    <row r="51" spans="1:64" hidden="1" outlineLevel="1">
      <c r="A51" s="9"/>
      <c r="B51" s="9"/>
      <c r="C51" s="46"/>
      <c r="D51" s="132" t="str">
        <f>Asset13</f>
        <v xml:space="preserve">Communications – Pilot Wires </v>
      </c>
      <c r="E51" s="9"/>
      <c r="F51" s="9"/>
      <c r="G51" s="198">
        <f>'Actual RAB roll forward'!G482</f>
        <v>38.635668000000003</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26"/>
      <c r="BL51" s="226"/>
    </row>
    <row r="52" spans="1:64" hidden="1" outlineLevel="1">
      <c r="A52" s="9"/>
      <c r="B52" s="9"/>
      <c r="C52" s="46"/>
      <c r="D52" s="132" t="str">
        <f>Asset14</f>
        <v>Generation Assets</v>
      </c>
      <c r="E52" s="9"/>
      <c r="F52" s="9"/>
      <c r="G52" s="198">
        <f>'Actual RAB roll forward'!G483</f>
        <v>6.9191000000000003E-2</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26"/>
      <c r="BL52" s="226"/>
    </row>
    <row r="53" spans="1:64" hidden="1" outlineLevel="1">
      <c r="A53" s="9"/>
      <c r="B53" s="9"/>
      <c r="C53" s="46"/>
      <c r="D53" s="132" t="str">
        <f>Asset15</f>
        <v>Street Lighting</v>
      </c>
      <c r="E53" s="9"/>
      <c r="F53" s="9"/>
      <c r="G53" s="198">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26"/>
      <c r="BL53" s="226"/>
    </row>
    <row r="54" spans="1:64" hidden="1" outlineLevel="1">
      <c r="A54" s="9"/>
      <c r="B54" s="9"/>
      <c r="C54" s="46"/>
      <c r="D54" s="132" t="str">
        <f>Asset16</f>
        <v>Other Equipment</v>
      </c>
      <c r="E54" s="9"/>
      <c r="F54" s="9"/>
      <c r="G54" s="198">
        <f>'Actual RAB roll forward'!G485</f>
        <v>0.14513599999999999</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26"/>
      <c r="BL54" s="226"/>
    </row>
    <row r="55" spans="1:64" hidden="1" outlineLevel="1">
      <c r="A55" s="9"/>
      <c r="B55" s="9"/>
      <c r="C55" s="46"/>
      <c r="D55" s="132" t="str">
        <f>Asset17</f>
        <v>Control Centre - SCADA</v>
      </c>
      <c r="E55" s="9"/>
      <c r="F55" s="9"/>
      <c r="G55" s="198">
        <f>'Actual RAB roll forward'!G486</f>
        <v>10.50159</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26"/>
      <c r="BL55" s="226"/>
    </row>
    <row r="56" spans="1:64" hidden="1" outlineLevel="1">
      <c r="A56" s="9"/>
      <c r="B56" s="9"/>
      <c r="C56" s="46"/>
      <c r="D56" s="132" t="str">
        <f>Asset18</f>
        <v>Land &amp; Easements (System)</v>
      </c>
      <c r="E56" s="9"/>
      <c r="F56" s="9"/>
      <c r="G56" s="198">
        <f>'Actual RAB roll forward'!G487</f>
        <v>17.834067000000001</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26"/>
      <c r="BL56" s="226"/>
    </row>
    <row r="57" spans="1:64" hidden="1" outlineLevel="1">
      <c r="A57" s="9"/>
      <c r="B57" s="9"/>
      <c r="C57" s="46"/>
      <c r="D57" s="132" t="str">
        <f>Asset19</f>
        <v>Metering Type 5-6</v>
      </c>
      <c r="E57" s="9"/>
      <c r="F57" s="9"/>
      <c r="G57" s="198">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26"/>
      <c r="BL57" s="226"/>
    </row>
    <row r="58" spans="1:64" hidden="1" outlineLevel="1">
      <c r="A58" s="9"/>
      <c r="B58" s="9"/>
      <c r="C58" s="46"/>
      <c r="D58" s="132" t="str">
        <f>Asset20</f>
        <v>Communications</v>
      </c>
      <c r="E58" s="9"/>
      <c r="F58" s="9"/>
      <c r="G58" s="198">
        <f>'Actual RAB roll forward'!G489</f>
        <v>-4.1692E-2</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26"/>
      <c r="BL58" s="226"/>
    </row>
    <row r="59" spans="1:64" hidden="1" outlineLevel="1">
      <c r="A59" s="9"/>
      <c r="B59" s="9"/>
      <c r="C59" s="46"/>
      <c r="D59" s="132" t="str">
        <f>Asset21</f>
        <v>IT Systems</v>
      </c>
      <c r="E59" s="9"/>
      <c r="F59" s="9"/>
      <c r="G59" s="198">
        <f>'Actual RAB roll forward'!G490</f>
        <v>13.518427000000001</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26"/>
      <c r="BL59" s="226"/>
    </row>
    <row r="60" spans="1:64" hidden="1" outlineLevel="1">
      <c r="A60" s="9"/>
      <c r="B60" s="9"/>
      <c r="C60" s="46"/>
      <c r="D60" s="132" t="str">
        <f>Asset22</f>
        <v>Office Equipment &amp; Furniture</v>
      </c>
      <c r="E60" s="9"/>
      <c r="F60" s="9"/>
      <c r="G60" s="198">
        <f>'Actual RAB roll forward'!G491</f>
        <v>0.31394100000000003</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26"/>
      <c r="BL60" s="226"/>
    </row>
    <row r="61" spans="1:64" hidden="1" outlineLevel="1">
      <c r="A61" s="9"/>
      <c r="B61" s="9"/>
      <c r="C61" s="46"/>
      <c r="D61" s="132" t="str">
        <f>Asset23</f>
        <v>Motor Vehicles</v>
      </c>
      <c r="E61" s="9"/>
      <c r="F61" s="9"/>
      <c r="G61" s="198">
        <f>'Actual RAB roll forward'!G492</f>
        <v>25.332986999999999</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26"/>
      <c r="BL61" s="226"/>
    </row>
    <row r="62" spans="1:64" hidden="1" outlineLevel="1">
      <c r="A62" s="9"/>
      <c r="B62" s="9"/>
      <c r="C62" s="46"/>
      <c r="D62" s="132" t="str">
        <f>Asset24</f>
        <v>Plant &amp; Equipment</v>
      </c>
      <c r="E62" s="9"/>
      <c r="F62" s="9"/>
      <c r="G62" s="198">
        <f>'Actual RAB roll forward'!G493</f>
        <v>7.2461000000000002</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26"/>
      <c r="BL62" s="226"/>
    </row>
    <row r="63" spans="1:64" hidden="1" outlineLevel="1">
      <c r="A63" s="9"/>
      <c r="B63" s="9"/>
      <c r="C63" s="46"/>
      <c r="D63" s="132" t="str">
        <f>Asset25</f>
        <v>Buildings</v>
      </c>
      <c r="E63" s="9"/>
      <c r="F63" s="9"/>
      <c r="G63" s="198">
        <f>'Actual RAB roll forward'!G494</f>
        <v>87.450374999999994</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26"/>
      <c r="BL63" s="226"/>
    </row>
    <row r="64" spans="1:64" hidden="1" outlineLevel="1">
      <c r="A64" s="9"/>
      <c r="B64" s="9"/>
      <c r="C64" s="46"/>
      <c r="D64" s="132" t="str">
        <f>Asset26</f>
        <v>Land &amp; Easements</v>
      </c>
      <c r="E64" s="9"/>
      <c r="F64" s="9"/>
      <c r="G64" s="198">
        <f>'Actual RAB roll forward'!G495</f>
        <v>1.7092080000000001</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26"/>
      <c r="BL64" s="226"/>
    </row>
    <row r="65" spans="1:64" hidden="1" outlineLevel="1">
      <c r="A65" s="9"/>
      <c r="B65" s="9"/>
      <c r="C65" s="46"/>
      <c r="D65" s="132" t="str">
        <f>Asset27</f>
        <v>Land Improvements</v>
      </c>
      <c r="E65" s="9"/>
      <c r="F65" s="9"/>
      <c r="G65" s="198">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26"/>
      <c r="BL65" s="226"/>
    </row>
    <row r="66" spans="1:64" hidden="1" outlineLevel="1">
      <c r="A66" s="9"/>
      <c r="B66" s="9"/>
      <c r="C66" s="46"/>
      <c r="D66" s="132" t="str">
        <f>Asset28</f>
        <v>Equity Raising Costs</v>
      </c>
      <c r="E66" s="9"/>
      <c r="F66" s="9"/>
      <c r="G66" s="198">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26"/>
      <c r="BL66" s="226"/>
    </row>
    <row r="67" spans="1:64" hidden="1" outlineLevel="1">
      <c r="A67" s="9"/>
      <c r="B67" s="9"/>
      <c r="C67" s="46"/>
      <c r="D67" s="132" t="str">
        <f>Asset29</f>
        <v>Not Used</v>
      </c>
      <c r="E67" s="9"/>
      <c r="F67" s="9"/>
      <c r="G67" s="198">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26"/>
      <c r="BL67" s="226"/>
    </row>
    <row r="68" spans="1:64" hidden="1" outlineLevel="1">
      <c r="A68" s="9"/>
      <c r="B68" s="9"/>
      <c r="C68" s="46"/>
      <c r="D68" s="132" t="str">
        <f>Asset30</f>
        <v>Not Used</v>
      </c>
      <c r="E68" s="9"/>
      <c r="F68" s="9"/>
      <c r="G68" s="198">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26"/>
      <c r="BL68" s="226"/>
    </row>
    <row r="69" spans="1:64" collapsed="1">
      <c r="A69" s="9"/>
      <c r="B69" s="9"/>
      <c r="C69" s="46"/>
      <c r="D69" s="116"/>
      <c r="E69" s="9"/>
      <c r="F69" s="9"/>
      <c r="G69" s="209"/>
      <c r="H69" s="37"/>
      <c r="I69" s="37"/>
      <c r="J69" s="37"/>
      <c r="K69" s="37"/>
      <c r="L69" s="37"/>
      <c r="M69" s="37"/>
      <c r="N69" s="102"/>
      <c r="O69" s="29"/>
      <c r="P69" s="29"/>
      <c r="Q69" s="29"/>
      <c r="R69" s="29"/>
      <c r="S69" s="102"/>
      <c r="T69" s="102"/>
      <c r="U69" s="102"/>
      <c r="V69" s="102"/>
      <c r="W69" s="102"/>
      <c r="X69" s="102"/>
      <c r="Y69" s="102"/>
      <c r="Z69" s="102"/>
      <c r="AA69" s="102"/>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26"/>
      <c r="BL69" s="226"/>
    </row>
    <row r="70" spans="1:64">
      <c r="A70" s="9"/>
      <c r="B70" s="9"/>
      <c r="C70" s="231" t="s">
        <v>76</v>
      </c>
      <c r="D70" s="226"/>
      <c r="E70" s="9"/>
      <c r="F70" s="9"/>
      <c r="G70" s="199">
        <f>SUM(G71:G100)</f>
        <v>-123.15428200000001</v>
      </c>
      <c r="H70" s="37">
        <f>SUM(H71:H100)</f>
        <v>-109.95290807172128</v>
      </c>
      <c r="I70" s="37">
        <f t="shared" ref="I70:Q70" si="7">SUM(I71:I100)</f>
        <v>-212.89819523776009</v>
      </c>
      <c r="J70" s="37">
        <f t="shared" si="7"/>
        <v>-158.57219093798591</v>
      </c>
      <c r="K70" s="37">
        <f t="shared" si="7"/>
        <v>-134.03597546608958</v>
      </c>
      <c r="L70" s="37">
        <f t="shared" si="7"/>
        <v>-221.15222509626034</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26"/>
      <c r="BL70" s="226"/>
    </row>
    <row r="71" spans="1:64" hidden="1" outlineLevel="1">
      <c r="A71" s="9"/>
      <c r="B71" s="9"/>
      <c r="C71" s="46"/>
      <c r="D71" s="132" t="str">
        <f>Asset1</f>
        <v>Overhead Sub-Transmission Lines</v>
      </c>
      <c r="E71" s="9"/>
      <c r="F71" s="9"/>
      <c r="G71" s="198">
        <f>'Actual RAB roll forward'!G502</f>
        <v>0.62614300000000001</v>
      </c>
      <c r="H71" s="113">
        <f>'Actual RAB roll forward'!H502</f>
        <v>4.2477057291108054</v>
      </c>
      <c r="I71" s="113">
        <f>'Actual RAB roll forward'!I502</f>
        <v>-15.206500247666593</v>
      </c>
      <c r="J71" s="113">
        <f>'Actual RAB roll forward'!J502</f>
        <v>-6.331660714271262</v>
      </c>
      <c r="K71" s="113">
        <f>'Actual RAB roll forward'!K502</f>
        <v>-2.8326169764368849</v>
      </c>
      <c r="L71" s="113">
        <f>'Actual RAB roll forward'!L502</f>
        <v>-20.475033318098973</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26"/>
      <c r="BL71" s="226"/>
    </row>
    <row r="72" spans="1:64" hidden="1" outlineLevel="1">
      <c r="A72" s="9"/>
      <c r="B72" s="9"/>
      <c r="C72" s="46"/>
      <c r="D72" s="132" t="str">
        <f>Asset2</f>
        <v>Underground Sub-Transmission Cables</v>
      </c>
      <c r="E72" s="9"/>
      <c r="F72" s="9"/>
      <c r="G72" s="198">
        <f>'Actual RAB roll forward'!G503</f>
        <v>-0.75538400000000006</v>
      </c>
      <c r="H72" s="113">
        <f>'Actual RAB roll forward'!H503</f>
        <v>-0.57470571620827537</v>
      </c>
      <c r="I72" s="113">
        <f>'Actual RAB roll forward'!I503</f>
        <v>-1.5734900385941621</v>
      </c>
      <c r="J72" s="113">
        <f>'Actual RAB roll forward'!J503</f>
        <v>-1.1760167957434859</v>
      </c>
      <c r="K72" s="113">
        <f>'Actual RAB roll forward'!K503</f>
        <v>-1.0560956287012562</v>
      </c>
      <c r="L72" s="113">
        <f>'Actual RAB roll forward'!L503</f>
        <v>-1.924316413241137</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26"/>
      <c r="BL72" s="226"/>
    </row>
    <row r="73" spans="1:64" hidden="1" outlineLevel="1">
      <c r="A73" s="9"/>
      <c r="B73" s="9"/>
      <c r="C73" s="46"/>
      <c r="D73" s="132" t="str">
        <f>Asset3</f>
        <v>Overhead Distribution Lines</v>
      </c>
      <c r="E73" s="9"/>
      <c r="F73" s="9"/>
      <c r="G73" s="198">
        <f>'Actual RAB roll forward'!G504</f>
        <v>0.99518300000000004</v>
      </c>
      <c r="H73" s="113">
        <f>'Actual RAB roll forward'!H504</f>
        <v>8.2976078722550568</v>
      </c>
      <c r="I73" s="113">
        <f>'Actual RAB roll forward'!I504</f>
        <v>-32.038786517524763</v>
      </c>
      <c r="J73" s="113">
        <f>'Actual RAB roll forward'!J504</f>
        <v>-13.675061262614541</v>
      </c>
      <c r="K73" s="113">
        <f>'Actual RAB roll forward'!K504</f>
        <v>-6.4585240652208853</v>
      </c>
      <c r="L73" s="113">
        <f>'Actual RAB roll forward'!L504</f>
        <v>-43.014215668321356</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26"/>
      <c r="BL73" s="226"/>
    </row>
    <row r="74" spans="1:64" hidden="1" outlineLevel="1">
      <c r="A74" s="9"/>
      <c r="B74" s="9"/>
      <c r="C74" s="46"/>
      <c r="D74" s="132" t="str">
        <f>Asset4</f>
        <v>Underground Distribution Cables</v>
      </c>
      <c r="E74" s="9"/>
      <c r="F74" s="9"/>
      <c r="G74" s="198">
        <f>'Actual RAB roll forward'!G505</f>
        <v>3.878371</v>
      </c>
      <c r="H74" s="113">
        <f>'Actual RAB roll forward'!H505</f>
        <v>7.2745196479529888</v>
      </c>
      <c r="I74" s="113">
        <f>'Actual RAB roll forward'!I505</f>
        <v>-4.2058568573677171</v>
      </c>
      <c r="J74" s="113">
        <f>'Actual RAB roll forward'!J505</f>
        <v>1.3811896124994938</v>
      </c>
      <c r="K74" s="113">
        <f>'Actual RAB roll forward'!K505</f>
        <v>3.8052200351386158</v>
      </c>
      <c r="L74" s="113">
        <f>'Actual RAB roll forward'!L505</f>
        <v>-6.8317799299201525</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26"/>
      <c r="BL74" s="226"/>
    </row>
    <row r="75" spans="1:64" hidden="1" outlineLevel="1">
      <c r="A75" s="9"/>
      <c r="B75" s="9"/>
      <c r="C75" s="46"/>
      <c r="D75" s="132" t="str">
        <f>Asset5</f>
        <v xml:space="preserve">Distribution Equipment  </v>
      </c>
      <c r="E75" s="9"/>
      <c r="F75" s="9"/>
      <c r="G75" s="198">
        <f>'Actual RAB roll forward'!G506</f>
        <v>-1.4445380000000001</v>
      </c>
      <c r="H75" s="113">
        <f>'Actual RAB roll forward'!H506</f>
        <v>-1.3857761844308225</v>
      </c>
      <c r="I75" s="113">
        <f>'Actual RAB roll forward'!I506</f>
        <v>-2.7021498680892266</v>
      </c>
      <c r="J75" s="113">
        <f>'Actual RAB roll forward'!J506</f>
        <v>-2.2243876719639495</v>
      </c>
      <c r="K75" s="113">
        <f>'Actual RAB roll forward'!K506</f>
        <v>-2.113666624419603</v>
      </c>
      <c r="L75" s="113">
        <f>'Actual RAB roll forward'!L506</f>
        <v>-3.2282034960456532</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26"/>
      <c r="BL75" s="226"/>
    </row>
    <row r="76" spans="1:64" hidden="1" outlineLevel="1">
      <c r="A76" s="9"/>
      <c r="B76" s="9"/>
      <c r="C76" s="46"/>
      <c r="D76" s="132" t="str">
        <f>Asset6</f>
        <v>Substation Bays</v>
      </c>
      <c r="E76" s="9"/>
      <c r="F76" s="9"/>
      <c r="G76" s="198">
        <f>'Actual RAB roll forward'!G507</f>
        <v>-1.326967</v>
      </c>
      <c r="H76" s="113">
        <f>'Actual RAB roll forward'!H507</f>
        <v>1.4910645342875242</v>
      </c>
      <c r="I76" s="113">
        <f>'Actual RAB roll forward'!I507</f>
        <v>-13.819528610878004</v>
      </c>
      <c r="J76" s="113">
        <f>'Actual RAB roll forward'!J507</f>
        <v>-6.9708365378277648</v>
      </c>
      <c r="K76" s="113">
        <f>'Actual RAB roll forward'!K507</f>
        <v>-4.3565701425132808</v>
      </c>
      <c r="L76" s="113">
        <f>'Actual RAB roll forward'!L507</f>
        <v>-18.153567213513831</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26"/>
      <c r="BL76" s="226"/>
    </row>
    <row r="77" spans="1:64" hidden="1" outlineLevel="1">
      <c r="A77" s="9"/>
      <c r="B77" s="9"/>
      <c r="C77" s="46"/>
      <c r="D77" s="132" t="str">
        <f>Asset7</f>
        <v>Substation Establishment</v>
      </c>
      <c r="E77" s="9"/>
      <c r="F77" s="9"/>
      <c r="G77" s="198">
        <f>'Actual RAB roll forward'!G508</f>
        <v>-0.96549200000000002</v>
      </c>
      <c r="H77" s="113">
        <f>'Actual RAB roll forward'!H508</f>
        <v>0.10008946763993443</v>
      </c>
      <c r="I77" s="113">
        <f>'Actual RAB roll forward'!I508</f>
        <v>-5.2278610846991684</v>
      </c>
      <c r="J77" s="113">
        <f>'Actual RAB roll forward'!J508</f>
        <v>-2.8753018406560287</v>
      </c>
      <c r="K77" s="113">
        <f>'Actual RAB roll forward'!K508</f>
        <v>-1.9971077636463441</v>
      </c>
      <c r="L77" s="113">
        <f>'Actual RAB roll forward'!L508</f>
        <v>-6.7785067887425434</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26"/>
      <c r="BL77" s="226"/>
    </row>
    <row r="78" spans="1:64" hidden="1" outlineLevel="1">
      <c r="A78" s="9"/>
      <c r="B78" s="9"/>
      <c r="C78" s="46"/>
      <c r="D78" s="132" t="str">
        <f>Asset8</f>
        <v>Distribution Substation Switchgear</v>
      </c>
      <c r="E78" s="9"/>
      <c r="F78" s="9"/>
      <c r="G78" s="198">
        <f>'Actual RAB roll forward'!G509</f>
        <v>8.4524000000000002E-2</v>
      </c>
      <c r="H78" s="113">
        <f>'Actual RAB roll forward'!H509</f>
        <v>0.39422919318422167</v>
      </c>
      <c r="I78" s="113">
        <f>'Actual RAB roll forward'!I509</f>
        <v>-1.3340876715504939</v>
      </c>
      <c r="J78" s="113">
        <f>'Actual RAB roll forward'!J509</f>
        <v>-0.54440746226880554</v>
      </c>
      <c r="K78" s="113">
        <f>'Actual RAB roll forward'!K509</f>
        <v>-0.23228126892799805</v>
      </c>
      <c r="L78" s="113">
        <f>'Actual RAB roll forward'!L509</f>
        <v>-1.8004368256652541</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26"/>
      <c r="BL78" s="226"/>
    </row>
    <row r="79" spans="1:64" hidden="1" outlineLevel="1">
      <c r="A79" s="9"/>
      <c r="B79" s="9"/>
      <c r="C79" s="46"/>
      <c r="D79" s="132" t="str">
        <f>Asset9</f>
        <v>Zone Transformers</v>
      </c>
      <c r="E79" s="9"/>
      <c r="F79" s="9"/>
      <c r="G79" s="198">
        <f>'Actual RAB roll forward'!G510</f>
        <v>-1.7081459999999999</v>
      </c>
      <c r="H79" s="113">
        <f>'Actual RAB roll forward'!H510</f>
        <v>-0.97716509196662926</v>
      </c>
      <c r="I79" s="113">
        <f>'Actual RAB roll forward'!I510</f>
        <v>-5.5104061156710022</v>
      </c>
      <c r="J79" s="113">
        <f>'Actual RAB roll forward'!J510</f>
        <v>-3.5866899299384745</v>
      </c>
      <c r="K79" s="113">
        <f>'Actual RAB roll forward'!K510</f>
        <v>-2.9195113782472015</v>
      </c>
      <c r="L79" s="113">
        <f>'Actual RAB roll forward'!L510</f>
        <v>-6.9374126630825295</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26"/>
      <c r="BL79" s="226"/>
    </row>
    <row r="80" spans="1:64" hidden="1" outlineLevel="1">
      <c r="A80" s="9"/>
      <c r="B80" s="9"/>
      <c r="C80" s="46"/>
      <c r="D80" s="132" t="str">
        <f>Asset10</f>
        <v>Distribution Transformers</v>
      </c>
      <c r="E80" s="9"/>
      <c r="F80" s="9"/>
      <c r="G80" s="198">
        <f>'Actual RAB roll forward'!G511</f>
        <v>-12.470083000000001</v>
      </c>
      <c r="H80" s="113">
        <f>'Actual RAB roll forward'!H511</f>
        <v>-10.650960039828963</v>
      </c>
      <c r="I80" s="113">
        <f>'Actual RAB roll forward'!I511</f>
        <v>-26.532925742307235</v>
      </c>
      <c r="J80" s="113">
        <f>'Actual RAB roll forward'!J511</f>
        <v>-20.323544283973607</v>
      </c>
      <c r="K80" s="113">
        <f>'Actual RAB roll forward'!K511</f>
        <v>-18.530571420892731</v>
      </c>
      <c r="L80" s="113">
        <f>'Actual RAB roll forward'!L511</f>
        <v>-32.26478156039262</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26"/>
      <c r="BL80" s="226"/>
    </row>
    <row r="81" spans="1:64" hidden="1" outlineLevel="1">
      <c r="A81" s="9"/>
      <c r="B81" s="9"/>
      <c r="C81" s="46"/>
      <c r="D81" s="132" t="str">
        <f>Asset11</f>
        <v>Low Voltage Services</v>
      </c>
      <c r="E81" s="9"/>
      <c r="F81" s="9"/>
      <c r="G81" s="198">
        <f>'Actual RAB roll forward'!G512</f>
        <v>-21.383807000000001</v>
      </c>
      <c r="H81" s="113">
        <f>'Actual RAB roll forward'!H512</f>
        <v>-20.556160254259197</v>
      </c>
      <c r="I81" s="113">
        <f>'Actual RAB roll forward'!I512</f>
        <v>-23.30274036006459</v>
      </c>
      <c r="J81" s="113">
        <f>'Actual RAB roll forward'!J512</f>
        <v>-23.601897243380296</v>
      </c>
      <c r="K81" s="113">
        <f>'Actual RAB roll forward'!K512</f>
        <v>-24.701574256003486</v>
      </c>
      <c r="L81" s="113">
        <f>'Actual RAB roll forward'!L512</f>
        <v>-1.5292991240330098</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26"/>
      <c r="BL81" s="226"/>
    </row>
    <row r="82" spans="1:64" hidden="1" outlineLevel="1">
      <c r="A82" s="9"/>
      <c r="B82" s="9"/>
      <c r="C82" s="46"/>
      <c r="D82" s="132" t="str">
        <f>Asset12</f>
        <v>Metering</v>
      </c>
      <c r="E82" s="9"/>
      <c r="F82" s="9"/>
      <c r="G82" s="198">
        <f>'Actual RAB roll forward'!G513</f>
        <v>-10.447558000000001</v>
      </c>
      <c r="H82" s="113">
        <f>'Actual RAB roll forward'!H513</f>
        <v>-11.355246649992406</v>
      </c>
      <c r="I82" s="113">
        <f>'Actual RAB roll forward'!I513</f>
        <v>-13.141071315241616</v>
      </c>
      <c r="J82" s="113">
        <f>'Actual RAB roll forward'!J513</f>
        <v>-13.188090966565779</v>
      </c>
      <c r="K82" s="113">
        <f>'Actual RAB roll forward'!K513</f>
        <v>-13.751659451222537</v>
      </c>
      <c r="L82" s="113">
        <f>'Actual RAB roll forward'!L513</f>
        <v>-14.814924601897742</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26"/>
      <c r="BL82" s="226"/>
    </row>
    <row r="83" spans="1:64" hidden="1" outlineLevel="1">
      <c r="A83" s="9"/>
      <c r="B83" s="9"/>
      <c r="C83" s="46"/>
      <c r="D83" s="132" t="str">
        <f>Asset13</f>
        <v xml:space="preserve">Communications – Pilot Wires </v>
      </c>
      <c r="E83" s="9"/>
      <c r="F83" s="9"/>
      <c r="G83" s="198">
        <f>'Actual RAB roll forward'!G514</f>
        <v>-1.5611219999999999</v>
      </c>
      <c r="H83" s="113">
        <f>'Actual RAB roll forward'!H514</f>
        <v>-1.469427827087733</v>
      </c>
      <c r="I83" s="113">
        <f>'Actual RAB roll forward'!I514</f>
        <v>-3.0379768662212818</v>
      </c>
      <c r="J83" s="113">
        <f>'Actual RAB roll forward'!J514</f>
        <v>-2.4553512669626034</v>
      </c>
      <c r="K83" s="113">
        <f>'Actual RAB roll forward'!K514</f>
        <v>-2.3097230944565834</v>
      </c>
      <c r="L83" s="113">
        <f>'Actual RAB roll forward'!L514</f>
        <v>-3.6463806386008955</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26"/>
      <c r="BL83" s="226"/>
    </row>
    <row r="84" spans="1:64" hidden="1" outlineLevel="1">
      <c r="A84" s="9"/>
      <c r="B84" s="9"/>
      <c r="C84" s="46"/>
      <c r="D84" s="132" t="str">
        <f>Asset14</f>
        <v>Generation Assets</v>
      </c>
      <c r="E84" s="9"/>
      <c r="F84" s="9"/>
      <c r="G84" s="198">
        <f>'Actual RAB roll forward'!G515</f>
        <v>-0.48629899999999998</v>
      </c>
      <c r="H84" s="113">
        <f>'Actual RAB roll forward'!H515</f>
        <v>-0.52063494195725013</v>
      </c>
      <c r="I84" s="113">
        <f>'Actual RAB roll forward'!I515</f>
        <v>-0.61072760719365116</v>
      </c>
      <c r="J84" s="113">
        <f>'Actual RAB roll forward'!J515</f>
        <v>-0.60926826886504859</v>
      </c>
      <c r="K84" s="113">
        <f>'Actual RAB roll forward'!K515</f>
        <v>-0.63376560598255038</v>
      </c>
      <c r="L84" s="113">
        <f>'Actual RAB roll forward'!L515</f>
        <v>-0.68987929357649336</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26"/>
      <c r="BL84" s="226"/>
    </row>
    <row r="85" spans="1:64" hidden="1" outlineLevel="1">
      <c r="A85" s="9"/>
      <c r="B85" s="9"/>
      <c r="C85" s="46"/>
      <c r="D85" s="132" t="str">
        <f>Asset15</f>
        <v>Street Lighting</v>
      </c>
      <c r="E85" s="9"/>
      <c r="F85" s="9"/>
      <c r="G85" s="198">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26"/>
      <c r="BL85" s="226"/>
    </row>
    <row r="86" spans="1:64" hidden="1" outlineLevel="1">
      <c r="A86" s="9"/>
      <c r="B86" s="9"/>
      <c r="C86" s="46"/>
      <c r="D86" s="132" t="str">
        <f>Asset16</f>
        <v>Other Equipment</v>
      </c>
      <c r="E86" s="9"/>
      <c r="F86" s="9"/>
      <c r="G86" s="198">
        <f>'Actual RAB roll forward'!G517</f>
        <v>4.3449000000000002E-2</v>
      </c>
      <c r="H86" s="113">
        <f>'Actual RAB roll forward'!H517</f>
        <v>9.6889515630889211E-2</v>
      </c>
      <c r="I86" s="113">
        <f>'Actual RAB roll forward'!I517</f>
        <v>-0.23664928207971431</v>
      </c>
      <c r="J86" s="113">
        <f>'Actual RAB roll forward'!J517</f>
        <v>-8.2726347805524569E-2</v>
      </c>
      <c r="K86" s="113">
        <f>'Actual RAB roll forward'!K517</f>
        <v>-2.0923181033064009E-2</v>
      </c>
      <c r="L86" s="113">
        <f>'Actual RAB roll forward'!L517</f>
        <v>-0.32453880383205691</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26"/>
      <c r="BL86" s="226"/>
    </row>
    <row r="87" spans="1:64" hidden="1" outlineLevel="1">
      <c r="A87" s="9"/>
      <c r="B87" s="9"/>
      <c r="C87" s="46"/>
      <c r="D87" s="132" t="str">
        <f>Asset17</f>
        <v>Control Centre - SCADA</v>
      </c>
      <c r="E87" s="9"/>
      <c r="F87" s="9"/>
      <c r="G87" s="198">
        <f>'Actual RAB roll forward'!G518</f>
        <v>-8.2991620000000008</v>
      </c>
      <c r="H87" s="113">
        <f>'Actual RAB roll forward'!H518</f>
        <v>-11.746501705189971</v>
      </c>
      <c r="I87" s="113">
        <f>'Actual RAB roll forward'!I518</f>
        <v>-13.143767384022022</v>
      </c>
      <c r="J87" s="113">
        <f>'Actual RAB roll forward'!J518</f>
        <v>-13.390524781892905</v>
      </c>
      <c r="K87" s="113">
        <f>'Actual RAB roll forward'!K518</f>
        <v>-5.9862846711862572</v>
      </c>
      <c r="L87" s="113">
        <f>'Actual RAB roll forward'!L518</f>
        <v>-2.3219212124723472E-3</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26"/>
      <c r="BL87" s="226"/>
    </row>
    <row r="88" spans="1:64" hidden="1" outlineLevel="1">
      <c r="A88" s="9"/>
      <c r="B88" s="9"/>
      <c r="C88" s="46"/>
      <c r="D88" s="132" t="str">
        <f>Asset18</f>
        <v>Land &amp; Easements (System)</v>
      </c>
      <c r="E88" s="9"/>
      <c r="F88" s="9"/>
      <c r="G88" s="198">
        <f>'Actual RAB roll forward'!G519</f>
        <v>1.7665649999999999</v>
      </c>
      <c r="H88" s="113">
        <f>'Actual RAB roll forward'!H519</f>
        <v>2.6882243847000002</v>
      </c>
      <c r="I88" s="113">
        <f>'Actual RAB roll forward'!I519</f>
        <v>1.3179677974782602</v>
      </c>
      <c r="J88" s="113">
        <f>'Actual RAB roll forward'!J519</f>
        <v>2.1183412795544565</v>
      </c>
      <c r="K88" s="113">
        <f>'Actual RAB roll forward'!K519</f>
        <v>2.5447633791287685</v>
      </c>
      <c r="L88" s="113">
        <f>'Actual RAB roll forward'!L519</f>
        <v>1.1889768526834577</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26"/>
      <c r="BL88" s="226"/>
    </row>
    <row r="89" spans="1:64" hidden="1" outlineLevel="1">
      <c r="A89" s="9"/>
      <c r="B89" s="9"/>
      <c r="C89" s="46"/>
      <c r="D89" s="132" t="str">
        <f>Asset19</f>
        <v>Metering Type 5-6</v>
      </c>
      <c r="E89" s="9"/>
      <c r="F89" s="9"/>
      <c r="G89" s="198">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26"/>
      <c r="BL89" s="226"/>
    </row>
    <row r="90" spans="1:64" hidden="1" outlineLevel="1">
      <c r="A90" s="9"/>
      <c r="B90" s="9"/>
      <c r="C90" s="46"/>
      <c r="D90" s="132" t="str">
        <f>Asset20</f>
        <v>Communications</v>
      </c>
      <c r="E90" s="9"/>
      <c r="F90" s="9"/>
      <c r="G90" s="198">
        <f>'Actual RAB roll forward'!G521</f>
        <v>-0.93209299999999995</v>
      </c>
      <c r="H90" s="113">
        <f>'Actual RAB roll forward'!H521</f>
        <v>-0.9882346154219035</v>
      </c>
      <c r="I90" s="113">
        <f>'Actual RAB roll forward'!I521</f>
        <v>-1.1867323065717192</v>
      </c>
      <c r="J90" s="113">
        <f>'Actual RAB roll forward'!J521</f>
        <v>-1.1718620458899327</v>
      </c>
      <c r="K90" s="113">
        <f>'Actual RAB roll forward'!K521</f>
        <v>-1.2138690839200827</v>
      </c>
      <c r="L90" s="113">
        <f>'Actual RAB roll forward'!L521</f>
        <v>-1.3450257270049033</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26"/>
      <c r="BL90" s="226"/>
    </row>
    <row r="91" spans="1:64" hidden="1" outlineLevel="1">
      <c r="A91" s="9"/>
      <c r="B91" s="9"/>
      <c r="C91" s="46"/>
      <c r="D91" s="132" t="str">
        <f>Asset21</f>
        <v>IT Systems</v>
      </c>
      <c r="E91" s="9"/>
      <c r="F91" s="9"/>
      <c r="G91" s="198">
        <f>'Actual RAB roll forward'!G522</f>
        <v>-18.215378999999999</v>
      </c>
      <c r="H91" s="113">
        <f>'Actual RAB roll forward'!H522</f>
        <v>-33.241766063029814</v>
      </c>
      <c r="I91" s="113">
        <f>'Actual RAB roll forward'!I522</f>
        <v>-8.0562860622431336E-3</v>
      </c>
      <c r="J91" s="113">
        <f>'Actual RAB roll forward'!J522</f>
        <v>3.7274662726985972E-3</v>
      </c>
      <c r="K91" s="113">
        <f>'Actual RAB roll forward'!K522</f>
        <v>4.4778052333928247E-3</v>
      </c>
      <c r="L91" s="113">
        <f>'Actual RAB roll forward'!L522</f>
        <v>2.0921421681066696E-3</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26"/>
      <c r="BL91" s="226"/>
    </row>
    <row r="92" spans="1:64" hidden="1" outlineLevel="1">
      <c r="A92" s="9"/>
      <c r="B92" s="9"/>
      <c r="C92" s="46"/>
      <c r="D92" s="132" t="str">
        <f>Asset22</f>
        <v>Office Equipment &amp; Furniture</v>
      </c>
      <c r="E92" s="9"/>
      <c r="F92" s="9"/>
      <c r="G92" s="198">
        <f>'Actual RAB roll forward'!G523</f>
        <v>-3.4139110000000001</v>
      </c>
      <c r="H92" s="113">
        <f>'Actual RAB roll forward'!H523</f>
        <v>-3.7091782247254033</v>
      </c>
      <c r="I92" s="113">
        <f>'Actual RAB roll forward'!I523</f>
        <v>-4.3140563084994614</v>
      </c>
      <c r="J92" s="113">
        <f>'Actual RAB roll forward'!J523</f>
        <v>-4.3199336856087323</v>
      </c>
      <c r="K92" s="113">
        <f>'Actual RAB roll forward'!K523</f>
        <v>-4.500502689346888</v>
      </c>
      <c r="L92" s="113">
        <f>'Actual RAB roll forward'!L523</f>
        <v>-4.8671287086531825</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26"/>
      <c r="BL92" s="226"/>
    </row>
    <row r="93" spans="1:64" hidden="1" outlineLevel="1">
      <c r="A93" s="9"/>
      <c r="B93" s="9"/>
      <c r="C93" s="46"/>
      <c r="D93" s="132" t="str">
        <f>Asset23</f>
        <v>Motor Vehicles</v>
      </c>
      <c r="E93" s="9"/>
      <c r="F93" s="9"/>
      <c r="G93" s="198">
        <f>'Actual RAB roll forward'!G524</f>
        <v>-25.809996999999999</v>
      </c>
      <c r="H93" s="113">
        <f>'Actual RAB roll forward'!H524</f>
        <v>-11.666964857630202</v>
      </c>
      <c r="I93" s="113">
        <f>'Actual RAB roll forward'!I524</f>
        <v>-14.152744477402797</v>
      </c>
      <c r="J93" s="113">
        <f>'Actual RAB roll forward'!J524</f>
        <v>-13.914532918618171</v>
      </c>
      <c r="K93" s="113">
        <f>'Actual RAB roll forward'!K524</f>
        <v>-14.387201780780384</v>
      </c>
      <c r="L93" s="113">
        <f>'Actual RAB roll forward'!L524</f>
        <v>-16.063233631301827</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26"/>
      <c r="BL93" s="226"/>
    </row>
    <row r="94" spans="1:64" hidden="1" outlineLevel="1">
      <c r="A94" s="9"/>
      <c r="B94" s="9"/>
      <c r="C94" s="46"/>
      <c r="D94" s="132" t="str">
        <f>Asset24</f>
        <v>Plant &amp; Equipment</v>
      </c>
      <c r="E94" s="9"/>
      <c r="F94" s="9"/>
      <c r="G94" s="198">
        <f>'Actual RAB roll forward'!G525</f>
        <v>-12.271597</v>
      </c>
      <c r="H94" s="113">
        <f>'Actual RAB roll forward'!H525</f>
        <v>-9.0555140670201375</v>
      </c>
      <c r="I94" s="113">
        <f>'Actual RAB roll forward'!I525</f>
        <v>-11.090366857141088</v>
      </c>
      <c r="J94" s="113">
        <f>'Actual RAB roll forward'!J525</f>
        <v>-10.859048827613098</v>
      </c>
      <c r="K94" s="113">
        <f>'Actual RAB roll forward'!K525</f>
        <v>-11.208683306398783</v>
      </c>
      <c r="L94" s="113">
        <f>'Actual RAB roll forward'!L525</f>
        <v>-12.604123124917043</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26"/>
      <c r="BL94" s="226"/>
    </row>
    <row r="95" spans="1:64" hidden="1" outlineLevel="1">
      <c r="A95" s="9"/>
      <c r="B95" s="9"/>
      <c r="C95" s="46"/>
      <c r="D95" s="132" t="str">
        <f>Asset25</f>
        <v>Buildings</v>
      </c>
      <c r="E95" s="9"/>
      <c r="F95" s="9"/>
      <c r="G95" s="198">
        <f>'Actual RAB roll forward'!G526</f>
        <v>-9.4653039999999997</v>
      </c>
      <c r="H95" s="113">
        <f>'Actual RAB roll forward'!H526</f>
        <v>-17.215265297732142</v>
      </c>
      <c r="I95" s="113">
        <f>'Actual RAB roll forward'!I526</f>
        <v>-21.934350488399865</v>
      </c>
      <c r="J95" s="113">
        <f>'Actual RAB roll forward'!J526</f>
        <v>-21.120156910128109</v>
      </c>
      <c r="K95" s="113">
        <f>'Actual RAB roll forward'!K526</f>
        <v>-21.645830919337101</v>
      </c>
      <c r="L95" s="113">
        <f>'Actual RAB roll forward'!L526</f>
        <v>-25.061320567432563</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26"/>
      <c r="BL95" s="226"/>
    </row>
    <row r="96" spans="1:64" hidden="1" outlineLevel="1">
      <c r="A96" s="9"/>
      <c r="B96" s="9"/>
      <c r="C96" s="46"/>
      <c r="D96" s="132" t="str">
        <f>Asset26</f>
        <v>Land &amp; Easements</v>
      </c>
      <c r="E96" s="9"/>
      <c r="F96" s="9"/>
      <c r="G96" s="198">
        <f>'Actual RAB roll forward'!G527</f>
        <v>0.37503799999999998</v>
      </c>
      <c r="H96" s="113">
        <f>'Actual RAB roll forward'!H527</f>
        <v>0.50154252210000005</v>
      </c>
      <c r="I96" s="113">
        <f>'Actual RAB roll forward'!I527</f>
        <v>0.24589349644918002</v>
      </c>
      <c r="J96" s="113">
        <f>'Actual RAB roll forward'!J527</f>
        <v>0.39521932546372951</v>
      </c>
      <c r="K96" s="113">
        <f>'Actual RAB roll forward'!K527</f>
        <v>0.47477697567957816</v>
      </c>
      <c r="L96" s="113">
        <f>'Actual RAB roll forward'!L527</f>
        <v>0.22182763195191005</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26"/>
      <c r="BL96" s="226"/>
    </row>
    <row r="97" spans="1:64" hidden="1" outlineLevel="1">
      <c r="A97" s="9"/>
      <c r="B97" s="9"/>
      <c r="C97" s="46"/>
      <c r="D97" s="132" t="str">
        <f>Asset27</f>
        <v>Land Improvements</v>
      </c>
      <c r="E97" s="9"/>
      <c r="F97" s="9"/>
      <c r="G97" s="198">
        <f>'Actual RAB roll forward'!G528</f>
        <v>3.3284000000000001E-2</v>
      </c>
      <c r="H97" s="113">
        <f>'Actual RAB roll forward'!H528</f>
        <v>6.8720597898166091E-2</v>
      </c>
      <c r="I97" s="113">
        <f>'Actual RAB roll forward'!I528</f>
        <v>-0.15122423843910404</v>
      </c>
      <c r="J97" s="113">
        <f>'Actual RAB roll forward'!J528</f>
        <v>-4.9368859188135661E-2</v>
      </c>
      <c r="K97" s="113">
        <f>'Actual RAB roll forward'!K528</f>
        <v>-8.2503525960394009E-3</v>
      </c>
      <c r="L97" s="113">
        <f>'Actual RAB roll forward'!L528</f>
        <v>-0.20869170357754316</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26"/>
      <c r="BL97" s="226"/>
    </row>
    <row r="98" spans="1:64" hidden="1" outlineLevel="1">
      <c r="A98" s="9"/>
      <c r="B98" s="9"/>
      <c r="C98" s="46"/>
      <c r="D98" s="132" t="str">
        <f>Asset28</f>
        <v>Equity Raising Costs</v>
      </c>
      <c r="E98" s="9"/>
      <c r="F98" s="9"/>
      <c r="G98" s="198">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26"/>
      <c r="BL98" s="226"/>
    </row>
    <row r="99" spans="1:64" hidden="1" outlineLevel="1">
      <c r="A99" s="9"/>
      <c r="B99" s="9"/>
      <c r="C99" s="46"/>
      <c r="D99" s="132" t="str">
        <f>Asset29</f>
        <v>Not Used</v>
      </c>
      <c r="E99" s="9"/>
      <c r="F99" s="9"/>
      <c r="G99" s="198">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26"/>
      <c r="BL99" s="226"/>
    </row>
    <row r="100" spans="1:64" hidden="1" outlineLevel="1">
      <c r="A100" s="9"/>
      <c r="B100" s="9"/>
      <c r="C100" s="46"/>
      <c r="D100" s="132" t="str">
        <f>Asset30</f>
        <v>Not Used</v>
      </c>
      <c r="E100" s="9"/>
      <c r="F100" s="9"/>
      <c r="G100" s="198">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26"/>
      <c r="BL100" s="226"/>
    </row>
    <row r="101" spans="1:64" collapsed="1">
      <c r="A101" s="9"/>
      <c r="B101" s="9"/>
      <c r="C101" s="46"/>
      <c r="D101" s="132"/>
      <c r="E101" s="9"/>
      <c r="F101" s="9"/>
      <c r="G101" s="209"/>
      <c r="H101" s="113"/>
      <c r="I101" s="113"/>
      <c r="J101" s="113"/>
      <c r="K101" s="113"/>
      <c r="L101" s="113"/>
      <c r="M101" s="113"/>
      <c r="N101" s="102"/>
      <c r="O101" s="29"/>
      <c r="P101" s="29"/>
      <c r="Q101" s="29"/>
      <c r="R101" s="29"/>
      <c r="S101" s="102"/>
      <c r="T101" s="102"/>
      <c r="U101" s="102"/>
      <c r="V101" s="102"/>
      <c r="W101" s="102"/>
      <c r="X101" s="102"/>
      <c r="Y101" s="102"/>
      <c r="Z101" s="102"/>
      <c r="AA101" s="102"/>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26"/>
      <c r="BL101" s="226"/>
    </row>
    <row r="102" spans="1:64">
      <c r="A102" s="9"/>
      <c r="B102" s="9"/>
      <c r="C102" s="46" t="s">
        <v>53</v>
      </c>
      <c r="D102" s="116"/>
      <c r="E102" s="9"/>
      <c r="F102" s="9"/>
      <c r="G102" s="205">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26"/>
      <c r="BL102" s="226"/>
    </row>
    <row r="103" spans="1:64" hidden="1" outlineLevel="1">
      <c r="A103" s="9"/>
      <c r="B103" s="9"/>
      <c r="C103" s="9"/>
      <c r="D103" s="132" t="str">
        <f>Asset1</f>
        <v>Overhead Sub-Transmission Lines</v>
      </c>
      <c r="E103" s="9"/>
      <c r="F103" s="9"/>
      <c r="G103" s="201">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26"/>
      <c r="BL103" s="226"/>
    </row>
    <row r="104" spans="1:64" hidden="1" outlineLevel="1">
      <c r="A104" s="9"/>
      <c r="B104" s="9"/>
      <c r="C104" s="46"/>
      <c r="D104" s="132" t="str">
        <f>Asset2</f>
        <v>Underground Sub-Transmission Cables</v>
      </c>
      <c r="E104" s="9"/>
      <c r="F104" s="9"/>
      <c r="G104" s="201">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26"/>
      <c r="BL104" s="226"/>
    </row>
    <row r="105" spans="1:64" hidden="1" outlineLevel="1">
      <c r="A105" s="9"/>
      <c r="B105" s="9"/>
      <c r="C105" s="46"/>
      <c r="D105" s="132" t="str">
        <f>Asset3</f>
        <v>Overhead Distribution Lines</v>
      </c>
      <c r="E105" s="9"/>
      <c r="F105" s="9"/>
      <c r="G105" s="201">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26"/>
      <c r="BL105" s="226"/>
    </row>
    <row r="106" spans="1:64" hidden="1" outlineLevel="1">
      <c r="A106" s="9"/>
      <c r="B106" s="9"/>
      <c r="C106" s="46"/>
      <c r="D106" s="132" t="str">
        <f>Asset4</f>
        <v>Underground Distribution Cables</v>
      </c>
      <c r="E106" s="9"/>
      <c r="F106" s="9"/>
      <c r="G106" s="201">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26"/>
      <c r="BL106" s="226"/>
    </row>
    <row r="107" spans="1:64" hidden="1" outlineLevel="1">
      <c r="A107" s="9"/>
      <c r="B107" s="9"/>
      <c r="C107" s="46"/>
      <c r="D107" s="132" t="str">
        <f>Asset5</f>
        <v xml:space="preserve">Distribution Equipment  </v>
      </c>
      <c r="E107" s="9"/>
      <c r="F107" s="9"/>
      <c r="G107" s="201">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26"/>
      <c r="BL107" s="226"/>
    </row>
    <row r="108" spans="1:64" hidden="1" outlineLevel="1">
      <c r="A108" s="9"/>
      <c r="B108" s="9"/>
      <c r="C108" s="46"/>
      <c r="D108" s="132" t="str">
        <f>Asset6</f>
        <v>Substation Bays</v>
      </c>
      <c r="E108" s="9"/>
      <c r="F108" s="9"/>
      <c r="G108" s="201">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26"/>
      <c r="BL108" s="226"/>
    </row>
    <row r="109" spans="1:64" hidden="1" outlineLevel="1">
      <c r="A109" s="9"/>
      <c r="B109" s="9"/>
      <c r="C109" s="46"/>
      <c r="D109" s="132" t="str">
        <f>Asset7</f>
        <v>Substation Establishment</v>
      </c>
      <c r="E109" s="9"/>
      <c r="F109" s="9"/>
      <c r="G109" s="201">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26"/>
      <c r="BL109" s="226"/>
    </row>
    <row r="110" spans="1:64" hidden="1" outlineLevel="1">
      <c r="A110" s="9"/>
      <c r="B110" s="9"/>
      <c r="C110" s="46"/>
      <c r="D110" s="132" t="str">
        <f>Asset8</f>
        <v>Distribution Substation Switchgear</v>
      </c>
      <c r="E110" s="9"/>
      <c r="F110" s="9"/>
      <c r="G110" s="201">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26"/>
      <c r="BL110" s="226"/>
    </row>
    <row r="111" spans="1:64" hidden="1" outlineLevel="1">
      <c r="A111" s="9"/>
      <c r="B111" s="9"/>
      <c r="C111" s="46"/>
      <c r="D111" s="132" t="str">
        <f>Asset9</f>
        <v>Zone Transformers</v>
      </c>
      <c r="E111" s="9"/>
      <c r="F111" s="9"/>
      <c r="G111" s="201">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26"/>
      <c r="BL111" s="226"/>
    </row>
    <row r="112" spans="1:64" hidden="1" outlineLevel="1">
      <c r="A112" s="9"/>
      <c r="B112" s="9"/>
      <c r="C112" s="46"/>
      <c r="D112" s="132" t="str">
        <f>Asset10</f>
        <v>Distribution Transformers</v>
      </c>
      <c r="E112" s="9"/>
      <c r="F112" s="9"/>
      <c r="G112" s="201">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26"/>
      <c r="BL112" s="226"/>
    </row>
    <row r="113" spans="1:64" hidden="1" outlineLevel="1">
      <c r="A113" s="9"/>
      <c r="B113" s="9"/>
      <c r="C113" s="46"/>
      <c r="D113" s="132" t="str">
        <f>Asset11</f>
        <v>Low Voltage Services</v>
      </c>
      <c r="E113" s="9"/>
      <c r="F113" s="9"/>
      <c r="G113" s="201">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26"/>
      <c r="BL113" s="226"/>
    </row>
    <row r="114" spans="1:64" hidden="1" outlineLevel="1">
      <c r="A114" s="9"/>
      <c r="B114" s="9"/>
      <c r="C114" s="46"/>
      <c r="D114" s="132" t="str">
        <f>Asset12</f>
        <v>Metering</v>
      </c>
      <c r="E114" s="9"/>
      <c r="F114" s="9"/>
      <c r="G114" s="201">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26"/>
      <c r="BL114" s="226"/>
    </row>
    <row r="115" spans="1:64" hidden="1" outlineLevel="1">
      <c r="A115" s="9"/>
      <c r="B115" s="9"/>
      <c r="C115" s="46"/>
      <c r="D115" s="132" t="str">
        <f>Asset13</f>
        <v xml:space="preserve">Communications – Pilot Wires </v>
      </c>
      <c r="E115" s="9"/>
      <c r="F115" s="9"/>
      <c r="G115" s="201">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26"/>
      <c r="BL115" s="226"/>
    </row>
    <row r="116" spans="1:64" hidden="1" outlineLevel="1">
      <c r="A116" s="9"/>
      <c r="B116" s="9"/>
      <c r="C116" s="46"/>
      <c r="D116" s="132" t="str">
        <f>Asset14</f>
        <v>Generation Assets</v>
      </c>
      <c r="E116" s="9"/>
      <c r="F116" s="9"/>
      <c r="G116" s="201">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26"/>
      <c r="BL116" s="226"/>
    </row>
    <row r="117" spans="1:64" hidden="1" outlineLevel="1">
      <c r="A117" s="9"/>
      <c r="B117" s="9"/>
      <c r="C117" s="46"/>
      <c r="D117" s="132" t="str">
        <f>Asset15</f>
        <v>Street Lighting</v>
      </c>
      <c r="E117" s="9"/>
      <c r="F117" s="9"/>
      <c r="G117" s="201">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26"/>
      <c r="BL117" s="226"/>
    </row>
    <row r="118" spans="1:64" hidden="1" outlineLevel="1">
      <c r="A118" s="9"/>
      <c r="B118" s="9"/>
      <c r="C118" s="46"/>
      <c r="D118" s="132" t="str">
        <f>Asset16</f>
        <v>Other Equipment</v>
      </c>
      <c r="E118" s="9"/>
      <c r="F118" s="9"/>
      <c r="G118" s="201">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26"/>
      <c r="BL118" s="226"/>
    </row>
    <row r="119" spans="1:64" hidden="1" outlineLevel="1">
      <c r="A119" s="9"/>
      <c r="B119" s="9"/>
      <c r="C119" s="46"/>
      <c r="D119" s="132" t="str">
        <f>Asset17</f>
        <v>Control Centre - SCADA</v>
      </c>
      <c r="E119" s="9"/>
      <c r="F119" s="9"/>
      <c r="G119" s="201">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26"/>
      <c r="BL119" s="226"/>
    </row>
    <row r="120" spans="1:64" hidden="1" outlineLevel="1">
      <c r="A120" s="9"/>
      <c r="B120" s="9"/>
      <c r="C120" s="46"/>
      <c r="D120" s="132" t="str">
        <f>Asset18</f>
        <v>Land &amp; Easements (System)</v>
      </c>
      <c r="E120" s="9"/>
      <c r="F120" s="9"/>
      <c r="G120" s="201">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26"/>
      <c r="BL120" s="226"/>
    </row>
    <row r="121" spans="1:64" hidden="1" outlineLevel="1">
      <c r="A121" s="9"/>
      <c r="B121" s="9"/>
      <c r="C121" s="46"/>
      <c r="D121" s="132" t="str">
        <f>Asset19</f>
        <v>Metering Type 5-6</v>
      </c>
      <c r="E121" s="9"/>
      <c r="F121" s="9"/>
      <c r="G121" s="201">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26"/>
      <c r="BL121" s="226"/>
    </row>
    <row r="122" spans="1:64" hidden="1" outlineLevel="1">
      <c r="A122" s="9"/>
      <c r="B122" s="9"/>
      <c r="C122" s="46"/>
      <c r="D122" s="132" t="str">
        <f>Asset20</f>
        <v>Communications</v>
      </c>
      <c r="E122" s="9"/>
      <c r="F122" s="9"/>
      <c r="G122" s="201">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26"/>
      <c r="BL122" s="226"/>
    </row>
    <row r="123" spans="1:64" hidden="1" outlineLevel="1">
      <c r="A123" s="9"/>
      <c r="B123" s="9"/>
      <c r="C123" s="46"/>
      <c r="D123" s="132" t="str">
        <f>Asset21</f>
        <v>IT Systems</v>
      </c>
      <c r="E123" s="9"/>
      <c r="F123" s="9"/>
      <c r="G123" s="201">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26"/>
      <c r="BL123" s="226"/>
    </row>
    <row r="124" spans="1:64" hidden="1" outlineLevel="1">
      <c r="A124" s="9"/>
      <c r="B124" s="9"/>
      <c r="C124" s="46"/>
      <c r="D124" s="132" t="str">
        <f>Asset22</f>
        <v>Office Equipment &amp; Furniture</v>
      </c>
      <c r="E124" s="9"/>
      <c r="F124" s="9"/>
      <c r="G124" s="201">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26"/>
      <c r="BL124" s="226"/>
    </row>
    <row r="125" spans="1:64" hidden="1" outlineLevel="1">
      <c r="A125" s="9"/>
      <c r="B125" s="9"/>
      <c r="C125" s="46"/>
      <c r="D125" s="132" t="str">
        <f>Asset23</f>
        <v>Motor Vehicles</v>
      </c>
      <c r="E125" s="9"/>
      <c r="F125" s="9"/>
      <c r="G125" s="201">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26"/>
      <c r="BL125" s="226"/>
    </row>
    <row r="126" spans="1:64" hidden="1" outlineLevel="1">
      <c r="A126" s="9"/>
      <c r="B126" s="9"/>
      <c r="C126" s="46"/>
      <c r="D126" s="132" t="str">
        <f>Asset24</f>
        <v>Plant &amp; Equipment</v>
      </c>
      <c r="E126" s="9"/>
      <c r="F126" s="9"/>
      <c r="G126" s="201">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26"/>
      <c r="BL126" s="226"/>
    </row>
    <row r="127" spans="1:64" hidden="1" outlineLevel="1">
      <c r="A127" s="9"/>
      <c r="B127" s="9"/>
      <c r="C127" s="46"/>
      <c r="D127" s="132" t="str">
        <f>Asset25</f>
        <v>Buildings</v>
      </c>
      <c r="E127" s="9"/>
      <c r="F127" s="9"/>
      <c r="G127" s="201">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26"/>
      <c r="BL127" s="226"/>
    </row>
    <row r="128" spans="1:64" hidden="1" outlineLevel="1">
      <c r="A128" s="9"/>
      <c r="B128" s="9"/>
      <c r="C128" s="46"/>
      <c r="D128" s="132" t="str">
        <f>Asset26</f>
        <v>Land &amp; Easements</v>
      </c>
      <c r="E128" s="9"/>
      <c r="F128" s="9"/>
      <c r="G128" s="201">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26"/>
      <c r="BL128" s="226"/>
    </row>
    <row r="129" spans="1:64" hidden="1" outlineLevel="1">
      <c r="A129" s="9"/>
      <c r="B129" s="9"/>
      <c r="C129" s="46"/>
      <c r="D129" s="132" t="str">
        <f>Asset27</f>
        <v>Land Improvements</v>
      </c>
      <c r="E129" s="9"/>
      <c r="F129" s="9"/>
      <c r="G129" s="201">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26"/>
      <c r="BL129" s="226"/>
    </row>
    <row r="130" spans="1:64" hidden="1" outlineLevel="1">
      <c r="A130" s="9"/>
      <c r="B130" s="9"/>
      <c r="C130" s="46"/>
      <c r="D130" s="132" t="str">
        <f>Asset28</f>
        <v>Equity Raising Costs</v>
      </c>
      <c r="E130" s="9"/>
      <c r="F130" s="9"/>
      <c r="G130" s="201">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26"/>
      <c r="BL130" s="226"/>
    </row>
    <row r="131" spans="1:64" hidden="1" outlineLevel="1">
      <c r="A131" s="9"/>
      <c r="B131" s="9"/>
      <c r="C131" s="46"/>
      <c r="D131" s="132" t="str">
        <f>Asset29</f>
        <v>Not Used</v>
      </c>
      <c r="E131" s="9"/>
      <c r="F131" s="9"/>
      <c r="G131" s="201">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26"/>
      <c r="BL131" s="226"/>
    </row>
    <row r="132" spans="1:64" hidden="1" outlineLevel="1">
      <c r="A132" s="9"/>
      <c r="B132" s="9"/>
      <c r="C132" s="46"/>
      <c r="D132" s="132" t="str">
        <f>Asset30</f>
        <v>Not Used</v>
      </c>
      <c r="E132" s="9"/>
      <c r="F132" s="9"/>
      <c r="G132" s="201">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26"/>
      <c r="BL132" s="226"/>
    </row>
    <row r="133" spans="1:64" s="9" customFormat="1" collapsed="1">
      <c r="G133" s="208"/>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row>
    <row r="134" spans="1:64">
      <c r="A134" s="9"/>
      <c r="B134" s="9"/>
      <c r="C134" s="46" t="s">
        <v>65</v>
      </c>
      <c r="D134" s="116"/>
      <c r="E134" s="9"/>
      <c r="F134" s="9"/>
      <c r="G134" s="205">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26"/>
      <c r="BL134" s="226"/>
    </row>
    <row r="135" spans="1:64" hidden="1" outlineLevel="1">
      <c r="A135" s="9"/>
      <c r="B135" s="9"/>
      <c r="C135" s="9"/>
      <c r="D135" s="132" t="str">
        <f>Asset1</f>
        <v>Overhead Sub-Transmission Lines</v>
      </c>
      <c r="E135" s="9"/>
      <c r="F135" s="9"/>
      <c r="G135" s="201">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26"/>
      <c r="BL135" s="226"/>
    </row>
    <row r="136" spans="1:64" hidden="1" outlineLevel="1">
      <c r="A136" s="9"/>
      <c r="B136" s="9"/>
      <c r="C136" s="46"/>
      <c r="D136" s="132" t="str">
        <f>Asset2</f>
        <v>Underground Sub-Transmission Cables</v>
      </c>
      <c r="E136" s="9"/>
      <c r="F136" s="9"/>
      <c r="G136" s="201">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26"/>
      <c r="BL136" s="226"/>
    </row>
    <row r="137" spans="1:64" hidden="1" outlineLevel="1">
      <c r="A137" s="9"/>
      <c r="B137" s="9"/>
      <c r="C137" s="46"/>
      <c r="D137" s="132" t="str">
        <f>Asset3</f>
        <v>Overhead Distribution Lines</v>
      </c>
      <c r="E137" s="9"/>
      <c r="F137" s="9"/>
      <c r="G137" s="201">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26"/>
      <c r="BL137" s="226"/>
    </row>
    <row r="138" spans="1:64" hidden="1" outlineLevel="1">
      <c r="A138" s="9"/>
      <c r="B138" s="9"/>
      <c r="C138" s="46"/>
      <c r="D138" s="132" t="str">
        <f>Asset4</f>
        <v>Underground Distribution Cables</v>
      </c>
      <c r="E138" s="9"/>
      <c r="F138" s="9"/>
      <c r="G138" s="201">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26"/>
      <c r="BL138" s="226"/>
    </row>
    <row r="139" spans="1:64" hidden="1" outlineLevel="1">
      <c r="A139" s="9"/>
      <c r="B139" s="9"/>
      <c r="C139" s="46"/>
      <c r="D139" s="132" t="str">
        <f>Asset5</f>
        <v xml:space="preserve">Distribution Equipment  </v>
      </c>
      <c r="E139" s="9"/>
      <c r="F139" s="9"/>
      <c r="G139" s="201">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26"/>
      <c r="BL139" s="226"/>
    </row>
    <row r="140" spans="1:64" hidden="1" outlineLevel="1">
      <c r="A140" s="9"/>
      <c r="B140" s="9"/>
      <c r="C140" s="46"/>
      <c r="D140" s="132" t="str">
        <f>Asset6</f>
        <v>Substation Bays</v>
      </c>
      <c r="E140" s="9"/>
      <c r="F140" s="9"/>
      <c r="G140" s="201">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26"/>
      <c r="BL140" s="226"/>
    </row>
    <row r="141" spans="1:64" hidden="1" outlineLevel="1">
      <c r="A141" s="9"/>
      <c r="B141" s="9"/>
      <c r="C141" s="46"/>
      <c r="D141" s="132" t="str">
        <f>Asset7</f>
        <v>Substation Establishment</v>
      </c>
      <c r="E141" s="9"/>
      <c r="F141" s="9"/>
      <c r="G141" s="201">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26"/>
      <c r="BL141" s="226"/>
    </row>
    <row r="142" spans="1:64" hidden="1" outlineLevel="1">
      <c r="A142" s="9"/>
      <c r="B142" s="9"/>
      <c r="C142" s="46"/>
      <c r="D142" s="132" t="str">
        <f>Asset8</f>
        <v>Distribution Substation Switchgear</v>
      </c>
      <c r="E142" s="9"/>
      <c r="F142" s="9"/>
      <c r="G142" s="201">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26"/>
      <c r="BL142" s="226"/>
    </row>
    <row r="143" spans="1:64" hidden="1" outlineLevel="1">
      <c r="A143" s="9"/>
      <c r="B143" s="9"/>
      <c r="C143" s="46"/>
      <c r="D143" s="132" t="str">
        <f>Asset9</f>
        <v>Zone Transformers</v>
      </c>
      <c r="E143" s="9"/>
      <c r="F143" s="9"/>
      <c r="G143" s="201">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26"/>
      <c r="BL143" s="226"/>
    </row>
    <row r="144" spans="1:64" hidden="1" outlineLevel="1">
      <c r="A144" s="9"/>
      <c r="B144" s="9"/>
      <c r="C144" s="46"/>
      <c r="D144" s="132" t="str">
        <f>Asset10</f>
        <v>Distribution Transformers</v>
      </c>
      <c r="E144" s="9"/>
      <c r="F144" s="9"/>
      <c r="G144" s="201">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26"/>
      <c r="BL144" s="226"/>
    </row>
    <row r="145" spans="1:64" hidden="1" outlineLevel="1">
      <c r="A145" s="9"/>
      <c r="B145" s="9"/>
      <c r="C145" s="46"/>
      <c r="D145" s="132" t="str">
        <f>Asset11</f>
        <v>Low Voltage Services</v>
      </c>
      <c r="E145" s="9"/>
      <c r="F145" s="9"/>
      <c r="G145" s="201">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26"/>
      <c r="BL145" s="226"/>
    </row>
    <row r="146" spans="1:64" hidden="1" outlineLevel="1">
      <c r="A146" s="9"/>
      <c r="B146" s="9"/>
      <c r="C146" s="46"/>
      <c r="D146" s="132" t="str">
        <f>Asset12</f>
        <v>Metering</v>
      </c>
      <c r="E146" s="9"/>
      <c r="F146" s="9"/>
      <c r="G146" s="201">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26"/>
      <c r="BL146" s="226"/>
    </row>
    <row r="147" spans="1:64" hidden="1" outlineLevel="1">
      <c r="A147" s="9"/>
      <c r="B147" s="9"/>
      <c r="C147" s="46"/>
      <c r="D147" s="132" t="str">
        <f>Asset13</f>
        <v xml:space="preserve">Communications – Pilot Wires </v>
      </c>
      <c r="E147" s="9"/>
      <c r="F147" s="9"/>
      <c r="G147" s="201">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26"/>
      <c r="BL147" s="226"/>
    </row>
    <row r="148" spans="1:64" hidden="1" outlineLevel="1">
      <c r="A148" s="9"/>
      <c r="B148" s="9"/>
      <c r="C148" s="46"/>
      <c r="D148" s="132" t="str">
        <f>Asset14</f>
        <v>Generation Assets</v>
      </c>
      <c r="E148" s="9"/>
      <c r="F148" s="9"/>
      <c r="G148" s="201">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26"/>
      <c r="BL148" s="226"/>
    </row>
    <row r="149" spans="1:64" hidden="1" outlineLevel="1">
      <c r="A149" s="9"/>
      <c r="B149" s="9"/>
      <c r="C149" s="46"/>
      <c r="D149" s="132" t="str">
        <f>Asset15</f>
        <v>Street Lighting</v>
      </c>
      <c r="E149" s="9"/>
      <c r="F149" s="9"/>
      <c r="G149" s="201">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26"/>
      <c r="BL149" s="226"/>
    </row>
    <row r="150" spans="1:64" hidden="1" outlineLevel="1">
      <c r="A150" s="9"/>
      <c r="B150" s="9"/>
      <c r="C150" s="46"/>
      <c r="D150" s="132" t="str">
        <f>Asset16</f>
        <v>Other Equipment</v>
      </c>
      <c r="E150" s="9"/>
      <c r="F150" s="9"/>
      <c r="G150" s="201">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26"/>
      <c r="BL150" s="226"/>
    </row>
    <row r="151" spans="1:64" hidden="1" outlineLevel="1">
      <c r="A151" s="9"/>
      <c r="B151" s="9"/>
      <c r="C151" s="46"/>
      <c r="D151" s="132" t="str">
        <f>Asset17</f>
        <v>Control Centre - SCADA</v>
      </c>
      <c r="E151" s="9"/>
      <c r="F151" s="9"/>
      <c r="G151" s="201">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26"/>
      <c r="BL151" s="226"/>
    </row>
    <row r="152" spans="1:64" hidden="1" outlineLevel="1">
      <c r="A152" s="9"/>
      <c r="B152" s="9"/>
      <c r="C152" s="46"/>
      <c r="D152" s="132" t="str">
        <f>Asset18</f>
        <v>Land &amp; Easements (System)</v>
      </c>
      <c r="E152" s="9"/>
      <c r="F152" s="9"/>
      <c r="G152" s="201">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26"/>
      <c r="BL152" s="226"/>
    </row>
    <row r="153" spans="1:64" hidden="1" outlineLevel="1">
      <c r="A153" s="9"/>
      <c r="B153" s="9"/>
      <c r="C153" s="46"/>
      <c r="D153" s="132" t="str">
        <f>Asset19</f>
        <v>Metering Type 5-6</v>
      </c>
      <c r="E153" s="9"/>
      <c r="F153" s="9"/>
      <c r="G153" s="201">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26"/>
      <c r="BL153" s="226"/>
    </row>
    <row r="154" spans="1:64" hidden="1" outlineLevel="1">
      <c r="A154" s="9"/>
      <c r="B154" s="9"/>
      <c r="C154" s="46"/>
      <c r="D154" s="132" t="str">
        <f>Asset20</f>
        <v>Communications</v>
      </c>
      <c r="E154" s="9"/>
      <c r="F154" s="9"/>
      <c r="G154" s="201">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26"/>
      <c r="BL154" s="226"/>
    </row>
    <row r="155" spans="1:64" hidden="1" outlineLevel="1">
      <c r="A155" s="9"/>
      <c r="B155" s="9"/>
      <c r="C155" s="46"/>
      <c r="D155" s="132" t="str">
        <f>Asset21</f>
        <v>IT Systems</v>
      </c>
      <c r="E155" s="9"/>
      <c r="F155" s="9"/>
      <c r="G155" s="201">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26"/>
      <c r="BL155" s="226"/>
    </row>
    <row r="156" spans="1:64" hidden="1" outlineLevel="1">
      <c r="A156" s="9"/>
      <c r="B156" s="9"/>
      <c r="C156" s="46"/>
      <c r="D156" s="132" t="str">
        <f>Asset22</f>
        <v>Office Equipment &amp; Furniture</v>
      </c>
      <c r="E156" s="9"/>
      <c r="F156" s="9"/>
      <c r="G156" s="201">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26"/>
      <c r="BL156" s="226"/>
    </row>
    <row r="157" spans="1:64" hidden="1" outlineLevel="1">
      <c r="A157" s="9"/>
      <c r="B157" s="9"/>
      <c r="C157" s="46"/>
      <c r="D157" s="132" t="str">
        <f>Asset23</f>
        <v>Motor Vehicles</v>
      </c>
      <c r="E157" s="9"/>
      <c r="F157" s="9"/>
      <c r="G157" s="201">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26"/>
      <c r="BL157" s="226"/>
    </row>
    <row r="158" spans="1:64" hidden="1" outlineLevel="1">
      <c r="A158" s="9"/>
      <c r="B158" s="9"/>
      <c r="C158" s="46"/>
      <c r="D158" s="132" t="str">
        <f>Asset24</f>
        <v>Plant &amp; Equipment</v>
      </c>
      <c r="E158" s="9"/>
      <c r="F158" s="9"/>
      <c r="G158" s="201">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26"/>
      <c r="BL158" s="226"/>
    </row>
    <row r="159" spans="1:64" hidden="1" outlineLevel="1">
      <c r="A159" s="9"/>
      <c r="B159" s="9"/>
      <c r="C159" s="46"/>
      <c r="D159" s="132" t="str">
        <f>Asset25</f>
        <v>Buildings</v>
      </c>
      <c r="E159" s="9"/>
      <c r="F159" s="9"/>
      <c r="G159" s="201">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26"/>
      <c r="BL159" s="226"/>
    </row>
    <row r="160" spans="1:64" hidden="1" outlineLevel="1">
      <c r="A160" s="9"/>
      <c r="B160" s="9"/>
      <c r="C160" s="46"/>
      <c r="D160" s="132" t="str">
        <f>Asset26</f>
        <v>Land &amp; Easements</v>
      </c>
      <c r="E160" s="9"/>
      <c r="F160" s="9"/>
      <c r="G160" s="201">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26"/>
      <c r="BL160" s="226"/>
    </row>
    <row r="161" spans="1:64" hidden="1" outlineLevel="1">
      <c r="A161" s="9"/>
      <c r="B161" s="9"/>
      <c r="C161" s="46"/>
      <c r="D161" s="132" t="str">
        <f>Asset27</f>
        <v>Land Improvements</v>
      </c>
      <c r="E161" s="9"/>
      <c r="F161" s="9"/>
      <c r="G161" s="201">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26"/>
      <c r="BL161" s="226"/>
    </row>
    <row r="162" spans="1:64" hidden="1" outlineLevel="1">
      <c r="A162" s="9"/>
      <c r="B162" s="9"/>
      <c r="C162" s="46"/>
      <c r="D162" s="132" t="str">
        <f>Asset28</f>
        <v>Equity Raising Costs</v>
      </c>
      <c r="E162" s="9"/>
      <c r="F162" s="9"/>
      <c r="G162" s="201">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26"/>
      <c r="BL162" s="226"/>
    </row>
    <row r="163" spans="1:64" hidden="1" outlineLevel="1">
      <c r="A163" s="9"/>
      <c r="B163" s="9"/>
      <c r="C163" s="46"/>
      <c r="D163" s="132" t="str">
        <f>Asset29</f>
        <v>Not Used</v>
      </c>
      <c r="E163" s="9"/>
      <c r="F163" s="9"/>
      <c r="G163" s="201">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26"/>
      <c r="BL163" s="226"/>
    </row>
    <row r="164" spans="1:64" hidden="1" outlineLevel="1">
      <c r="A164" s="9"/>
      <c r="B164" s="9"/>
      <c r="C164" s="46"/>
      <c r="D164" s="132" t="str">
        <f>Asset30</f>
        <v>Not Used</v>
      </c>
      <c r="E164" s="9"/>
      <c r="F164" s="9"/>
      <c r="G164" s="201">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26"/>
      <c r="BL164" s="226"/>
    </row>
    <row r="165" spans="1:64" collapsed="1">
      <c r="A165" s="9"/>
      <c r="B165" s="9"/>
      <c r="C165" s="46"/>
      <c r="D165" s="116"/>
      <c r="E165" s="9"/>
      <c r="F165" s="9"/>
      <c r="G165" s="209"/>
      <c r="H165" s="37"/>
      <c r="I165" s="37"/>
      <c r="J165" s="37"/>
      <c r="K165" s="37"/>
      <c r="L165" s="37"/>
      <c r="M165" s="37"/>
      <c r="N165" s="102"/>
      <c r="O165" s="29"/>
      <c r="P165" s="29"/>
      <c r="Q165" s="29"/>
      <c r="R165" s="29"/>
      <c r="S165" s="102"/>
      <c r="T165" s="102"/>
      <c r="U165" s="102"/>
      <c r="V165" s="102"/>
      <c r="W165" s="102"/>
      <c r="X165" s="102"/>
      <c r="Y165" s="102"/>
      <c r="Z165" s="102"/>
      <c r="AA165" s="102"/>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26"/>
      <c r="BL165" s="226"/>
    </row>
    <row r="166" spans="1:64">
      <c r="A166" s="9"/>
      <c r="B166" s="9"/>
      <c r="C166" s="46" t="s">
        <v>62</v>
      </c>
      <c r="D166" s="132"/>
      <c r="E166" s="9"/>
      <c r="F166" s="9"/>
      <c r="G166" s="205">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26"/>
      <c r="BL166" s="226"/>
    </row>
    <row r="167" spans="1:64" hidden="1" outlineLevel="1">
      <c r="A167" s="9"/>
      <c r="B167" s="9"/>
      <c r="C167" s="46"/>
      <c r="D167" s="132" t="str">
        <f>Asset1</f>
        <v>Overhead Sub-Transmission Lines</v>
      </c>
      <c r="E167" s="9"/>
      <c r="F167" s="9"/>
      <c r="G167" s="201">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26"/>
      <c r="BL167" s="226"/>
    </row>
    <row r="168" spans="1:64" hidden="1" outlineLevel="1">
      <c r="A168" s="9"/>
      <c r="B168" s="9"/>
      <c r="C168" s="46"/>
      <c r="D168" s="132" t="str">
        <f>Asset2</f>
        <v>Underground Sub-Transmission Cables</v>
      </c>
      <c r="E168" s="9"/>
      <c r="F168" s="9"/>
      <c r="G168" s="201">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26"/>
      <c r="BL168" s="226"/>
    </row>
    <row r="169" spans="1:64" hidden="1" outlineLevel="1">
      <c r="A169" s="9"/>
      <c r="B169" s="9"/>
      <c r="C169" s="46"/>
      <c r="D169" s="132" t="str">
        <f>Asset3</f>
        <v>Overhead Distribution Lines</v>
      </c>
      <c r="E169" s="9"/>
      <c r="F169" s="9"/>
      <c r="G169" s="201">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26"/>
      <c r="BL169" s="226"/>
    </row>
    <row r="170" spans="1:64" hidden="1" outlineLevel="1">
      <c r="A170" s="9"/>
      <c r="B170" s="9"/>
      <c r="C170" s="46"/>
      <c r="D170" s="132" t="str">
        <f>Asset4</f>
        <v>Underground Distribution Cables</v>
      </c>
      <c r="E170" s="9"/>
      <c r="F170" s="9"/>
      <c r="G170" s="201">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26"/>
      <c r="BL170" s="226"/>
    </row>
    <row r="171" spans="1:64" hidden="1" outlineLevel="1">
      <c r="A171" s="9"/>
      <c r="B171" s="9"/>
      <c r="C171" s="46"/>
      <c r="D171" s="132" t="str">
        <f>Asset5</f>
        <v xml:space="preserve">Distribution Equipment  </v>
      </c>
      <c r="E171" s="9"/>
      <c r="F171" s="9"/>
      <c r="G171" s="201">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26"/>
      <c r="BL171" s="226"/>
    </row>
    <row r="172" spans="1:64" hidden="1" outlineLevel="1">
      <c r="A172" s="9"/>
      <c r="B172" s="9"/>
      <c r="C172" s="46"/>
      <c r="D172" s="132" t="str">
        <f>Asset6</f>
        <v>Substation Bays</v>
      </c>
      <c r="E172" s="9"/>
      <c r="F172" s="9"/>
      <c r="G172" s="201">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26"/>
      <c r="BL172" s="226"/>
    </row>
    <row r="173" spans="1:64" hidden="1" outlineLevel="1">
      <c r="A173" s="9"/>
      <c r="B173" s="9"/>
      <c r="C173" s="46"/>
      <c r="D173" s="132" t="str">
        <f>Asset7</f>
        <v>Substation Establishment</v>
      </c>
      <c r="E173" s="9"/>
      <c r="F173" s="9"/>
      <c r="G173" s="201">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26"/>
      <c r="BL173" s="226"/>
    </row>
    <row r="174" spans="1:64" hidden="1" outlineLevel="1">
      <c r="A174" s="9"/>
      <c r="B174" s="9"/>
      <c r="C174" s="46"/>
      <c r="D174" s="132" t="str">
        <f>Asset8</f>
        <v>Distribution Substation Switchgear</v>
      </c>
      <c r="E174" s="9"/>
      <c r="F174" s="9"/>
      <c r="G174" s="201">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26"/>
      <c r="BL174" s="226"/>
    </row>
    <row r="175" spans="1:64" hidden="1" outlineLevel="1">
      <c r="A175" s="9"/>
      <c r="B175" s="9"/>
      <c r="C175" s="46"/>
      <c r="D175" s="132" t="str">
        <f>Asset9</f>
        <v>Zone Transformers</v>
      </c>
      <c r="E175" s="9"/>
      <c r="F175" s="9"/>
      <c r="G175" s="201">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26"/>
      <c r="BL175" s="226"/>
    </row>
    <row r="176" spans="1:64" hidden="1" outlineLevel="1">
      <c r="A176" s="9"/>
      <c r="B176" s="9"/>
      <c r="C176" s="46"/>
      <c r="D176" s="132" t="str">
        <f>Asset10</f>
        <v>Distribution Transformers</v>
      </c>
      <c r="E176" s="9"/>
      <c r="F176" s="9"/>
      <c r="G176" s="201">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26"/>
      <c r="BL176" s="226"/>
    </row>
    <row r="177" spans="1:64" hidden="1" outlineLevel="1">
      <c r="A177" s="9"/>
      <c r="B177" s="9"/>
      <c r="C177" s="46"/>
      <c r="D177" s="132" t="str">
        <f>Asset11</f>
        <v>Low Voltage Services</v>
      </c>
      <c r="E177" s="9"/>
      <c r="F177" s="9"/>
      <c r="G177" s="201">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26"/>
      <c r="BL177" s="226"/>
    </row>
    <row r="178" spans="1:64" hidden="1" outlineLevel="1">
      <c r="A178" s="9"/>
      <c r="B178" s="9"/>
      <c r="C178" s="46"/>
      <c r="D178" s="132" t="str">
        <f>Asset12</f>
        <v>Metering</v>
      </c>
      <c r="E178" s="9"/>
      <c r="F178" s="9"/>
      <c r="G178" s="201">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26"/>
      <c r="BL178" s="226"/>
    </row>
    <row r="179" spans="1:64" hidden="1" outlineLevel="1">
      <c r="A179" s="9"/>
      <c r="B179" s="9"/>
      <c r="C179" s="46"/>
      <c r="D179" s="132" t="str">
        <f>Asset13</f>
        <v xml:space="preserve">Communications – Pilot Wires </v>
      </c>
      <c r="E179" s="9"/>
      <c r="F179" s="9"/>
      <c r="G179" s="201">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26"/>
      <c r="BL179" s="226"/>
    </row>
    <row r="180" spans="1:64" hidden="1" outlineLevel="1">
      <c r="A180" s="9"/>
      <c r="B180" s="9"/>
      <c r="C180" s="46"/>
      <c r="D180" s="132" t="str">
        <f>Asset14</f>
        <v>Generation Assets</v>
      </c>
      <c r="E180" s="9"/>
      <c r="F180" s="9"/>
      <c r="G180" s="201">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26"/>
      <c r="BL180" s="226"/>
    </row>
    <row r="181" spans="1:64" hidden="1" outlineLevel="1">
      <c r="A181" s="9"/>
      <c r="B181" s="9"/>
      <c r="C181" s="46"/>
      <c r="D181" s="132" t="str">
        <f>Asset15</f>
        <v>Street Lighting</v>
      </c>
      <c r="E181" s="9"/>
      <c r="F181" s="9"/>
      <c r="G181" s="201">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26"/>
      <c r="BL181" s="226"/>
    </row>
    <row r="182" spans="1:64" hidden="1" outlineLevel="1">
      <c r="A182" s="9"/>
      <c r="B182" s="9"/>
      <c r="C182" s="46"/>
      <c r="D182" s="132" t="str">
        <f>Asset16</f>
        <v>Other Equipment</v>
      </c>
      <c r="E182" s="9"/>
      <c r="F182" s="9"/>
      <c r="G182" s="201">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26"/>
      <c r="BL182" s="226"/>
    </row>
    <row r="183" spans="1:64" hidden="1" outlineLevel="1">
      <c r="A183" s="9"/>
      <c r="B183" s="9"/>
      <c r="C183" s="46"/>
      <c r="D183" s="132" t="str">
        <f>Asset17</f>
        <v>Control Centre - SCADA</v>
      </c>
      <c r="E183" s="9"/>
      <c r="F183" s="9"/>
      <c r="G183" s="201">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26"/>
      <c r="BL183" s="226"/>
    </row>
    <row r="184" spans="1:64" hidden="1" outlineLevel="1">
      <c r="A184" s="9"/>
      <c r="B184" s="9"/>
      <c r="C184" s="46"/>
      <c r="D184" s="132" t="str">
        <f>Asset18</f>
        <v>Land &amp; Easements (System)</v>
      </c>
      <c r="E184" s="9"/>
      <c r="F184" s="9"/>
      <c r="G184" s="201">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26"/>
      <c r="BL184" s="226"/>
    </row>
    <row r="185" spans="1:64" hidden="1" outlineLevel="1">
      <c r="A185" s="9"/>
      <c r="B185" s="9"/>
      <c r="C185" s="46"/>
      <c r="D185" s="132" t="str">
        <f>Asset19</f>
        <v>Metering Type 5-6</v>
      </c>
      <c r="E185" s="9"/>
      <c r="F185" s="9"/>
      <c r="G185" s="201">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26"/>
      <c r="BL185" s="226"/>
    </row>
    <row r="186" spans="1:64" ht="12" hidden="1" customHeight="1" outlineLevel="1">
      <c r="A186" s="9"/>
      <c r="B186" s="9"/>
      <c r="C186" s="46"/>
      <c r="D186" s="132" t="str">
        <f>Asset20</f>
        <v>Communications</v>
      </c>
      <c r="E186" s="9"/>
      <c r="F186" s="9"/>
      <c r="G186" s="201">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26"/>
      <c r="BL186" s="226"/>
    </row>
    <row r="187" spans="1:64" ht="12" hidden="1" customHeight="1" outlineLevel="1">
      <c r="A187" s="9"/>
      <c r="B187" s="9"/>
      <c r="C187" s="46"/>
      <c r="D187" s="132" t="str">
        <f>Asset21</f>
        <v>IT Systems</v>
      </c>
      <c r="E187" s="9"/>
      <c r="F187" s="9"/>
      <c r="G187" s="201">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26"/>
      <c r="BL187" s="226"/>
    </row>
    <row r="188" spans="1:64" ht="12" hidden="1" customHeight="1" outlineLevel="1">
      <c r="A188" s="9"/>
      <c r="B188" s="9"/>
      <c r="C188" s="46"/>
      <c r="D188" s="132" t="str">
        <f>Asset22</f>
        <v>Office Equipment &amp; Furniture</v>
      </c>
      <c r="E188" s="9"/>
      <c r="F188" s="9"/>
      <c r="G188" s="201">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26"/>
      <c r="BL188" s="226"/>
    </row>
    <row r="189" spans="1:64" ht="12" hidden="1" customHeight="1" outlineLevel="1">
      <c r="A189" s="9"/>
      <c r="B189" s="9"/>
      <c r="C189" s="46"/>
      <c r="D189" s="132" t="str">
        <f>Asset23</f>
        <v>Motor Vehicles</v>
      </c>
      <c r="E189" s="9"/>
      <c r="F189" s="9"/>
      <c r="G189" s="201">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33"/>
      <c r="BK189" s="226"/>
      <c r="BL189" s="226"/>
    </row>
    <row r="190" spans="1:64" ht="12" hidden="1" customHeight="1" outlineLevel="1">
      <c r="A190" s="9"/>
      <c r="B190" s="9"/>
      <c r="C190" s="46"/>
      <c r="D190" s="132" t="str">
        <f>Asset24</f>
        <v>Plant &amp; Equipment</v>
      </c>
      <c r="E190" s="9"/>
      <c r="F190" s="9"/>
      <c r="G190" s="201">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26"/>
      <c r="BL190" s="226"/>
    </row>
    <row r="191" spans="1:64" ht="12" hidden="1" customHeight="1" outlineLevel="1">
      <c r="A191" s="9"/>
      <c r="B191" s="9"/>
      <c r="C191" s="46"/>
      <c r="D191" s="132" t="str">
        <f>Asset25</f>
        <v>Buildings</v>
      </c>
      <c r="E191" s="9"/>
      <c r="F191" s="9"/>
      <c r="G191" s="201">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26"/>
      <c r="BL191" s="226"/>
    </row>
    <row r="192" spans="1:64" ht="12" hidden="1" customHeight="1" outlineLevel="1">
      <c r="A192" s="9"/>
      <c r="B192" s="9"/>
      <c r="C192" s="46"/>
      <c r="D192" s="132" t="str">
        <f>Asset26</f>
        <v>Land &amp; Easements</v>
      </c>
      <c r="E192" s="9"/>
      <c r="F192" s="9"/>
      <c r="G192" s="201">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26"/>
      <c r="BL192" s="226"/>
    </row>
    <row r="193" spans="1:64" ht="12" hidden="1" customHeight="1" outlineLevel="1">
      <c r="A193" s="9"/>
      <c r="B193" s="9"/>
      <c r="C193" s="46"/>
      <c r="D193" s="132" t="str">
        <f>Asset27</f>
        <v>Land Improvements</v>
      </c>
      <c r="E193" s="9"/>
      <c r="F193" s="9"/>
      <c r="G193" s="201">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26"/>
      <c r="BL193" s="226"/>
    </row>
    <row r="194" spans="1:64" ht="12" hidden="1" customHeight="1" outlineLevel="1">
      <c r="A194" s="9"/>
      <c r="B194" s="9"/>
      <c r="C194" s="46"/>
      <c r="D194" s="132" t="str">
        <f>Asset28</f>
        <v>Equity Raising Costs</v>
      </c>
      <c r="E194" s="9"/>
      <c r="F194" s="9"/>
      <c r="G194" s="201">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26"/>
      <c r="BL194" s="226"/>
    </row>
    <row r="195" spans="1:64" ht="12" hidden="1" customHeight="1" outlineLevel="1">
      <c r="A195" s="9"/>
      <c r="B195" s="9"/>
      <c r="C195" s="46"/>
      <c r="D195" s="132" t="str">
        <f>Asset29</f>
        <v>Not Used</v>
      </c>
      <c r="E195" s="9"/>
      <c r="F195" s="9"/>
      <c r="G195" s="201">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26"/>
      <c r="BL195" s="226"/>
    </row>
    <row r="196" spans="1:64" ht="12" hidden="1" customHeight="1" outlineLevel="1">
      <c r="A196" s="9"/>
      <c r="B196" s="9"/>
      <c r="C196" s="46"/>
      <c r="D196" s="132" t="str">
        <f>Asset30</f>
        <v>Not Used</v>
      </c>
      <c r="E196" s="9"/>
      <c r="F196" s="9"/>
      <c r="G196" s="201">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26"/>
      <c r="BL196" s="226"/>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26"/>
      <c r="BL197" s="226"/>
    </row>
    <row r="198" spans="1:64">
      <c r="A198" s="75"/>
      <c r="B198" s="75"/>
      <c r="C198" s="82" t="s">
        <v>49</v>
      </c>
      <c r="D198" s="161"/>
      <c r="E198" s="82"/>
      <c r="F198" s="82"/>
      <c r="G198" s="230">
        <f>SUM(G199:G228)</f>
        <v>7148.9485249999989</v>
      </c>
      <c r="H198" s="160">
        <f>SUM(H199:H228)</f>
        <v>7038.9956169282787</v>
      </c>
      <c r="I198" s="160">
        <f t="shared" ref="I198:Q198" si="8">SUM(I199:I228)</f>
        <v>6826.0974216905197</v>
      </c>
      <c r="J198" s="160">
        <f t="shared" si="8"/>
        <v>6667.5252307525316</v>
      </c>
      <c r="K198" s="160">
        <f t="shared" si="8"/>
        <v>6533.4892552864412</v>
      </c>
      <c r="L198" s="160">
        <f t="shared" si="8"/>
        <v>6312.3370301901841</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26"/>
      <c r="BL198" s="226"/>
    </row>
    <row r="199" spans="1:64" outlineLevel="1">
      <c r="A199" s="9"/>
      <c r="B199" s="12"/>
      <c r="C199" s="46"/>
      <c r="D199" s="132" t="str">
        <f>Asset1</f>
        <v>Overhead Sub-Transmission Lines</v>
      </c>
      <c r="E199" s="12"/>
      <c r="F199" s="12"/>
      <c r="G199" s="198">
        <f t="shared" ref="G199:G218" si="9">G7+G39+G71+G103+G135+G167</f>
        <v>1056.633057</v>
      </c>
      <c r="H199" s="159">
        <f t="shared" ref="H199:L208" si="10">H7+H39+H71</f>
        <v>1060.8807627291108</v>
      </c>
      <c r="I199" s="159">
        <f t="shared" si="10"/>
        <v>1045.6742624814442</v>
      </c>
      <c r="J199" s="159">
        <f t="shared" si="10"/>
        <v>1039.3426017671729</v>
      </c>
      <c r="K199" s="159">
        <f t="shared" si="10"/>
        <v>1036.5099847907361</v>
      </c>
      <c r="L199" s="159">
        <f t="shared" si="10"/>
        <v>1016.0349514726371</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26"/>
      <c r="BL199" s="226"/>
    </row>
    <row r="200" spans="1:64" outlineLevel="1">
      <c r="A200" s="9"/>
      <c r="B200" s="12"/>
      <c r="C200" s="46"/>
      <c r="D200" s="132" t="str">
        <f>Asset2</f>
        <v>Underground Sub-Transmission Cables</v>
      </c>
      <c r="E200" s="12"/>
      <c r="F200" s="12"/>
      <c r="G200" s="198">
        <f t="shared" si="9"/>
        <v>52.156053999999997</v>
      </c>
      <c r="H200" s="159">
        <f t="shared" si="10"/>
        <v>51.581348283791719</v>
      </c>
      <c r="I200" s="159">
        <f t="shared" si="10"/>
        <v>50.007858245197554</v>
      </c>
      <c r="J200" s="159">
        <f t="shared" si="10"/>
        <v>48.831841449454068</v>
      </c>
      <c r="K200" s="159">
        <f t="shared" si="10"/>
        <v>47.77574582075281</v>
      </c>
      <c r="L200" s="159">
        <f t="shared" si="10"/>
        <v>45.851429407511674</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26"/>
      <c r="BL200" s="226"/>
    </row>
    <row r="201" spans="1:64" outlineLevel="1">
      <c r="A201" s="9"/>
      <c r="B201" s="12"/>
      <c r="C201" s="46"/>
      <c r="D201" s="132" t="str">
        <f>Asset3</f>
        <v>Overhead Distribution Lines</v>
      </c>
      <c r="E201" s="12"/>
      <c r="F201" s="12"/>
      <c r="G201" s="198">
        <f t="shared" si="9"/>
        <v>2189.4807769999998</v>
      </c>
      <c r="H201" s="159">
        <f t="shared" si="10"/>
        <v>2197.7783848722547</v>
      </c>
      <c r="I201" s="159">
        <f t="shared" si="10"/>
        <v>2165.7395983547299</v>
      </c>
      <c r="J201" s="159">
        <f t="shared" si="10"/>
        <v>2152.0645370921152</v>
      </c>
      <c r="K201" s="159">
        <f t="shared" si="10"/>
        <v>2145.6060130268943</v>
      </c>
      <c r="L201" s="159">
        <f t="shared" si="10"/>
        <v>2102.5917973585729</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26"/>
      <c r="BL201" s="226"/>
    </row>
    <row r="202" spans="1:64" outlineLevel="1">
      <c r="A202" s="9"/>
      <c r="B202" s="12"/>
      <c r="C202" s="46"/>
      <c r="D202" s="132" t="str">
        <f>Asset4</f>
        <v>Underground Distribution Cables</v>
      </c>
      <c r="E202" s="12"/>
      <c r="F202" s="12"/>
      <c r="G202" s="198">
        <f t="shared" si="9"/>
        <v>636.12367100000006</v>
      </c>
      <c r="H202" s="159">
        <f t="shared" si="10"/>
        <v>643.39819064795302</v>
      </c>
      <c r="I202" s="159">
        <f t="shared" si="10"/>
        <v>639.19233379058528</v>
      </c>
      <c r="J202" s="159">
        <f t="shared" si="10"/>
        <v>640.57352340308478</v>
      </c>
      <c r="K202" s="159">
        <f t="shared" si="10"/>
        <v>644.37874343822341</v>
      </c>
      <c r="L202" s="159">
        <f t="shared" si="10"/>
        <v>637.54696350830329</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26"/>
      <c r="BL202" s="226"/>
    </row>
    <row r="203" spans="1:64" outlineLevel="1">
      <c r="A203" s="9"/>
      <c r="B203" s="12"/>
      <c r="C203" s="46"/>
      <c r="D203" s="132" t="str">
        <f>Asset5</f>
        <v xml:space="preserve">Distribution Equipment  </v>
      </c>
      <c r="E203" s="12"/>
      <c r="F203" s="12"/>
      <c r="G203" s="198">
        <f t="shared" si="9"/>
        <v>67.082565000000017</v>
      </c>
      <c r="H203" s="159">
        <f t="shared" si="10"/>
        <v>65.696788815569192</v>
      </c>
      <c r="I203" s="159">
        <f t="shared" si="10"/>
        <v>62.994638947479963</v>
      </c>
      <c r="J203" s="159">
        <f t="shared" si="10"/>
        <v>60.770251275516017</v>
      </c>
      <c r="K203" s="159">
        <f t="shared" si="10"/>
        <v>58.656584651096416</v>
      </c>
      <c r="L203" s="159">
        <f t="shared" si="10"/>
        <v>55.428381155050765</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26"/>
      <c r="BL203" s="226"/>
    </row>
    <row r="204" spans="1:64" outlineLevel="1">
      <c r="A204" s="9"/>
      <c r="B204" s="12"/>
      <c r="C204" s="46"/>
      <c r="D204" s="132" t="str">
        <f>Asset6</f>
        <v>Substation Bays</v>
      </c>
      <c r="E204" s="12"/>
      <c r="F204" s="12"/>
      <c r="G204" s="198">
        <f t="shared" si="9"/>
        <v>826.69113600000003</v>
      </c>
      <c r="H204" s="159">
        <f t="shared" si="10"/>
        <v>828.18220053428752</v>
      </c>
      <c r="I204" s="159">
        <f t="shared" si="10"/>
        <v>814.36267192340949</v>
      </c>
      <c r="J204" s="159">
        <f t="shared" si="10"/>
        <v>807.39183538558177</v>
      </c>
      <c r="K204" s="159">
        <f t="shared" si="10"/>
        <v>803.03526524306847</v>
      </c>
      <c r="L204" s="159">
        <f t="shared" si="10"/>
        <v>784.88169802955463</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26"/>
      <c r="BL204" s="226"/>
    </row>
    <row r="205" spans="1:64" outlineLevel="1">
      <c r="A205" s="9"/>
      <c r="B205" s="12"/>
      <c r="C205" s="46"/>
      <c r="D205" s="132" t="str">
        <f>Asset7</f>
        <v>Substation Establishment</v>
      </c>
      <c r="E205" s="12"/>
      <c r="F205" s="12"/>
      <c r="G205" s="198">
        <f t="shared" si="9"/>
        <v>286.57619800000003</v>
      </c>
      <c r="H205" s="159">
        <f t="shared" si="10"/>
        <v>286.67628746763995</v>
      </c>
      <c r="I205" s="159">
        <f t="shared" si="10"/>
        <v>281.4484263829408</v>
      </c>
      <c r="J205" s="159">
        <f t="shared" si="10"/>
        <v>278.57312454228475</v>
      </c>
      <c r="K205" s="159">
        <f t="shared" si="10"/>
        <v>276.5760167786384</v>
      </c>
      <c r="L205" s="159">
        <f t="shared" si="10"/>
        <v>269.79750998989584</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26"/>
      <c r="BL205" s="226"/>
    </row>
    <row r="206" spans="1:64" outlineLevel="1">
      <c r="A206" s="9"/>
      <c r="B206" s="12"/>
      <c r="C206" s="46"/>
      <c r="D206" s="132" t="str">
        <f>Asset8</f>
        <v>Distribution Substation Switchgear</v>
      </c>
      <c r="E206" s="12"/>
      <c r="F206" s="12"/>
      <c r="G206" s="198">
        <f t="shared" si="9"/>
        <v>93.916054000000003</v>
      </c>
      <c r="H206" s="159">
        <f t="shared" si="10"/>
        <v>94.310283193184219</v>
      </c>
      <c r="I206" s="159">
        <f t="shared" si="10"/>
        <v>92.976195521633727</v>
      </c>
      <c r="J206" s="159">
        <f t="shared" si="10"/>
        <v>92.431788059364919</v>
      </c>
      <c r="K206" s="159">
        <f t="shared" si="10"/>
        <v>92.199506790436928</v>
      </c>
      <c r="L206" s="159">
        <f t="shared" si="10"/>
        <v>90.39906996477167</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26"/>
      <c r="BL206" s="226"/>
    </row>
    <row r="207" spans="1:64" outlineLevel="1">
      <c r="A207" s="9"/>
      <c r="B207" s="12"/>
      <c r="C207" s="46"/>
      <c r="D207" s="132" t="str">
        <f>Asset9</f>
        <v>Zone Transformers</v>
      </c>
      <c r="E207" s="12"/>
      <c r="F207" s="12"/>
      <c r="G207" s="198">
        <f t="shared" si="9"/>
        <v>241.027929</v>
      </c>
      <c r="H207" s="159">
        <f t="shared" si="10"/>
        <v>240.05076390803336</v>
      </c>
      <c r="I207" s="159">
        <f t="shared" si="10"/>
        <v>234.54035779236236</v>
      </c>
      <c r="J207" s="159">
        <f t="shared" si="10"/>
        <v>230.95366786242388</v>
      </c>
      <c r="K207" s="159">
        <f t="shared" si="10"/>
        <v>228.03415648417669</v>
      </c>
      <c r="L207" s="159">
        <f t="shared" si="10"/>
        <v>221.09674382109415</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26"/>
      <c r="BL207" s="226"/>
    </row>
    <row r="208" spans="1:64" outlineLevel="1">
      <c r="A208" s="9"/>
      <c r="B208" s="12"/>
      <c r="C208" s="46"/>
      <c r="D208" s="132" t="str">
        <f>Asset10</f>
        <v>Distribution Transformers</v>
      </c>
      <c r="E208" s="12"/>
      <c r="F208" s="12"/>
      <c r="G208" s="198">
        <f t="shared" si="9"/>
        <v>825.35839399999998</v>
      </c>
      <c r="H208" s="159">
        <f t="shared" si="10"/>
        <v>814.70743396017099</v>
      </c>
      <c r="I208" s="159">
        <f t="shared" si="10"/>
        <v>788.17450821786372</v>
      </c>
      <c r="J208" s="159">
        <f t="shared" si="10"/>
        <v>767.85096393389006</v>
      </c>
      <c r="K208" s="159">
        <f t="shared" si="10"/>
        <v>749.32039251299727</v>
      </c>
      <c r="L208" s="159">
        <f t="shared" si="10"/>
        <v>717.05561095260464</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26"/>
      <c r="BL208" s="226"/>
    </row>
    <row r="209" spans="1:64" outlineLevel="1">
      <c r="A209" s="9"/>
      <c r="B209" s="12"/>
      <c r="C209" s="46"/>
      <c r="D209" s="132" t="str">
        <f>Asset11</f>
        <v>Low Voltage Services</v>
      </c>
      <c r="E209" s="12"/>
      <c r="F209" s="12"/>
      <c r="G209" s="198">
        <f t="shared" si="9"/>
        <v>93.357134000000002</v>
      </c>
      <c r="H209" s="159">
        <f t="shared" ref="H209:L218" si="11">H17+H49+H81</f>
        <v>72.800973745740805</v>
      </c>
      <c r="I209" s="159">
        <f t="shared" si="11"/>
        <v>49.498233385676215</v>
      </c>
      <c r="J209" s="159">
        <f t="shared" si="11"/>
        <v>25.896336142295919</v>
      </c>
      <c r="K209" s="159">
        <f t="shared" si="11"/>
        <v>1.194761886292433</v>
      </c>
      <c r="L209" s="159">
        <f t="shared" si="11"/>
        <v>-0.33453723774057686</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26"/>
      <c r="BL209" s="226"/>
    </row>
    <row r="210" spans="1:64" outlineLevel="1">
      <c r="A210" s="9"/>
      <c r="B210" s="12"/>
      <c r="C210" s="46"/>
      <c r="D210" s="132" t="str">
        <f>Asset12</f>
        <v>Metering</v>
      </c>
      <c r="E210" s="12"/>
      <c r="F210" s="12"/>
      <c r="G210" s="198">
        <f t="shared" si="9"/>
        <v>66.005122</v>
      </c>
      <c r="H210" s="159">
        <f t="shared" si="11"/>
        <v>54.649875350007591</v>
      </c>
      <c r="I210" s="159">
        <f t="shared" si="11"/>
        <v>41.508804034765973</v>
      </c>
      <c r="J210" s="159">
        <f t="shared" si="11"/>
        <v>28.320713068200192</v>
      </c>
      <c r="K210" s="159">
        <f t="shared" si="11"/>
        <v>14.569053616977655</v>
      </c>
      <c r="L210" s="159">
        <f t="shared" si="11"/>
        <v>-0.24587098492008685</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26"/>
      <c r="BL210" s="226"/>
    </row>
    <row r="211" spans="1:64" outlineLevel="1">
      <c r="A211" s="9"/>
      <c r="B211" s="12"/>
      <c r="C211" s="46"/>
      <c r="D211" s="132" t="str">
        <f>Asset13</f>
        <v xml:space="preserve">Communications – Pilot Wires </v>
      </c>
      <c r="E211" s="12"/>
      <c r="F211" s="12"/>
      <c r="G211" s="198">
        <f t="shared" si="9"/>
        <v>80.41318600000001</v>
      </c>
      <c r="H211" s="159">
        <f t="shared" si="11"/>
        <v>78.943758172912283</v>
      </c>
      <c r="I211" s="159">
        <f t="shared" si="11"/>
        <v>75.905781306690997</v>
      </c>
      <c r="J211" s="159">
        <f t="shared" si="11"/>
        <v>73.450430039728388</v>
      </c>
      <c r="K211" s="159">
        <f t="shared" si="11"/>
        <v>71.140706945271802</v>
      </c>
      <c r="L211" s="159">
        <f t="shared" si="11"/>
        <v>67.494326306670899</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26"/>
      <c r="BL211" s="226"/>
    </row>
    <row r="212" spans="1:64" outlineLevel="1">
      <c r="A212" s="9"/>
      <c r="B212" s="12"/>
      <c r="C212" s="46"/>
      <c r="D212" s="132" t="str">
        <f>Asset14</f>
        <v>Generation Assets</v>
      </c>
      <c r="E212" s="12"/>
      <c r="F212" s="12"/>
      <c r="G212" s="198">
        <f t="shared" si="9"/>
        <v>3.46767</v>
      </c>
      <c r="H212" s="159">
        <f t="shared" si="11"/>
        <v>2.9470350580427498</v>
      </c>
      <c r="I212" s="159">
        <f t="shared" si="11"/>
        <v>2.3363074508490986</v>
      </c>
      <c r="J212" s="159">
        <f t="shared" si="11"/>
        <v>1.72703918198405</v>
      </c>
      <c r="K212" s="159">
        <f t="shared" si="11"/>
        <v>1.0932735760014998</v>
      </c>
      <c r="L212" s="159">
        <f t="shared" si="11"/>
        <v>0.40339428242500641</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26"/>
      <c r="BL212" s="226"/>
    </row>
    <row r="213" spans="1:64" outlineLevel="1">
      <c r="A213" s="9"/>
      <c r="B213" s="12"/>
      <c r="C213" s="46"/>
      <c r="D213" s="132" t="str">
        <f>Asset15</f>
        <v>Street Lighting</v>
      </c>
      <c r="E213" s="12"/>
      <c r="F213" s="12"/>
      <c r="G213" s="198">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26"/>
      <c r="BL213" s="226"/>
    </row>
    <row r="214" spans="1:64" outlineLevel="1">
      <c r="A214" s="9"/>
      <c r="B214" s="12"/>
      <c r="C214" s="46"/>
      <c r="D214" s="132" t="str">
        <f>Asset16</f>
        <v>Other Equipment</v>
      </c>
      <c r="E214" s="12"/>
      <c r="F214" s="12"/>
      <c r="G214" s="198">
        <f t="shared" si="9"/>
        <v>18.179272000000001</v>
      </c>
      <c r="H214" s="159">
        <f t="shared" si="11"/>
        <v>18.276161515630889</v>
      </c>
      <c r="I214" s="159">
        <f t="shared" si="11"/>
        <v>18.039512233551175</v>
      </c>
      <c r="J214" s="159">
        <f t="shared" si="11"/>
        <v>17.956785885745649</v>
      </c>
      <c r="K214" s="159">
        <f t="shared" si="11"/>
        <v>17.935862704712584</v>
      </c>
      <c r="L214" s="159">
        <f t="shared" si="11"/>
        <v>17.611323900880528</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26"/>
      <c r="BL214" s="226"/>
    </row>
    <row r="215" spans="1:64" outlineLevel="1">
      <c r="A215" s="9"/>
      <c r="B215" s="12"/>
      <c r="C215" s="46"/>
      <c r="D215" s="132" t="str">
        <f>Asset17</f>
        <v>Control Centre - SCADA</v>
      </c>
      <c r="E215" s="12"/>
      <c r="F215" s="12"/>
      <c r="G215" s="198">
        <f t="shared" si="9"/>
        <v>44.092497999999999</v>
      </c>
      <c r="H215" s="159">
        <f t="shared" si="11"/>
        <v>32.345996294810028</v>
      </c>
      <c r="I215" s="159">
        <f t="shared" si="11"/>
        <v>19.202228910788008</v>
      </c>
      <c r="J215" s="159">
        <f t="shared" si="11"/>
        <v>5.8117041288951032</v>
      </c>
      <c r="K215" s="159">
        <f t="shared" si="11"/>
        <v>-0.17458054229115394</v>
      </c>
      <c r="L215" s="159">
        <f t="shared" si="11"/>
        <v>-0.17690246350362629</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26"/>
      <c r="BL215" s="226"/>
    </row>
    <row r="216" spans="1:64" outlineLevel="1">
      <c r="A216" s="9"/>
      <c r="B216" s="12"/>
      <c r="C216" s="46"/>
      <c r="D216" s="132" t="str">
        <f>Asset18</f>
        <v>Land &amp; Easements (System)</v>
      </c>
      <c r="E216" s="12"/>
      <c r="F216" s="12"/>
      <c r="G216" s="198">
        <f t="shared" si="9"/>
        <v>80.727458999999996</v>
      </c>
      <c r="H216" s="159">
        <f t="shared" si="11"/>
        <v>83.415683384700003</v>
      </c>
      <c r="I216" s="159">
        <f t="shared" si="11"/>
        <v>84.733651182178264</v>
      </c>
      <c r="J216" s="159">
        <f t="shared" si="11"/>
        <v>86.851992461732721</v>
      </c>
      <c r="K216" s="159">
        <f t="shared" si="11"/>
        <v>89.396755840861488</v>
      </c>
      <c r="L216" s="159">
        <f t="shared" si="11"/>
        <v>90.585732693544941</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26"/>
      <c r="BL216" s="226"/>
    </row>
    <row r="217" spans="1:64" outlineLevel="1">
      <c r="A217" s="9"/>
      <c r="B217" s="12"/>
      <c r="C217" s="46"/>
      <c r="D217" s="132" t="str">
        <f>Asset19</f>
        <v>Metering Type 5-6</v>
      </c>
      <c r="E217" s="12"/>
      <c r="F217" s="12"/>
      <c r="G217" s="198">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26"/>
      <c r="BL217" s="226"/>
    </row>
    <row r="218" spans="1:64" outlineLevel="1">
      <c r="A218" s="9"/>
      <c r="B218" s="12"/>
      <c r="C218" s="46"/>
      <c r="D218" s="132" t="str">
        <f>Asset20</f>
        <v>Communications</v>
      </c>
      <c r="E218" s="12"/>
      <c r="F218" s="12"/>
      <c r="G218" s="198">
        <f t="shared" si="9"/>
        <v>8.0593400000000006</v>
      </c>
      <c r="H218" s="159">
        <f t="shared" si="11"/>
        <v>7.0711053845780967</v>
      </c>
      <c r="I218" s="159">
        <f t="shared" si="11"/>
        <v>5.8843730780063774</v>
      </c>
      <c r="J218" s="159">
        <f t="shared" si="11"/>
        <v>4.7125110321164447</v>
      </c>
      <c r="K218" s="159">
        <f t="shared" si="11"/>
        <v>3.498641948196362</v>
      </c>
      <c r="L218" s="159">
        <f t="shared" si="11"/>
        <v>2.1536162211914585</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26"/>
      <c r="BL218" s="226"/>
    </row>
    <row r="219" spans="1:64" outlineLevel="1">
      <c r="A219" s="9"/>
      <c r="B219" s="12"/>
      <c r="C219" s="46"/>
      <c r="D219" s="132" t="str">
        <f>Asset21</f>
        <v>IT Systems</v>
      </c>
      <c r="E219" s="12"/>
      <c r="F219" s="12"/>
      <c r="G219" s="198">
        <f t="shared" ref="G219:G228" si="12">G27+G59+G91+G123+G155+G187</f>
        <v>33.398921000000001</v>
      </c>
      <c r="H219" s="159">
        <f t="shared" ref="H219:L226" si="13">H27+H59+H91</f>
        <v>0.15715493697018701</v>
      </c>
      <c r="I219" s="159">
        <f t="shared" si="13"/>
        <v>0.14909865090794389</v>
      </c>
      <c r="J219" s="159">
        <f t="shared" si="13"/>
        <v>0.15282611718064248</v>
      </c>
      <c r="K219" s="159">
        <f t="shared" si="13"/>
        <v>0.15730392241403532</v>
      </c>
      <c r="L219" s="159">
        <f t="shared" si="13"/>
        <v>0.15939606458214198</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26"/>
      <c r="BL219" s="226"/>
    </row>
    <row r="220" spans="1:64" outlineLevel="1">
      <c r="A220" s="9"/>
      <c r="B220" s="12"/>
      <c r="C220" s="46"/>
      <c r="D220" s="132" t="str">
        <f>Asset22</f>
        <v>Office Equipment &amp; Furniture</v>
      </c>
      <c r="E220" s="12"/>
      <c r="F220" s="12"/>
      <c r="G220" s="198">
        <f t="shared" si="12"/>
        <v>22.718036000000001</v>
      </c>
      <c r="H220" s="159">
        <f t="shared" si="13"/>
        <v>19.008857775274599</v>
      </c>
      <c r="I220" s="159">
        <f t="shared" si="13"/>
        <v>14.694801466775138</v>
      </c>
      <c r="J220" s="159">
        <f t="shared" si="13"/>
        <v>10.374867781166405</v>
      </c>
      <c r="K220" s="159">
        <f t="shared" si="13"/>
        <v>5.8743650918195165</v>
      </c>
      <c r="L220" s="159">
        <f t="shared" si="13"/>
        <v>1.007236383166334</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26"/>
      <c r="BL220" s="226"/>
    </row>
    <row r="221" spans="1:64" outlineLevel="1">
      <c r="A221" s="9"/>
      <c r="B221" s="12"/>
      <c r="C221" s="46"/>
      <c r="D221" s="132" t="str">
        <f>Asset23</f>
        <v>Motor Vehicles</v>
      </c>
      <c r="E221" s="12"/>
      <c r="F221" s="12"/>
      <c r="G221" s="198">
        <f t="shared" si="12"/>
        <v>102.796655</v>
      </c>
      <c r="H221" s="159">
        <f t="shared" si="13"/>
        <v>91.129690142369796</v>
      </c>
      <c r="I221" s="159">
        <f t="shared" si="13"/>
        <v>76.976945664967005</v>
      </c>
      <c r="J221" s="159">
        <f t="shared" si="13"/>
        <v>63.062412746348834</v>
      </c>
      <c r="K221" s="159">
        <f t="shared" si="13"/>
        <v>48.675210965568454</v>
      </c>
      <c r="L221" s="159">
        <f t="shared" si="13"/>
        <v>32.611977334266626</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26"/>
      <c r="BL221" s="226"/>
    </row>
    <row r="222" spans="1:64" outlineLevel="1">
      <c r="A222" s="9"/>
      <c r="B222" s="12"/>
      <c r="C222" s="46"/>
      <c r="D222" s="132" t="str">
        <f>Asset24</f>
        <v>Plant &amp; Equipment</v>
      </c>
      <c r="E222" s="12"/>
      <c r="F222" s="12"/>
      <c r="G222" s="198">
        <f t="shared" si="12"/>
        <v>85.455234000000004</v>
      </c>
      <c r="H222" s="159">
        <f t="shared" si="13"/>
        <v>76.399719932979863</v>
      </c>
      <c r="I222" s="159">
        <f t="shared" si="13"/>
        <v>65.309353075838771</v>
      </c>
      <c r="J222" s="159">
        <f t="shared" si="13"/>
        <v>54.450304248225677</v>
      </c>
      <c r="K222" s="159">
        <f t="shared" si="13"/>
        <v>43.241620941826895</v>
      </c>
      <c r="L222" s="159">
        <f t="shared" si="13"/>
        <v>30.63749781690985</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26"/>
      <c r="BL222" s="226"/>
    </row>
    <row r="223" spans="1:64" outlineLevel="1">
      <c r="A223" s="9"/>
      <c r="B223" s="12"/>
      <c r="C223" s="46"/>
      <c r="D223" s="132" t="str">
        <f>Asset25</f>
        <v>Buildings</v>
      </c>
      <c r="E223" s="12"/>
      <c r="F223" s="12"/>
      <c r="G223" s="198">
        <f t="shared" si="12"/>
        <v>208.170163</v>
      </c>
      <c r="H223" s="159">
        <f t="shared" si="13"/>
        <v>190.95489770226786</v>
      </c>
      <c r="I223" s="159">
        <f t="shared" si="13"/>
        <v>169.02054721386799</v>
      </c>
      <c r="J223" s="159">
        <f t="shared" si="13"/>
        <v>147.90039030373987</v>
      </c>
      <c r="K223" s="159">
        <f t="shared" si="13"/>
        <v>126.25455938440277</v>
      </c>
      <c r="L223" s="159">
        <f t="shared" si="13"/>
        <v>101.19323881697021</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26"/>
      <c r="BL223" s="226"/>
    </row>
    <row r="224" spans="1:64" outlineLevel="1">
      <c r="A224" s="9"/>
      <c r="B224" s="12"/>
      <c r="C224" s="46"/>
      <c r="D224" s="132" t="str">
        <f>Asset26</f>
        <v>Land &amp; Easements</v>
      </c>
      <c r="E224" s="12"/>
      <c r="F224" s="12"/>
      <c r="G224" s="198">
        <f t="shared" si="12"/>
        <v>15.061337</v>
      </c>
      <c r="H224" s="159">
        <f t="shared" si="13"/>
        <v>15.562879522099999</v>
      </c>
      <c r="I224" s="159">
        <f t="shared" si="13"/>
        <v>15.808773018549179</v>
      </c>
      <c r="J224" s="159">
        <f t="shared" si="13"/>
        <v>16.203992344012907</v>
      </c>
      <c r="K224" s="159">
        <f t="shared" si="13"/>
        <v>16.678769319692485</v>
      </c>
      <c r="L224" s="159">
        <f t="shared" si="13"/>
        <v>16.900596951644395</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26"/>
      <c r="BL224" s="226"/>
    </row>
    <row r="225" spans="1:64" outlineLevel="1">
      <c r="A225" s="9"/>
      <c r="B225" s="12"/>
      <c r="C225" s="46"/>
      <c r="D225" s="132" t="str">
        <f>Asset27</f>
        <v>Land Improvements</v>
      </c>
      <c r="E225" s="12"/>
      <c r="F225" s="12"/>
      <c r="G225" s="198">
        <f t="shared" si="12"/>
        <v>12.000662999999999</v>
      </c>
      <c r="H225" s="159">
        <f t="shared" si="13"/>
        <v>12.069383597898165</v>
      </c>
      <c r="I225" s="159">
        <f t="shared" si="13"/>
        <v>11.918159359459061</v>
      </c>
      <c r="J225" s="159">
        <f t="shared" si="13"/>
        <v>11.868790500270926</v>
      </c>
      <c r="K225" s="159">
        <f t="shared" si="13"/>
        <v>11.860540147674886</v>
      </c>
      <c r="L225" s="159">
        <f t="shared" si="13"/>
        <v>11.651848444097343</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26"/>
      <c r="BL225" s="226"/>
    </row>
    <row r="226" spans="1:64" outlineLevel="1">
      <c r="A226" s="9"/>
      <c r="B226" s="12"/>
      <c r="C226" s="46"/>
      <c r="D226" s="132" t="str">
        <f>Asset28</f>
        <v>Equity Raising Costs</v>
      </c>
      <c r="E226" s="12"/>
      <c r="F226" s="12"/>
      <c r="G226" s="198">
        <f t="shared" si="12"/>
        <v>0</v>
      </c>
      <c r="H226" s="159">
        <f t="shared" si="13"/>
        <v>0</v>
      </c>
      <c r="I226" s="159">
        <f t="shared" si="13"/>
        <v>0</v>
      </c>
      <c r="J226" s="159">
        <f t="shared" si="13"/>
        <v>0</v>
      </c>
      <c r="K226" s="159">
        <f t="shared" si="13"/>
        <v>0</v>
      </c>
      <c r="L226" s="159">
        <f t="shared" si="13"/>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26"/>
      <c r="BL226" s="226"/>
    </row>
    <row r="227" spans="1:64" outlineLevel="1">
      <c r="A227" s="9"/>
      <c r="B227" s="12"/>
      <c r="C227" s="46"/>
      <c r="D227" s="132" t="str">
        <f>Asset29</f>
        <v>Not Used</v>
      </c>
      <c r="E227" s="12"/>
      <c r="F227" s="12"/>
      <c r="G227" s="198">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26"/>
      <c r="BL227" s="226"/>
    </row>
    <row r="228" spans="1:64" outlineLevel="1">
      <c r="A228" s="9"/>
      <c r="B228" s="12"/>
      <c r="C228" s="46"/>
      <c r="D228" s="132" t="str">
        <f>Asset30</f>
        <v>Not Used</v>
      </c>
      <c r="E228" s="12"/>
      <c r="F228" s="12"/>
      <c r="G228" s="198">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26"/>
      <c r="BL228" s="226"/>
    </row>
    <row r="229" spans="1:64">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26"/>
      <c r="BL229" s="226"/>
    </row>
    <row r="230" spans="1:64" s="9" customFormat="1">
      <c r="B230" s="12"/>
      <c r="C230" s="91" t="s">
        <v>38</v>
      </c>
      <c r="D230" s="12"/>
      <c r="E230" s="12"/>
      <c r="F230" s="12"/>
      <c r="G230" s="117"/>
      <c r="H230" s="119"/>
      <c r="I230" s="119"/>
      <c r="J230" s="119"/>
      <c r="K230" s="119"/>
      <c r="L230" s="119">
        <f t="shared" ref="L230:Q230" si="15">SUM(L231:L260)</f>
        <v>-132.75294405554428</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20"/>
      <c r="BK230" s="226"/>
      <c r="BL230" s="226"/>
    </row>
    <row r="231" spans="1:64" ht="12" hidden="1" customHeight="1" outlineLevel="1">
      <c r="A231" s="9"/>
      <c r="B231" s="9"/>
      <c r="C231" s="9"/>
      <c r="D231" s="132" t="str">
        <f>Asset1</f>
        <v>Overhead Sub-Transmission Lines</v>
      </c>
      <c r="E231" s="9"/>
      <c r="F231" s="9"/>
      <c r="G231" s="9"/>
      <c r="H231" s="113"/>
      <c r="I231" s="113"/>
      <c r="J231" s="113"/>
      <c r="K231" s="113"/>
      <c r="L231" s="113">
        <f>IF(L$198&gt;0, IF(M$198=0, 'Adjustment for previous period'!$G76, 0), 0)</f>
        <v>-7.2340433031837108</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row>
    <row r="232" spans="1:64" ht="12" hidden="1" customHeight="1" outlineLevel="1">
      <c r="A232" s="9"/>
      <c r="B232" s="9"/>
      <c r="C232" s="9"/>
      <c r="D232" s="132" t="str">
        <f>Asset2</f>
        <v>Underground Sub-Transmission Cables</v>
      </c>
      <c r="E232" s="9"/>
      <c r="F232" s="9"/>
      <c r="G232" s="9"/>
      <c r="H232" s="113"/>
      <c r="I232" s="113"/>
      <c r="J232" s="113"/>
      <c r="K232" s="113"/>
      <c r="L232" s="113">
        <f>IF(L$198&gt;0, IF(M$198=0, 'Adjustment for previous period'!$G77, 0), 0)</f>
        <v>-14.68313427837345</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row>
    <row r="233" spans="1:64" ht="12" hidden="1" customHeight="1" outlineLevel="1">
      <c r="A233" s="9"/>
      <c r="B233" s="9"/>
      <c r="C233" s="9"/>
      <c r="D233" s="132" t="str">
        <f>Asset3</f>
        <v>Overhead Distribution Lines</v>
      </c>
      <c r="E233" s="9"/>
      <c r="F233" s="9"/>
      <c r="G233" s="9"/>
      <c r="H233" s="113"/>
      <c r="I233" s="113"/>
      <c r="J233" s="113"/>
      <c r="K233" s="113"/>
      <c r="L233" s="113">
        <f>IF(L$198&gt;0, IF(M$198=0, 'Adjustment for previous period'!$G78, 0), 0)</f>
        <v>-52.387686720597245</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row>
    <row r="234" spans="1:64" ht="12" hidden="1" customHeight="1" outlineLevel="1">
      <c r="A234" s="9"/>
      <c r="B234" s="9"/>
      <c r="C234" s="9"/>
      <c r="D234" s="132" t="str">
        <f>Asset4</f>
        <v>Underground Distribution Cables</v>
      </c>
      <c r="E234" s="9"/>
      <c r="F234" s="9"/>
      <c r="G234" s="9"/>
      <c r="H234" s="113"/>
      <c r="I234" s="113"/>
      <c r="J234" s="113"/>
      <c r="K234" s="113"/>
      <c r="L234" s="113">
        <f>IF(L$198&gt;0, IF(M$198=0, 'Adjustment for previous period'!$G79, 0), 0)</f>
        <v>-41.567166402495097</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row>
    <row r="235" spans="1:64" ht="12" hidden="1" customHeight="1" outlineLevel="1">
      <c r="A235" s="9"/>
      <c r="B235" s="9"/>
      <c r="C235" s="9"/>
      <c r="D235" s="132" t="str">
        <f>Asset5</f>
        <v xml:space="preserve">Distribution Equipment  </v>
      </c>
      <c r="E235" s="9"/>
      <c r="F235" s="9"/>
      <c r="G235" s="9"/>
      <c r="H235" s="113"/>
      <c r="I235" s="113"/>
      <c r="J235" s="113"/>
      <c r="K235" s="113"/>
      <c r="L235" s="113">
        <f>IF(L$198&gt;0, IF(M$198=0, 'Adjustment for previous period'!$G80, 0), 0)</f>
        <v>-15.149455482624457</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row>
    <row r="236" spans="1:64" ht="12" hidden="1" customHeight="1" outlineLevel="1">
      <c r="A236" s="9"/>
      <c r="B236" s="9"/>
      <c r="C236" s="9"/>
      <c r="D236" s="132" t="str">
        <f>Asset6</f>
        <v>Substation Bays</v>
      </c>
      <c r="E236" s="9"/>
      <c r="F236" s="9"/>
      <c r="G236" s="9"/>
      <c r="H236" s="113"/>
      <c r="I236" s="113"/>
      <c r="J236" s="113"/>
      <c r="K236" s="113"/>
      <c r="L236" s="113">
        <f>IF(L$198&gt;0, IF(M$198=0, 'Adjustment for previous period'!$G81, 0), 0)</f>
        <v>12.089127544473115</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row>
    <row r="237" spans="1:64" ht="12" hidden="1" customHeight="1" outlineLevel="1">
      <c r="A237" s="9"/>
      <c r="B237" s="9"/>
      <c r="C237" s="9"/>
      <c r="D237" s="132" t="str">
        <f>Asset7</f>
        <v>Substation Establishment</v>
      </c>
      <c r="E237" s="9"/>
      <c r="F237" s="9"/>
      <c r="G237" s="9"/>
      <c r="H237" s="113"/>
      <c r="I237" s="113"/>
      <c r="J237" s="113"/>
      <c r="K237" s="113"/>
      <c r="L237" s="113">
        <f>IF(L$198&gt;0, IF(M$198=0, 'Adjustment for previous period'!$G82, 0), 0)</f>
        <v>-10.928457777900011</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row>
    <row r="238" spans="1:64" ht="12" hidden="1" customHeight="1" outlineLevel="1">
      <c r="A238" s="9"/>
      <c r="B238" s="9"/>
      <c r="C238" s="9"/>
      <c r="D238" s="132" t="str">
        <f>Asset8</f>
        <v>Distribution Substation Switchgear</v>
      </c>
      <c r="E238" s="9"/>
      <c r="F238" s="9"/>
      <c r="G238" s="9"/>
      <c r="H238" s="113"/>
      <c r="I238" s="113"/>
      <c r="J238" s="113"/>
      <c r="K238" s="113"/>
      <c r="L238" s="113">
        <f>IF(L$198&gt;0, IF(M$198=0, 'Adjustment for previous period'!$G83, 0), 0)</f>
        <v>16.645437602430654</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row>
    <row r="239" spans="1:64" ht="12" hidden="1" customHeight="1" outlineLevel="1">
      <c r="A239" s="9"/>
      <c r="B239" s="9"/>
      <c r="C239" s="9"/>
      <c r="D239" s="132" t="str">
        <f>Asset9</f>
        <v>Zone Transformers</v>
      </c>
      <c r="E239" s="9"/>
      <c r="F239" s="9"/>
      <c r="G239" s="9"/>
      <c r="H239" s="113"/>
      <c r="I239" s="113"/>
      <c r="J239" s="113"/>
      <c r="K239" s="113"/>
      <c r="L239" s="113">
        <f>IF(L$198&gt;0, IF(M$198=0, 'Adjustment for previous period'!$G84, 0), 0)</f>
        <v>19.749899690296392</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row>
    <row r="240" spans="1:64" ht="12" hidden="1" customHeight="1" outlineLevel="1">
      <c r="A240" s="9"/>
      <c r="B240" s="9"/>
      <c r="C240" s="9"/>
      <c r="D240" s="132" t="str">
        <f>Asset10</f>
        <v>Distribution Transformers</v>
      </c>
      <c r="E240" s="9"/>
      <c r="F240" s="9"/>
      <c r="G240" s="9"/>
      <c r="H240" s="113"/>
      <c r="I240" s="113"/>
      <c r="J240" s="113"/>
      <c r="K240" s="113"/>
      <c r="L240" s="113">
        <f>IF(L$198&gt;0, IF(M$198=0, 'Adjustment for previous period'!$G85, 0), 0)</f>
        <v>-14.620299714651011</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row>
    <row r="241" spans="1:64" ht="12" hidden="1" customHeight="1" outlineLevel="1">
      <c r="A241" s="9"/>
      <c r="B241" s="9"/>
      <c r="C241" s="9"/>
      <c r="D241" s="132" t="str">
        <f>Asset11</f>
        <v>Low Voltage Services</v>
      </c>
      <c r="E241" s="9"/>
      <c r="F241" s="9"/>
      <c r="G241" s="9"/>
      <c r="H241" s="113"/>
      <c r="I241" s="113"/>
      <c r="J241" s="113"/>
      <c r="K241" s="113"/>
      <c r="L241" s="113">
        <f>IF(L$198&gt;0, IF(M$198=0, 'Adjustment for previous period'!$G86, 0), 0)</f>
        <v>3.2371129653308088</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row>
    <row r="242" spans="1:64" ht="12" hidden="1" customHeight="1" outlineLevel="1">
      <c r="A242" s="9"/>
      <c r="B242" s="9"/>
      <c r="C242" s="9"/>
      <c r="D242" s="132" t="str">
        <f>Asset12</f>
        <v>Metering</v>
      </c>
      <c r="E242" s="9"/>
      <c r="F242" s="9"/>
      <c r="G242" s="9"/>
      <c r="H242" s="113"/>
      <c r="I242" s="113"/>
      <c r="J242" s="113"/>
      <c r="K242" s="113"/>
      <c r="L242" s="113">
        <f>IF(L$198&gt;0, IF(M$198=0, 'Adjustment for previous period'!$G87, 0), 0)</f>
        <v>23.724944223696333</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row>
    <row r="243" spans="1:64" ht="12" hidden="1" customHeight="1" outlineLevel="1">
      <c r="A243" s="9"/>
      <c r="B243" s="9"/>
      <c r="C243" s="9"/>
      <c r="D243" s="132" t="str">
        <f>Asset13</f>
        <v xml:space="preserve">Communications – Pilot Wires </v>
      </c>
      <c r="E243" s="9"/>
      <c r="F243" s="9"/>
      <c r="G243" s="9"/>
      <c r="H243" s="113"/>
      <c r="I243" s="113"/>
      <c r="J243" s="113"/>
      <c r="K243" s="113"/>
      <c r="L243" s="113">
        <f>IF(L$198&gt;0, IF(M$198=0, 'Adjustment for previous period'!$G88, 0), 0)</f>
        <v>-30.045609062763667</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row>
    <row r="244" spans="1:64" ht="12" hidden="1" customHeight="1" outlineLevel="1">
      <c r="A244" s="9"/>
      <c r="B244" s="9"/>
      <c r="C244" s="9"/>
      <c r="D244" s="132" t="str">
        <f>Asset14</f>
        <v>Generation Assets</v>
      </c>
      <c r="E244" s="9"/>
      <c r="F244" s="9"/>
      <c r="G244" s="9"/>
      <c r="H244" s="113"/>
      <c r="I244" s="113"/>
      <c r="J244" s="113"/>
      <c r="K244" s="113"/>
      <c r="L244" s="113">
        <f>IF(L$198&gt;0, IF(M$198=0, 'Adjustment for previous period'!$G89, 0), 0)</f>
        <v>-6.9191000000000003E-2</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row>
    <row r="245" spans="1:64" ht="12" hidden="1" customHeight="1" outlineLevel="1">
      <c r="A245" s="9"/>
      <c r="B245" s="9"/>
      <c r="C245" s="9"/>
      <c r="D245" s="132" t="str">
        <f>Asset15</f>
        <v>Street Lighting</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row>
    <row r="246" spans="1:64" ht="12" hidden="1" customHeight="1" outlineLevel="1">
      <c r="A246" s="9"/>
      <c r="B246" s="9"/>
      <c r="C246" s="9"/>
      <c r="D246" s="132" t="str">
        <f>Asset16</f>
        <v>Other Equipment</v>
      </c>
      <c r="E246" s="9"/>
      <c r="F246" s="9"/>
      <c r="G246" s="9"/>
      <c r="H246" s="113"/>
      <c r="I246" s="113"/>
      <c r="J246" s="113"/>
      <c r="K246" s="113"/>
      <c r="L246" s="113">
        <f>IF(L$198&gt;0, IF(M$198=0, 'Adjustment for previous period'!$G91, 0), 0)</f>
        <v>3.7510748534675158</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row>
    <row r="247" spans="1:64" ht="12" hidden="1" customHeight="1" outlineLevel="1">
      <c r="A247" s="9"/>
      <c r="B247" s="9"/>
      <c r="C247" s="9"/>
      <c r="D247" s="132" t="str">
        <f>Asset17</f>
        <v>Control Centre - SCADA</v>
      </c>
      <c r="E247" s="9"/>
      <c r="F247" s="9"/>
      <c r="G247" s="9"/>
      <c r="H247" s="113"/>
      <c r="I247" s="113"/>
      <c r="J247" s="113"/>
      <c r="K247" s="113"/>
      <c r="L247" s="113">
        <f>IF(L$198&gt;0, IF(M$198=0, 'Adjustment for previous period'!$G92, 0), 0)</f>
        <v>2.5759531227968271</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row>
    <row r="248" spans="1:64" ht="12" hidden="1" customHeight="1" outlineLevel="1">
      <c r="A248" s="9"/>
      <c r="B248" s="9"/>
      <c r="C248" s="9"/>
      <c r="D248" s="132" t="str">
        <f>Asset18</f>
        <v>Land &amp; Easements (System)</v>
      </c>
      <c r="E248" s="9"/>
      <c r="F248" s="9"/>
      <c r="G248" s="9"/>
      <c r="H248" s="113"/>
      <c r="I248" s="113"/>
      <c r="J248" s="113"/>
      <c r="K248" s="113"/>
      <c r="L248" s="113">
        <f>IF(L$198&gt;0, IF(M$198=0, 'Adjustment for previous period'!$G93, 0), 0)</f>
        <v>-14.599397339921708</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row>
    <row r="249" spans="1:64" ht="12" hidden="1"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row>
    <row r="250" spans="1:64" ht="12" hidden="1" customHeight="1" outlineLevel="1">
      <c r="A250" s="9"/>
      <c r="B250" s="9"/>
      <c r="C250" s="9"/>
      <c r="D250" s="132" t="str">
        <f>Asset20</f>
        <v>Communications</v>
      </c>
      <c r="E250" s="9"/>
      <c r="F250" s="9"/>
      <c r="G250" s="9"/>
      <c r="H250" s="113"/>
      <c r="I250" s="113"/>
      <c r="J250" s="113"/>
      <c r="K250" s="113"/>
      <c r="L250" s="113">
        <f>IF(L$198&gt;0, IF(M$198=0, 'Adjustment for previous period'!$G95, 0), 0)</f>
        <v>0.48613183699100843</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row>
    <row r="251" spans="1:64" ht="12" hidden="1" customHeight="1" outlineLevel="1">
      <c r="A251" s="9"/>
      <c r="B251" s="9"/>
      <c r="C251" s="9"/>
      <c r="D251" s="132" t="str">
        <f>Asset21</f>
        <v>IT Systems</v>
      </c>
      <c r="E251" s="9"/>
      <c r="F251" s="9"/>
      <c r="G251" s="9"/>
      <c r="H251" s="113"/>
      <c r="I251" s="113"/>
      <c r="J251" s="113"/>
      <c r="K251" s="113"/>
      <c r="L251" s="113">
        <f>IF(L$198&gt;0, IF(M$198=0, 'Adjustment for previous period'!$G96, 0), 0)</f>
        <v>37.755097050464784</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row>
    <row r="252" spans="1:64" ht="12" hidden="1" customHeight="1" outlineLevel="1">
      <c r="A252" s="9"/>
      <c r="B252" s="9"/>
      <c r="C252" s="9"/>
      <c r="D252" s="132" t="str">
        <f>Asset22</f>
        <v>Office Equipment &amp; Furniture</v>
      </c>
      <c r="E252" s="9"/>
      <c r="F252" s="9"/>
      <c r="G252" s="9"/>
      <c r="H252" s="113"/>
      <c r="I252" s="113"/>
      <c r="J252" s="113"/>
      <c r="K252" s="113"/>
      <c r="L252" s="113">
        <f>IF(L$198&gt;0, IF(M$198=0, 'Adjustment for previous period'!$G97, 0), 0)</f>
        <v>1.2797660242272435</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row>
    <row r="253" spans="1:64" ht="12" hidden="1" customHeight="1" outlineLevel="1">
      <c r="A253" s="9"/>
      <c r="B253" s="9"/>
      <c r="C253" s="9"/>
      <c r="D253" s="132" t="str">
        <f>Asset23</f>
        <v>Motor Vehicles</v>
      </c>
      <c r="E253" s="9"/>
      <c r="F253" s="9"/>
      <c r="G253" s="9"/>
      <c r="H253" s="113"/>
      <c r="I253" s="113"/>
      <c r="J253" s="113"/>
      <c r="K253" s="113"/>
      <c r="L253" s="113">
        <f>IF(L$198&gt;0, IF(M$198=0, 'Adjustment for previous period'!$G98, 0), 0)</f>
        <v>-9.7239822291280102</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row>
    <row r="254" spans="1:64" ht="12" hidden="1" customHeight="1" outlineLevel="1">
      <c r="A254" s="9"/>
      <c r="B254" s="9"/>
      <c r="C254" s="9"/>
      <c r="D254" s="132" t="str">
        <f>Asset24</f>
        <v>Plant &amp; Equipment</v>
      </c>
      <c r="E254" s="9"/>
      <c r="F254" s="9"/>
      <c r="G254" s="9"/>
      <c r="H254" s="113"/>
      <c r="I254" s="113"/>
      <c r="J254" s="113"/>
      <c r="K254" s="113"/>
      <c r="L254" s="113">
        <f>IF(L$198&gt;0, IF(M$198=0, 'Adjustment for previous period'!$G99, 0), 0)</f>
        <v>7.6932783046829716</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row>
    <row r="255" spans="1:64" ht="12" hidden="1" customHeight="1" outlineLevel="1">
      <c r="A255" s="9"/>
      <c r="B255" s="9"/>
      <c r="C255" s="9"/>
      <c r="D255" s="132" t="str">
        <f>Asset25</f>
        <v>Buildings</v>
      </c>
      <c r="E255" s="9"/>
      <c r="F255" s="9"/>
      <c r="G255" s="9"/>
      <c r="H255" s="113"/>
      <c r="I255" s="113"/>
      <c r="J255" s="113"/>
      <c r="K255" s="113"/>
      <c r="L255" s="113">
        <f>IF(L$198&gt;0, IF(M$198=0, 'Adjustment for previous period'!$G100, 0), 0)</f>
        <v>-55.566083548359323</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row>
    <row r="256" spans="1:64" ht="12" hidden="1" customHeight="1" outlineLevel="1">
      <c r="A256" s="9"/>
      <c r="B256" s="9"/>
      <c r="C256" s="9"/>
      <c r="D256" s="132" t="str">
        <f>Asset26</f>
        <v>Land &amp; Easements</v>
      </c>
      <c r="E256" s="9"/>
      <c r="F256" s="9"/>
      <c r="G256" s="9"/>
      <c r="H256" s="113"/>
      <c r="I256" s="113"/>
      <c r="J256" s="113"/>
      <c r="K256" s="113"/>
      <c r="L256" s="113">
        <f>IF(L$198&gt;0, IF(M$198=0, 'Adjustment for previous period'!$G101, 0), 0)</f>
        <v>-0.73812095929829158</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row>
    <row r="257" spans="1:64" ht="12" hidden="1" customHeight="1" outlineLevel="1">
      <c r="A257" s="9"/>
      <c r="B257" s="9"/>
      <c r="C257" s="9"/>
      <c r="D257" s="132" t="str">
        <f>Asset27</f>
        <v>Land Improvements</v>
      </c>
      <c r="E257" s="9"/>
      <c r="F257" s="9"/>
      <c r="G257" s="9"/>
      <c r="H257" s="113"/>
      <c r="I257" s="113"/>
      <c r="J257" s="113"/>
      <c r="K257" s="113"/>
      <c r="L257" s="113">
        <f>IF(L$198&gt;0, IF(M$198=0, 'Adjustment for previous period'!$G102, 0), 0)</f>
        <v>5.5718605448941076</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row>
    <row r="258" spans="1:64" ht="12" hidden="1" customHeight="1" outlineLevel="1">
      <c r="A258" s="9"/>
      <c r="B258" s="9"/>
      <c r="C258" s="9"/>
      <c r="D258" s="132" t="str">
        <f>Asset28</f>
        <v>Equity Raising Costs</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row>
    <row r="259" spans="1:64" ht="12" hidden="1" customHeight="1" outlineLevel="1">
      <c r="A259" s="9"/>
      <c r="B259" s="9"/>
      <c r="C259" s="9"/>
      <c r="D259" s="132" t="str">
        <f>Asset29</f>
        <v>Not Used</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row>
    <row r="260" spans="1:64" ht="12" hidden="1" customHeight="1" outlineLevel="1">
      <c r="A260" s="9"/>
      <c r="B260" s="9"/>
      <c r="C260" s="9"/>
      <c r="D260" s="132" t="str">
        <f>Asset30</f>
        <v>Not Used</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row>
    <row r="262" spans="1:64" ht="12" customHeight="1">
      <c r="A262" s="9"/>
      <c r="B262" s="12"/>
      <c r="C262" s="91" t="s">
        <v>59</v>
      </c>
      <c r="D262" s="12"/>
      <c r="E262" s="12"/>
      <c r="F262" s="12"/>
      <c r="G262" s="117"/>
      <c r="H262" s="123"/>
      <c r="I262" s="123"/>
      <c r="J262" s="123"/>
      <c r="K262" s="123"/>
      <c r="L262" s="123">
        <f t="shared" ref="L262:Q262" si="16">SUM(L263:L292)</f>
        <v>-76.402265838493165</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row>
    <row r="263" spans="1:64" ht="12" hidden="1" customHeight="1" outlineLevel="1">
      <c r="A263" s="9"/>
      <c r="B263" s="9"/>
      <c r="C263" s="9"/>
      <c r="D263" s="132" t="str">
        <f>Asset1</f>
        <v>Overhead Sub-Transmission Lines</v>
      </c>
      <c r="E263" s="9"/>
      <c r="F263" s="9"/>
      <c r="G263" s="9"/>
      <c r="H263" s="113"/>
      <c r="I263" s="113"/>
      <c r="J263" s="113"/>
      <c r="K263" s="113"/>
      <c r="L263" s="113">
        <f>IF(M$198=0, 'Adjustment for previous period'!L109, 0)</f>
        <v>-4.1633524850926307</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row>
    <row r="264" spans="1:64" hidden="1" outlineLevel="1">
      <c r="A264" s="9"/>
      <c r="B264" s="9"/>
      <c r="C264" s="9"/>
      <c r="D264" s="132" t="str">
        <f>Asset2</f>
        <v>Underground Sub-Transmission Cables</v>
      </c>
      <c r="E264" s="9"/>
      <c r="F264" s="9"/>
      <c r="G264" s="9"/>
      <c r="H264" s="113"/>
      <c r="I264" s="113"/>
      <c r="J264" s="113"/>
      <c r="K264" s="113"/>
      <c r="L264" s="113">
        <f>IF(M$198=0, 'Adjustment for previous period'!L111, 0)</f>
        <v>-8.4504696785421558</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26"/>
      <c r="BL264" s="226"/>
    </row>
    <row r="265" spans="1:64" ht="12" hidden="1" customHeight="1" outlineLevel="1">
      <c r="A265" s="9"/>
      <c r="B265" s="9"/>
      <c r="C265" s="9"/>
      <c r="D265" s="132" t="str">
        <f>Asset3</f>
        <v>Overhead Distribution Lines</v>
      </c>
      <c r="E265" s="9"/>
      <c r="F265" s="9"/>
      <c r="G265" s="9"/>
      <c r="H265" s="113"/>
      <c r="I265" s="113"/>
      <c r="J265" s="113"/>
      <c r="K265" s="113"/>
      <c r="L265" s="113">
        <f>IF(M$198=0, 'Adjustment for previous period'!L113, 0)</f>
        <v>-30.150276485138399</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row>
    <row r="266" spans="1:64" ht="12" hidden="1" customHeight="1" outlineLevel="1">
      <c r="A266" s="9"/>
      <c r="B266" s="9"/>
      <c r="C266" s="9"/>
      <c r="D266" s="132" t="str">
        <f>Asset4</f>
        <v>Underground Distribution Cables</v>
      </c>
      <c r="E266" s="9"/>
      <c r="F266" s="9"/>
      <c r="G266" s="9"/>
      <c r="H266" s="113"/>
      <c r="I266" s="113"/>
      <c r="J266" s="113"/>
      <c r="K266" s="113"/>
      <c r="L266" s="113">
        <f>IF(M$198=0, 'Adjustment for previous period'!L115, 0)</f>
        <v>-23.922826873862299</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row>
    <row r="267" spans="1:64" ht="12" hidden="1" customHeight="1" outlineLevel="1">
      <c r="A267" s="9"/>
      <c r="B267" s="9"/>
      <c r="C267" s="9"/>
      <c r="D267" s="132" t="str">
        <f>Asset5</f>
        <v xml:space="preserve">Distribution Equipment  </v>
      </c>
      <c r="E267" s="9"/>
      <c r="F267" s="9"/>
      <c r="G267" s="9"/>
      <c r="H267" s="113"/>
      <c r="I267" s="113"/>
      <c r="J267" s="113"/>
      <c r="K267" s="113"/>
      <c r="L267" s="113">
        <f>IF(M$198=0, 'Adjustment for previous period'!L117, 0)</f>
        <v>-8.7188478818790642</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row>
    <row r="268" spans="1:64" hidden="1" outlineLevel="1">
      <c r="A268" s="9"/>
      <c r="B268" s="9"/>
      <c r="C268" s="9"/>
      <c r="D268" s="132" t="str">
        <f>Asset6</f>
        <v>Substation Bays</v>
      </c>
      <c r="E268" s="9"/>
      <c r="F268" s="9"/>
      <c r="G268" s="9"/>
      <c r="H268" s="113"/>
      <c r="I268" s="113"/>
      <c r="J268" s="113"/>
      <c r="K268" s="113"/>
      <c r="L268" s="113">
        <f>IF(M$198=0, 'Adjustment for previous period'!L119, 0)</f>
        <v>6.9575612275825129</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row>
    <row r="269" spans="1:64" hidden="1" outlineLevel="1">
      <c r="A269" s="9"/>
      <c r="B269" s="9"/>
      <c r="C269" s="9"/>
      <c r="D269" s="132" t="str">
        <f>Asset7</f>
        <v>Substation Establishment</v>
      </c>
      <c r="E269" s="9"/>
      <c r="F269" s="9"/>
      <c r="G269" s="9"/>
      <c r="H269" s="113"/>
      <c r="I269" s="113"/>
      <c r="J269" s="113"/>
      <c r="K269" s="113"/>
      <c r="L269" s="113">
        <f>IF(M$198=0, 'Adjustment for previous period'!L121, 0)</f>
        <v>-6.2895700151291223</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row>
    <row r="270" spans="1:64" hidden="1" outlineLevel="1">
      <c r="A270" s="9"/>
      <c r="B270" s="9"/>
      <c r="C270" s="9"/>
      <c r="D270" s="132" t="str">
        <f>Asset8</f>
        <v>Distribution Substation Switchgear</v>
      </c>
      <c r="E270" s="9"/>
      <c r="F270" s="9"/>
      <c r="G270" s="9"/>
      <c r="H270" s="113"/>
      <c r="I270" s="113"/>
      <c r="J270" s="113"/>
      <c r="K270" s="113"/>
      <c r="L270" s="113">
        <f>IF(M$198=0, 'Adjustment for previous period'!L123, 0)</f>
        <v>9.5798187960852559</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row>
    <row r="271" spans="1:64" hidden="1" outlineLevel="1">
      <c r="A271" s="9"/>
      <c r="B271" s="9"/>
      <c r="C271" s="9"/>
      <c r="D271" s="132" t="str">
        <f>Asset9</f>
        <v>Zone Transformers</v>
      </c>
      <c r="E271" s="9"/>
      <c r="F271" s="9"/>
      <c r="G271" s="9"/>
      <c r="H271" s="113"/>
      <c r="I271" s="113"/>
      <c r="J271" s="113"/>
      <c r="K271" s="113"/>
      <c r="L271" s="113">
        <f>IF(M$198=0, 'Adjustment for previous period'!L125, 0)</f>
        <v>11.366505633127463</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row>
    <row r="272" spans="1:64" hidden="1" outlineLevel="1">
      <c r="A272" s="9"/>
      <c r="B272" s="9"/>
      <c r="C272" s="9"/>
      <c r="D272" s="132" t="str">
        <f>Asset10</f>
        <v>Distribution Transformers</v>
      </c>
      <c r="E272" s="9"/>
      <c r="F272" s="9"/>
      <c r="G272" s="9"/>
      <c r="H272" s="113"/>
      <c r="I272" s="113"/>
      <c r="J272" s="113"/>
      <c r="K272" s="113"/>
      <c r="L272" s="113">
        <f>IF(M$198=0, 'Adjustment for previous period'!L127, 0)</f>
        <v>-8.4143069924674965</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row>
    <row r="273" spans="1:64" hidden="1" outlineLevel="1">
      <c r="A273" s="9"/>
      <c r="B273" s="9"/>
      <c r="C273" s="9"/>
      <c r="D273" s="132" t="str">
        <f>Asset11</f>
        <v>Low Voltage Services</v>
      </c>
      <c r="E273" s="9"/>
      <c r="F273" s="9"/>
      <c r="G273" s="9"/>
      <c r="H273" s="113"/>
      <c r="I273" s="113"/>
      <c r="J273" s="113"/>
      <c r="K273" s="113"/>
      <c r="L273" s="113">
        <f>IF(M$198=0, 'Adjustment for previous period'!L129, 0)</f>
        <v>1.863030361292453</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row>
    <row r="274" spans="1:64" hidden="1" outlineLevel="1">
      <c r="A274" s="9"/>
      <c r="B274" s="9"/>
      <c r="C274" s="9"/>
      <c r="D274" s="132" t="str">
        <f>Asset12</f>
        <v>Metering</v>
      </c>
      <c r="E274" s="9"/>
      <c r="F274" s="9"/>
      <c r="G274" s="9"/>
      <c r="H274" s="113"/>
      <c r="I274" s="113"/>
      <c r="J274" s="113"/>
      <c r="K274" s="113"/>
      <c r="L274" s="113">
        <f>IF(M$198=0, 'Adjustment for previous period'!L131, 0)</f>
        <v>13.654231990695859</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row>
    <row r="275" spans="1:64" hidden="1" outlineLevel="1">
      <c r="A275" s="9"/>
      <c r="B275" s="9"/>
      <c r="C275" s="9"/>
      <c r="D275" s="132" t="str">
        <f>Asset13</f>
        <v xml:space="preserve">Communications – Pilot Wires </v>
      </c>
      <c r="E275" s="9"/>
      <c r="F275" s="9"/>
      <c r="G275" s="9"/>
      <c r="H275" s="113"/>
      <c r="I275" s="113"/>
      <c r="J275" s="113"/>
      <c r="K275" s="113"/>
      <c r="L275" s="113">
        <f>IF(M$198=0, 'Adjustment for previous period'!L133, 0)</f>
        <v>-17.291914896683895</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row>
    <row r="276" spans="1:64" hidden="1" outlineLevel="1">
      <c r="A276" s="9"/>
      <c r="B276" s="9"/>
      <c r="C276" s="9"/>
      <c r="D276" s="132" t="str">
        <f>Asset14</f>
        <v>Generation Assets</v>
      </c>
      <c r="E276" s="9"/>
      <c r="F276" s="9"/>
      <c r="G276" s="9"/>
      <c r="H276" s="113"/>
      <c r="I276" s="113"/>
      <c r="J276" s="113"/>
      <c r="K276" s="113"/>
      <c r="L276" s="113">
        <f>IF(M$198=0, 'Adjustment for previous period'!L135, 0)</f>
        <v>-3.9820956237470381E-2</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row>
    <row r="277" spans="1:64" hidden="1" outlineLevel="1">
      <c r="A277" s="9"/>
      <c r="B277" s="9"/>
      <c r="C277" s="9"/>
      <c r="D277" s="132" t="str">
        <f>Asset15</f>
        <v>Street Lighting</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row>
    <row r="278" spans="1:64" hidden="1" outlineLevel="1">
      <c r="A278" s="9"/>
      <c r="B278" s="9"/>
      <c r="C278" s="9"/>
      <c r="D278" s="132" t="str">
        <f>Asset16</f>
        <v>Other Equipment</v>
      </c>
      <c r="E278" s="9"/>
      <c r="F278" s="9"/>
      <c r="G278" s="9"/>
      <c r="H278" s="113"/>
      <c r="I278" s="113"/>
      <c r="J278" s="113"/>
      <c r="K278" s="113"/>
      <c r="L278" s="113">
        <f>IF(M$198=0, 'Adjustment for previous period'!L139, 0)</f>
        <v>2.15882683562032</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row>
    <row r="279" spans="1:64" hidden="1" outlineLevel="1">
      <c r="A279" s="9"/>
      <c r="B279" s="9"/>
      <c r="C279" s="9"/>
      <c r="D279" s="132" t="str">
        <f>Asset17</f>
        <v>Control Centre - SCADA</v>
      </c>
      <c r="E279" s="9"/>
      <c r="F279" s="9"/>
      <c r="G279" s="9"/>
      <c r="H279" s="113"/>
      <c r="I279" s="113"/>
      <c r="J279" s="113"/>
      <c r="K279" s="113"/>
      <c r="L279" s="113">
        <f>IF(M$198=0, 'Adjustment for previous period'!L141, 0)</f>
        <v>1.4825181970583978</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row>
    <row r="280" spans="1:64" hidden="1" outlineLevel="1">
      <c r="A280" s="9"/>
      <c r="B280" s="9"/>
      <c r="C280" s="9"/>
      <c r="D280" s="132" t="str">
        <f>Asset18</f>
        <v>Land &amp; Easements (System)</v>
      </c>
      <c r="E280" s="9"/>
      <c r="F280" s="9"/>
      <c r="G280" s="9"/>
      <c r="H280" s="113"/>
      <c r="I280" s="113"/>
      <c r="J280" s="113"/>
      <c r="K280" s="113"/>
      <c r="L280" s="113">
        <f>IF(M$198=0, 'Adjustment for previous period'!L143, 0)</f>
        <v>-8.4022772118695173</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row>
    <row r="281" spans="1:64" hidden="1"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row>
    <row r="282" spans="1:64" hidden="1" outlineLevel="1">
      <c r="A282" s="9"/>
      <c r="B282" s="9"/>
      <c r="C282" s="9"/>
      <c r="D282" s="132" t="str">
        <f>Asset20</f>
        <v>Communications</v>
      </c>
      <c r="E282" s="9"/>
      <c r="F282" s="9"/>
      <c r="G282" s="9"/>
      <c r="H282" s="113"/>
      <c r="I282" s="113"/>
      <c r="J282" s="113"/>
      <c r="K282" s="113"/>
      <c r="L282" s="113">
        <f>IF(M$198=0, 'Adjustment for previous period'!L147, 0)</f>
        <v>0.27977966218814632</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row>
    <row r="283" spans="1:64" hidden="1" outlineLevel="1">
      <c r="A283" s="9"/>
      <c r="B283" s="9"/>
      <c r="C283" s="9"/>
      <c r="D283" s="132" t="str">
        <f>Asset21</f>
        <v>IT Systems</v>
      </c>
      <c r="E283" s="9"/>
      <c r="F283" s="9"/>
      <c r="G283" s="9"/>
      <c r="H283" s="113"/>
      <c r="I283" s="113"/>
      <c r="J283" s="113"/>
      <c r="K283" s="113"/>
      <c r="L283" s="113">
        <f>IF(M$198=0, 'Adjustment for previous period'!L149, 0)</f>
        <v>21.728896350508087</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row>
    <row r="284" spans="1:64" hidden="1" outlineLevel="1">
      <c r="A284" s="9"/>
      <c r="B284" s="9"/>
      <c r="C284" s="9"/>
      <c r="D284" s="132" t="str">
        <f>Asset22</f>
        <v>Office Equipment &amp; Furniture</v>
      </c>
      <c r="E284" s="9"/>
      <c r="F284" s="9"/>
      <c r="G284" s="9"/>
      <c r="H284" s="113"/>
      <c r="I284" s="113"/>
      <c r="J284" s="113"/>
      <c r="K284" s="113"/>
      <c r="L284" s="113">
        <f>IF(M$198=0, 'Adjustment for previous period'!L151, 0)</f>
        <v>0.73653375214918881</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row>
    <row r="285" spans="1:64" hidden="1" outlineLevel="1">
      <c r="A285" s="9"/>
      <c r="B285" s="9"/>
      <c r="C285" s="9"/>
      <c r="D285" s="132" t="str">
        <f>Asset23</f>
        <v>Motor Vehicles</v>
      </c>
      <c r="E285" s="9"/>
      <c r="F285" s="9"/>
      <c r="G285" s="9"/>
      <c r="H285" s="113"/>
      <c r="I285" s="113"/>
      <c r="J285" s="113"/>
      <c r="K285" s="113"/>
      <c r="L285" s="113">
        <f>IF(M$198=0, 'Adjustment for previous period'!L153, 0)</f>
        <v>-5.5963676027235643</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row>
    <row r="286" spans="1:64" hidden="1" outlineLevel="1">
      <c r="A286" s="9"/>
      <c r="B286" s="9"/>
      <c r="C286" s="9"/>
      <c r="D286" s="132" t="str">
        <f>Asset24</f>
        <v>Plant &amp; Equipment</v>
      </c>
      <c r="E286" s="9"/>
      <c r="F286" s="9"/>
      <c r="G286" s="9"/>
      <c r="H286" s="113"/>
      <c r="I286" s="113"/>
      <c r="J286" s="113"/>
      <c r="K286" s="113"/>
      <c r="L286" s="113">
        <f>IF(M$198=0, 'Adjustment for previous period'!L155, 0)</f>
        <v>4.4276524214632094</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row>
    <row r="287" spans="1:64" hidden="1" outlineLevel="1">
      <c r="A287" s="9"/>
      <c r="B287" s="9"/>
      <c r="C287" s="9"/>
      <c r="D287" s="132" t="str">
        <f>Asset25</f>
        <v>Buildings</v>
      </c>
      <c r="E287" s="9"/>
      <c r="F287" s="9"/>
      <c r="G287" s="9"/>
      <c r="H287" s="113"/>
      <c r="I287" s="113"/>
      <c r="J287" s="113"/>
      <c r="K287" s="113"/>
      <c r="L287" s="113">
        <f>IF(M$198=0, 'Adjustment for previous period'!L157, 0)</f>
        <v>-31.979514406018694</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row>
    <row r="288" spans="1:64" hidden="1" outlineLevel="1">
      <c r="A288" s="9"/>
      <c r="B288" s="9"/>
      <c r="C288" s="9"/>
      <c r="D288" s="132" t="str">
        <f>Asset26</f>
        <v>Land &amp; Easements</v>
      </c>
      <c r="E288" s="9"/>
      <c r="F288" s="9"/>
      <c r="G288" s="9"/>
      <c r="H288" s="113"/>
      <c r="I288" s="113"/>
      <c r="J288" s="113"/>
      <c r="K288" s="113"/>
      <c r="L288" s="113">
        <f>IF(M$198=0, 'Adjustment for previous period'!L159, 0)</f>
        <v>-0.42480499513198133</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row>
    <row r="289" spans="1:64" hidden="1" outlineLevel="1">
      <c r="A289" s="9"/>
      <c r="B289" s="9"/>
      <c r="C289" s="9"/>
      <c r="D289" s="132" t="str">
        <f>Asset27</f>
        <v>Land Improvements</v>
      </c>
      <c r="E289" s="9"/>
      <c r="F289" s="9"/>
      <c r="G289" s="9"/>
      <c r="H289" s="113"/>
      <c r="I289" s="113"/>
      <c r="J289" s="113"/>
      <c r="K289" s="113"/>
      <c r="L289" s="113">
        <f>IF(M$198=0, 'Adjustment for previous period'!L161, 0)</f>
        <v>3.2067294145122363</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row>
    <row r="290" spans="1:64" hidden="1" outlineLevel="1">
      <c r="A290" s="9"/>
      <c r="B290" s="9"/>
      <c r="C290" s="9"/>
      <c r="D290" s="132" t="str">
        <f>Asset28</f>
        <v>Equity Raising Costs</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row>
    <row r="291" spans="1:64" hidden="1" outlineLevel="1">
      <c r="A291" s="9"/>
      <c r="B291" s="9"/>
      <c r="C291" s="9"/>
      <c r="D291" s="132" t="str">
        <f>Asset29</f>
        <v>Not Used</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row>
    <row r="292" spans="1:64" hidden="1" outlineLevel="1">
      <c r="A292" s="9"/>
      <c r="B292" s="9"/>
      <c r="C292" s="9"/>
      <c r="D292" s="132" t="str">
        <f>Asset30</f>
        <v>Not Used</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row>
    <row r="295" spans="1:64" hidden="1" outlineLevel="1">
      <c r="A295" s="9"/>
      <c r="B295" s="9"/>
      <c r="C295" s="9"/>
      <c r="D295" s="132" t="str">
        <f>Asset1</f>
        <v>Overhead 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row>
    <row r="296" spans="1:64" hidden="1" outlineLevel="1">
      <c r="A296" s="9"/>
      <c r="B296" s="9"/>
      <c r="C296" s="9"/>
      <c r="D296" s="132" t="str">
        <f>Asset2</f>
        <v>Underground Sub-Transmission Cables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row>
    <row r="297" spans="1:64" hidden="1" outlineLevel="1">
      <c r="A297" s="9"/>
      <c r="B297" s="9"/>
      <c r="C297" s="9"/>
      <c r="D297" s="132" t="str">
        <f>Asset3</f>
        <v>Overhead Distribution Lines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row>
    <row r="298" spans="1:64" hidden="1" outlineLevel="1">
      <c r="A298" s="9"/>
      <c r="B298" s="9"/>
      <c r="C298" s="9"/>
      <c r="D298" s="132" t="str">
        <f>Asset4</f>
        <v>Underground Distribution Cables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row>
    <row r="299" spans="1:64" hidden="1" outlineLevel="1">
      <c r="A299" s="9"/>
      <c r="B299" s="9"/>
      <c r="C299" s="9"/>
      <c r="D299" s="132" t="str">
        <f>Asset5</f>
        <v xml:space="preserve">Distribution Equipment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row>
    <row r="300" spans="1:64" hidden="1" outlineLevel="1">
      <c r="A300" s="9"/>
      <c r="B300" s="9"/>
      <c r="C300" s="9"/>
      <c r="D300" s="132" t="str">
        <f>Asset6</f>
        <v>Substation Bays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row>
    <row r="301" spans="1:64" hidden="1" outlineLevel="1">
      <c r="A301" s="9"/>
      <c r="B301" s="9"/>
      <c r="C301" s="9"/>
      <c r="D301" s="132" t="str">
        <f>Asset7</f>
        <v>Substation Establishment</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row>
    <row r="302" spans="1:64" hidden="1" outlineLevel="1">
      <c r="A302" s="9"/>
      <c r="B302" s="9"/>
      <c r="C302" s="9"/>
      <c r="D302" s="132" t="str">
        <f>Asset8</f>
        <v>Distribution Substation Switchgear</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row>
    <row r="303" spans="1:64" hidden="1" outlineLevel="1">
      <c r="A303" s="9"/>
      <c r="B303" s="9"/>
      <c r="C303" s="9"/>
      <c r="D303" s="132" t="str">
        <f>Asset9</f>
        <v>Zone Transformers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row>
    <row r="304" spans="1:64" hidden="1" outlineLevel="1">
      <c r="A304" s="9"/>
      <c r="B304" s="9"/>
      <c r="C304" s="9"/>
      <c r="D304" s="132" t="str">
        <f>Asset10</f>
        <v>Distribution Transformers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row>
    <row r="305" spans="1:64" hidden="1" outlineLevel="1">
      <c r="A305" s="9"/>
      <c r="B305" s="9"/>
      <c r="C305" s="9"/>
      <c r="D305" s="132" t="str">
        <f>Asset11</f>
        <v>Low Voltage Services</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row>
    <row r="306" spans="1:64" hidden="1" outlineLevel="1">
      <c r="A306" s="9"/>
      <c r="B306" s="9"/>
      <c r="C306" s="9"/>
      <c r="D306" s="132" t="str">
        <f>Asset12</f>
        <v>Metering</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row>
    <row r="307" spans="1:64" hidden="1" outlineLevel="1">
      <c r="A307" s="9"/>
      <c r="B307" s="9"/>
      <c r="C307" s="9"/>
      <c r="D307" s="132" t="str">
        <f>Asset13</f>
        <v xml:space="preserve">Communications – Pilot Wires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row>
    <row r="308" spans="1:64" hidden="1" outlineLevel="1">
      <c r="A308" s="9"/>
      <c r="B308" s="9"/>
      <c r="C308" s="9"/>
      <c r="D308" s="132" t="str">
        <f>Asset14</f>
        <v>Generation Assets</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row>
    <row r="309" spans="1:64" hidden="1" outlineLevel="1">
      <c r="A309" s="9"/>
      <c r="B309" s="9"/>
      <c r="C309" s="9"/>
      <c r="D309" s="132" t="str">
        <f>Asset15</f>
        <v>Street Lighting</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row>
    <row r="310" spans="1:64" hidden="1" outlineLevel="1">
      <c r="A310" s="9"/>
      <c r="B310" s="9"/>
      <c r="C310" s="9"/>
      <c r="D310" s="132" t="str">
        <f>Asset16</f>
        <v>Other Equipment</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row>
    <row r="311" spans="1:64" hidden="1" outlineLevel="1">
      <c r="A311" s="9"/>
      <c r="B311" s="9"/>
      <c r="C311" s="9"/>
      <c r="D311" s="132" t="str">
        <f>Asset17</f>
        <v>Control Centre - SCADA</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row>
    <row r="312" spans="1:64" hidden="1" outlineLevel="1">
      <c r="A312" s="9"/>
      <c r="B312" s="9"/>
      <c r="C312" s="9"/>
      <c r="D312" s="132" t="str">
        <f>Asset18</f>
        <v>Land &amp; Easements (System)</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row>
    <row r="313" spans="1:64" hidden="1"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row>
    <row r="314" spans="1:64" hidden="1" outlineLevel="1">
      <c r="A314" s="9"/>
      <c r="B314" s="9"/>
      <c r="C314" s="9"/>
      <c r="D314" s="132" t="str">
        <f>Asset20</f>
        <v>Communications</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0">
        <f>IF(Q$198&gt;0, IF(R$198=0, 'Adjustment for previous period'!$G256, 0), 0)</f>
        <v>0</v>
      </c>
      <c r="R314" s="9"/>
      <c r="S314" s="9"/>
      <c r="T314" s="9"/>
      <c r="U314" s="9"/>
      <c r="V314" s="9"/>
      <c r="W314" s="9"/>
      <c r="X314" s="9"/>
      <c r="Y314" s="9"/>
      <c r="Z314" s="9"/>
      <c r="AA314" s="9"/>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row>
    <row r="315" spans="1:64" hidden="1" outlineLevel="1">
      <c r="A315" s="9"/>
      <c r="B315" s="9"/>
      <c r="C315" s="9"/>
      <c r="D315" s="132" t="str">
        <f>Asset21</f>
        <v>IT Systems</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0">
        <f>IF(Q$198&gt;0, IF(R$198=0, 'Adjustment for previous period'!$G257, 0), 0)</f>
        <v>0</v>
      </c>
      <c r="R315" s="9"/>
      <c r="S315" s="9"/>
      <c r="T315" s="9"/>
      <c r="U315" s="9"/>
      <c r="V315" s="9"/>
      <c r="W315" s="9"/>
      <c r="X315" s="9"/>
      <c r="Y315" s="9"/>
      <c r="Z315" s="9"/>
      <c r="AA315" s="9"/>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row>
    <row r="316" spans="1:64" hidden="1" outlineLevel="1">
      <c r="A316" s="9"/>
      <c r="B316" s="9"/>
      <c r="C316" s="9"/>
      <c r="D316" s="132" t="str">
        <f>Asset22</f>
        <v>Office Equipment &amp; Furniture</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0">
        <f>IF(Q$198&gt;0, IF(R$198=0, 'Adjustment for previous period'!$G258, 0), 0)</f>
        <v>0</v>
      </c>
      <c r="R316" s="9"/>
      <c r="S316" s="9"/>
      <c r="T316" s="9"/>
      <c r="U316" s="9"/>
      <c r="V316" s="9"/>
      <c r="W316" s="9"/>
      <c r="X316" s="9"/>
      <c r="Y316" s="9"/>
      <c r="Z316" s="9"/>
      <c r="AA316" s="9"/>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row>
    <row r="317" spans="1:64" hidden="1" outlineLevel="1">
      <c r="A317" s="9"/>
      <c r="B317" s="9"/>
      <c r="C317" s="9"/>
      <c r="D317" s="132" t="str">
        <f>Asset23</f>
        <v>Motor Vehicles</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0">
        <f>IF(Q$198&gt;0, IF(R$198=0, 'Adjustment for previous period'!$G259, 0), 0)</f>
        <v>0</v>
      </c>
      <c r="R317" s="9"/>
      <c r="S317" s="9"/>
      <c r="T317" s="9"/>
      <c r="U317" s="9"/>
      <c r="V317" s="9"/>
      <c r="W317" s="9"/>
      <c r="X317" s="9"/>
      <c r="Y317" s="9"/>
      <c r="Z317" s="9"/>
      <c r="AA317" s="9"/>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row>
    <row r="318" spans="1:64" hidden="1" outlineLevel="1">
      <c r="A318" s="9"/>
      <c r="B318" s="9"/>
      <c r="C318" s="9"/>
      <c r="D318" s="132" t="str">
        <f>Asset24</f>
        <v>Plant &amp; Equipment</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0">
        <f>IF(Q$198&gt;0, IF(R$198=0, 'Adjustment for previous period'!$G260, 0), 0)</f>
        <v>0</v>
      </c>
      <c r="R318" s="9"/>
      <c r="S318" s="9"/>
      <c r="T318" s="9"/>
      <c r="U318" s="9"/>
      <c r="V318" s="9"/>
      <c r="W318" s="9"/>
      <c r="X318" s="9"/>
      <c r="Y318" s="9"/>
      <c r="Z318" s="9"/>
      <c r="AA318" s="9"/>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row>
    <row r="319" spans="1:64" hidden="1" outlineLevel="1">
      <c r="A319" s="9"/>
      <c r="B319" s="9"/>
      <c r="C319" s="9"/>
      <c r="D319" s="132" t="str">
        <f>Asset25</f>
        <v>Buildings</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0">
        <f>IF(Q$198&gt;0, IF(R$198=0, 'Adjustment for previous period'!$G261, 0), 0)</f>
        <v>0</v>
      </c>
      <c r="R319" s="9"/>
      <c r="S319" s="9"/>
      <c r="T319" s="9"/>
      <c r="U319" s="9"/>
      <c r="V319" s="9"/>
      <c r="W319" s="9"/>
      <c r="X319" s="9"/>
      <c r="Y319" s="9"/>
      <c r="Z319" s="9"/>
      <c r="AA319" s="9"/>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row>
    <row r="320" spans="1:64" hidden="1" outlineLevel="1">
      <c r="A320" s="9"/>
      <c r="B320" s="9"/>
      <c r="C320" s="9"/>
      <c r="D320" s="132" t="str">
        <f>Asset26</f>
        <v>Land &amp; Easements</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0">
        <f>IF(Q$198&gt;0, IF(R$198=0, 'Adjustment for previous period'!$G262, 0), 0)</f>
        <v>0</v>
      </c>
      <c r="R320" s="9"/>
      <c r="S320" s="9"/>
      <c r="T320" s="9"/>
      <c r="U320" s="9"/>
      <c r="V320" s="9"/>
      <c r="W320" s="9"/>
      <c r="X320" s="9"/>
      <c r="Y320" s="9"/>
      <c r="Z320" s="9"/>
      <c r="AA320" s="9"/>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row>
    <row r="321" spans="1:64" hidden="1" outlineLevel="1">
      <c r="A321" s="9"/>
      <c r="B321" s="9"/>
      <c r="C321" s="9"/>
      <c r="D321" s="132" t="str">
        <f>Asset27</f>
        <v>Land Improvements</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0">
        <f>IF(Q$198&gt;0, IF(R$198=0, 'Adjustment for previous period'!$G263, 0), 0)</f>
        <v>0</v>
      </c>
      <c r="R321" s="9"/>
      <c r="S321" s="9"/>
      <c r="T321" s="9"/>
      <c r="U321" s="9"/>
      <c r="V321" s="9"/>
      <c r="W321" s="9"/>
      <c r="X321" s="9"/>
      <c r="Y321" s="9"/>
      <c r="Z321" s="9"/>
      <c r="AA321" s="9"/>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row>
    <row r="322" spans="1:64" hidden="1" outlineLevel="1">
      <c r="A322" s="9"/>
      <c r="B322" s="9"/>
      <c r="C322" s="9"/>
      <c r="D322" s="132" t="str">
        <f>Asset28</f>
        <v>Equity Raising Costs</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0">
        <f>IF(Q$198&gt;0, IF(R$198=0, 'Adjustment for previous period'!$G264, 0), 0)</f>
        <v>0</v>
      </c>
      <c r="R322" s="9"/>
      <c r="S322" s="9"/>
      <c r="T322" s="9"/>
      <c r="U322" s="9"/>
      <c r="V322" s="9"/>
      <c r="W322" s="9"/>
      <c r="X322" s="9"/>
      <c r="Y322" s="9"/>
      <c r="Z322" s="9"/>
      <c r="AA322" s="9"/>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row>
    <row r="323" spans="1:64" hidden="1" outlineLevel="1">
      <c r="A323" s="9"/>
      <c r="B323" s="9"/>
      <c r="C323" s="9"/>
      <c r="D323" s="132" t="str">
        <f>Asset29</f>
        <v>Not Used</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0">
        <f>IF(Q$198&gt;0, IF(R$198=0, 'Adjustment for previous period'!$G265, 0), 0)</f>
        <v>0</v>
      </c>
      <c r="R323" s="9"/>
      <c r="S323" s="9"/>
      <c r="T323" s="9"/>
      <c r="U323" s="9"/>
      <c r="V323" s="9"/>
      <c r="W323" s="9"/>
      <c r="X323" s="9"/>
      <c r="Y323" s="9"/>
      <c r="Z323" s="9"/>
      <c r="AA323" s="9"/>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row>
    <row r="324" spans="1:64" hidden="1" outlineLevel="1">
      <c r="A324" s="9"/>
      <c r="B324" s="9"/>
      <c r="C324" s="9"/>
      <c r="D324" s="132" t="str">
        <f>Asset30</f>
        <v>Not Used</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0">
        <f>IF(Q$198&gt;0, IF(R$198=0, 'Adjustment for previous period'!$G266, 0), 0)</f>
        <v>0</v>
      </c>
      <c r="R324" s="9"/>
      <c r="S324" s="9"/>
      <c r="T324" s="9"/>
      <c r="U324" s="9"/>
      <c r="V324" s="9"/>
      <c r="W324" s="9"/>
      <c r="X324" s="9"/>
      <c r="Y324" s="9"/>
      <c r="Z324" s="9"/>
      <c r="AA324" s="9"/>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row>
    <row r="327" spans="1:64" hidden="1" outlineLevel="1">
      <c r="A327" s="9"/>
      <c r="B327" s="9"/>
      <c r="C327" s="9"/>
      <c r="D327" s="132" t="str">
        <f>Asset1</f>
        <v>Overhead 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row>
    <row r="328" spans="1:64" hidden="1" outlineLevel="1">
      <c r="A328" s="9"/>
      <c r="B328" s="9"/>
      <c r="C328" s="9"/>
      <c r="D328" s="132" t="str">
        <f>Asset2</f>
        <v>Underground Sub-Transmission Cables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row>
    <row r="329" spans="1:64" hidden="1" outlineLevel="1">
      <c r="A329" s="9"/>
      <c r="B329" s="9"/>
      <c r="C329" s="9"/>
      <c r="D329" s="132" t="str">
        <f>Asset3</f>
        <v>Overhead Distribution Lines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row>
    <row r="330" spans="1:64" hidden="1" outlineLevel="1">
      <c r="A330" s="9"/>
      <c r="B330" s="9"/>
      <c r="C330" s="9"/>
      <c r="D330" s="132" t="str">
        <f>Asset4</f>
        <v>Underground Distribution Cables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row>
    <row r="331" spans="1:64" hidden="1" outlineLevel="1">
      <c r="A331" s="9"/>
      <c r="B331" s="9"/>
      <c r="C331" s="9"/>
      <c r="D331" s="132" t="str">
        <f>Asset5</f>
        <v xml:space="preserve">Distribution Equipment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row>
    <row r="332" spans="1:64" hidden="1" outlineLevel="1">
      <c r="A332" s="9"/>
      <c r="B332" s="9"/>
      <c r="C332" s="9"/>
      <c r="D332" s="132" t="str">
        <f>Asset6</f>
        <v>Substation Bays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row>
    <row r="333" spans="1:64" hidden="1" outlineLevel="1">
      <c r="A333" s="9"/>
      <c r="B333" s="9"/>
      <c r="C333" s="9"/>
      <c r="D333" s="132" t="str">
        <f>Asset7</f>
        <v>Substation Establishment</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row>
    <row r="334" spans="1:64" hidden="1" outlineLevel="1">
      <c r="A334" s="9"/>
      <c r="B334" s="9"/>
      <c r="C334" s="9"/>
      <c r="D334" s="132" t="str">
        <f>Asset8</f>
        <v>Distribution Substation Switchgear</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row>
    <row r="335" spans="1:64" hidden="1" outlineLevel="1">
      <c r="A335" s="9"/>
      <c r="B335" s="9"/>
      <c r="C335" s="9"/>
      <c r="D335" s="132" t="str">
        <f>Asset9</f>
        <v>Zone Transformers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row>
    <row r="336" spans="1:64" hidden="1" outlineLevel="1">
      <c r="A336" s="9"/>
      <c r="B336" s="9"/>
      <c r="C336" s="9"/>
      <c r="D336" s="132" t="str">
        <f>Asset10</f>
        <v>Distribution Transformers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row>
    <row r="337" spans="1:64" hidden="1" outlineLevel="1">
      <c r="A337" s="9"/>
      <c r="B337" s="9"/>
      <c r="C337" s="9"/>
      <c r="D337" s="132" t="str">
        <f>Asset11</f>
        <v>Low Voltage Services</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row>
    <row r="338" spans="1:64" hidden="1" outlineLevel="1">
      <c r="A338" s="9"/>
      <c r="B338" s="9"/>
      <c r="C338" s="9"/>
      <c r="D338" s="132" t="str">
        <f>Asset12</f>
        <v>Metering</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row>
    <row r="339" spans="1:64" hidden="1" outlineLevel="1">
      <c r="A339" s="9"/>
      <c r="B339" s="9"/>
      <c r="C339" s="9"/>
      <c r="D339" s="132" t="str">
        <f>Asset13</f>
        <v xml:space="preserve">Communications – Pilot Wires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row>
    <row r="340" spans="1:64" hidden="1" outlineLevel="1">
      <c r="A340" s="9"/>
      <c r="B340" s="9"/>
      <c r="C340" s="9"/>
      <c r="D340" s="132" t="str">
        <f>Asset14</f>
        <v>Generation Assets</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row>
    <row r="341" spans="1:64" hidden="1" outlineLevel="1">
      <c r="A341" s="9"/>
      <c r="B341" s="9"/>
      <c r="C341" s="9"/>
      <c r="D341" s="132" t="str">
        <f>Asset15</f>
        <v>Street Lighting</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row>
    <row r="342" spans="1:64" hidden="1" outlineLevel="1">
      <c r="A342" s="9"/>
      <c r="B342" s="9"/>
      <c r="C342" s="9"/>
      <c r="D342" s="132" t="str">
        <f>Asset16</f>
        <v>Other Equipment</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row>
    <row r="343" spans="1:64" hidden="1" outlineLevel="1">
      <c r="A343" s="9"/>
      <c r="B343" s="9"/>
      <c r="C343" s="9"/>
      <c r="D343" s="132" t="str">
        <f>Asset17</f>
        <v>Control Centre - SCADA</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row>
    <row r="344" spans="1:64" hidden="1" outlineLevel="1">
      <c r="A344" s="9"/>
      <c r="B344" s="9"/>
      <c r="C344" s="9"/>
      <c r="D344" s="132" t="str">
        <f>Asset18</f>
        <v>Land &amp; Easements (System)</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row>
    <row r="345" spans="1:64" hidden="1"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row>
    <row r="346" spans="1:64" hidden="1" outlineLevel="1">
      <c r="A346" s="9"/>
      <c r="B346" s="9"/>
      <c r="C346" s="9"/>
      <c r="D346" s="132" t="str">
        <f>Asset20</f>
        <v>Communications</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row>
    <row r="347" spans="1:64" hidden="1" outlineLevel="1">
      <c r="A347" s="9"/>
      <c r="B347" s="9"/>
      <c r="C347" s="9"/>
      <c r="D347" s="132" t="str">
        <f>Asset21</f>
        <v>IT Systems</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row>
    <row r="348" spans="1:64" hidden="1" outlineLevel="1">
      <c r="A348" s="9"/>
      <c r="B348" s="9"/>
      <c r="C348" s="9"/>
      <c r="D348" s="132" t="str">
        <f>Asset22</f>
        <v>Office Equipment &amp; Furniture</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row>
    <row r="349" spans="1:64" hidden="1" outlineLevel="1">
      <c r="A349" s="9"/>
      <c r="B349" s="9"/>
      <c r="C349" s="9"/>
      <c r="D349" s="132" t="str">
        <f>Asset23</f>
        <v>Motor Vehicles</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row>
    <row r="350" spans="1:64" hidden="1" outlineLevel="1">
      <c r="A350" s="9"/>
      <c r="B350" s="9"/>
      <c r="C350" s="9"/>
      <c r="D350" s="132" t="str">
        <f>Asset24</f>
        <v>Plant &amp; Equipment</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row>
    <row r="351" spans="1:64" hidden="1" outlineLevel="1">
      <c r="A351" s="9"/>
      <c r="B351" s="9"/>
      <c r="C351" s="9"/>
      <c r="D351" s="132" t="str">
        <f>Asset25</f>
        <v>Buildings</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row>
    <row r="352" spans="1:64" hidden="1" outlineLevel="1">
      <c r="A352" s="9"/>
      <c r="B352" s="9"/>
      <c r="C352" s="9"/>
      <c r="D352" s="132" t="str">
        <f>Asset26</f>
        <v>Land &amp; Easements</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row>
    <row r="353" spans="1:64" hidden="1" outlineLevel="1">
      <c r="A353" s="9"/>
      <c r="B353" s="9"/>
      <c r="C353" s="9"/>
      <c r="D353" s="132" t="str">
        <f>Asset27</f>
        <v>Land Improvements</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row>
    <row r="354" spans="1:64" hidden="1" outlineLevel="1">
      <c r="A354" s="9"/>
      <c r="B354" s="9"/>
      <c r="C354" s="9"/>
      <c r="D354" s="132" t="str">
        <f>Asset28</f>
        <v>Equity Raising Costs</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row>
    <row r="355" spans="1:64" hidden="1" outlineLevel="1">
      <c r="A355" s="9"/>
      <c r="B355" s="9"/>
      <c r="C355" s="9"/>
      <c r="D355" s="132" t="str">
        <f>Asset29</f>
        <v>Not Used</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row>
    <row r="356" spans="1:64" hidden="1" outlineLevel="1">
      <c r="A356" s="9"/>
      <c r="B356" s="9"/>
      <c r="C356" s="9"/>
      <c r="D356" s="132" t="str">
        <f>Asset30</f>
        <v>Not Used</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row>
    <row r="357" spans="1:64" collapsed="1">
      <c r="A357" s="9"/>
      <c r="B357" s="9"/>
      <c r="C357" s="9"/>
      <c r="D357" s="9"/>
      <c r="E357" s="9"/>
      <c r="F357" s="9"/>
      <c r="G357" s="9"/>
      <c r="H357" s="9"/>
      <c r="I357" s="9"/>
      <c r="J357" s="9"/>
      <c r="K357" s="9"/>
      <c r="L357" s="9"/>
      <c r="M357" s="9"/>
      <c r="N357" s="12"/>
      <c r="O357" s="9"/>
      <c r="P357" s="9"/>
      <c r="Q357" s="9"/>
      <c r="R357" s="324" t="s">
        <v>28</v>
      </c>
      <c r="S357" s="9"/>
      <c r="T357" s="9"/>
      <c r="U357" s="9"/>
      <c r="V357" s="9"/>
      <c r="W357" s="9"/>
      <c r="X357" s="9"/>
      <c r="Y357" s="9"/>
      <c r="Z357" s="9"/>
      <c r="AA357" s="9"/>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row>
    <row r="358" spans="1:64">
      <c r="A358" s="75"/>
      <c r="B358" s="75"/>
      <c r="C358" s="82" t="s">
        <v>48</v>
      </c>
      <c r="D358" s="75"/>
      <c r="E358" s="75"/>
      <c r="F358" s="75"/>
      <c r="G358" s="75"/>
      <c r="H358" s="75"/>
      <c r="I358" s="75"/>
      <c r="J358" s="75"/>
      <c r="K358" s="75"/>
      <c r="L358" s="160">
        <f t="shared" ref="L358:R358" si="19">SUM(L359:L388)</f>
        <v>6103.1818202961458</v>
      </c>
      <c r="M358" s="160">
        <f t="shared" si="19"/>
        <v>0</v>
      </c>
      <c r="N358" s="160">
        <f t="shared" si="19"/>
        <v>0</v>
      </c>
      <c r="O358" s="160">
        <f t="shared" si="19"/>
        <v>0</v>
      </c>
      <c r="P358" s="160">
        <f t="shared" si="19"/>
        <v>0</v>
      </c>
      <c r="Q358" s="160">
        <f t="shared" si="19"/>
        <v>0</v>
      </c>
      <c r="R358" s="325">
        <f t="shared" si="19"/>
        <v>6053.5591873463036</v>
      </c>
      <c r="S358" s="9"/>
      <c r="T358" s="9"/>
      <c r="U358" s="9"/>
      <c r="V358" s="9"/>
      <c r="W358" s="9"/>
      <c r="X358" s="9"/>
      <c r="Y358" s="9"/>
      <c r="Z358" s="9"/>
      <c r="AA358" s="9"/>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row>
    <row r="359" spans="1:64" outlineLevel="1">
      <c r="B359" s="9"/>
      <c r="C359" s="9"/>
      <c r="D359" s="132" t="str">
        <f>Asset1</f>
        <v>Overhead Sub-Transmission Lines</v>
      </c>
      <c r="E359" s="9"/>
      <c r="F359" s="9"/>
      <c r="G359" s="9"/>
      <c r="H359" s="9"/>
      <c r="I359" s="9"/>
      <c r="J359" s="9"/>
      <c r="K359" s="9"/>
      <c r="L359" s="37">
        <f t="shared" ref="L359:Q359" si="20">IF(M$198=0, L199+L231+L263+L295+L327, 0)</f>
        <v>1004.6375556843607</v>
      </c>
      <c r="M359" s="37">
        <f t="shared" si="20"/>
        <v>0</v>
      </c>
      <c r="N359" s="37">
        <f t="shared" si="20"/>
        <v>0</v>
      </c>
      <c r="O359" s="37">
        <f t="shared" si="20"/>
        <v>0</v>
      </c>
      <c r="P359" s="37">
        <f t="shared" si="20"/>
        <v>0</v>
      </c>
      <c r="Q359" s="37">
        <f t="shared" si="20"/>
        <v>0</v>
      </c>
      <c r="R359" s="323">
        <f>L359</f>
        <v>1004.6375556843607</v>
      </c>
      <c r="S359" s="9"/>
      <c r="T359" s="9"/>
      <c r="U359" s="9"/>
      <c r="V359" s="9"/>
      <c r="W359" s="9"/>
      <c r="X359" s="9"/>
      <c r="Y359" s="9"/>
      <c r="Z359" s="9"/>
      <c r="AA359" s="9"/>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row>
    <row r="360" spans="1:64" outlineLevel="1">
      <c r="B360" s="9"/>
      <c r="C360" s="9"/>
      <c r="D360" s="132" t="str">
        <f>Asset2</f>
        <v>Underground Sub-Transmission Cables</v>
      </c>
      <c r="E360" s="9"/>
      <c r="F360" s="9"/>
      <c r="G360" s="9"/>
      <c r="H360" s="9"/>
      <c r="I360" s="9"/>
      <c r="J360" s="9"/>
      <c r="K360" s="9"/>
      <c r="L360" s="37">
        <f t="shared" ref="L360:Q369" si="21">IF(M$198=0, L200+L232+L264+L296+L328, 0)</f>
        <v>22.717825450596067</v>
      </c>
      <c r="M360" s="37">
        <f t="shared" si="21"/>
        <v>0</v>
      </c>
      <c r="N360" s="37">
        <f t="shared" si="21"/>
        <v>0</v>
      </c>
      <c r="O360" s="37">
        <f t="shared" si="21"/>
        <v>0</v>
      </c>
      <c r="P360" s="37">
        <f t="shared" si="21"/>
        <v>0</v>
      </c>
      <c r="Q360" s="37">
        <f t="shared" si="21"/>
        <v>0</v>
      </c>
      <c r="R360" s="323">
        <f t="shared" ref="R360:R386" si="22">L360</f>
        <v>22.717825450596067</v>
      </c>
      <c r="S360" s="9"/>
      <c r="T360" s="9"/>
      <c r="U360" s="9"/>
      <c r="V360" s="9"/>
      <c r="W360" s="9"/>
      <c r="X360" s="9"/>
      <c r="Y360" s="9"/>
      <c r="Z360" s="9"/>
      <c r="AA360" s="9"/>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row>
    <row r="361" spans="1:64" outlineLevel="1">
      <c r="B361" s="9"/>
      <c r="C361" s="9"/>
      <c r="D361" s="132" t="str">
        <f>Asset3</f>
        <v>Overhead Distribution Lines</v>
      </c>
      <c r="E361" s="9"/>
      <c r="F361" s="9"/>
      <c r="G361" s="9"/>
      <c r="H361" s="9"/>
      <c r="I361" s="9"/>
      <c r="J361" s="9"/>
      <c r="K361" s="9"/>
      <c r="L361" s="37">
        <f t="shared" si="21"/>
        <v>2020.0538341528372</v>
      </c>
      <c r="M361" s="37">
        <f t="shared" si="21"/>
        <v>0</v>
      </c>
      <c r="N361" s="37">
        <f t="shared" si="21"/>
        <v>0</v>
      </c>
      <c r="O361" s="37">
        <f t="shared" si="21"/>
        <v>0</v>
      </c>
      <c r="P361" s="37">
        <f t="shared" si="21"/>
        <v>0</v>
      </c>
      <c r="Q361" s="37">
        <f t="shared" si="21"/>
        <v>0</v>
      </c>
      <c r="R361" s="323">
        <f t="shared" si="22"/>
        <v>2020.0538341528372</v>
      </c>
      <c r="S361" s="9"/>
      <c r="T361" s="9"/>
      <c r="U361" s="9"/>
      <c r="V361" s="9"/>
      <c r="W361" s="9"/>
      <c r="X361" s="9"/>
      <c r="Y361" s="9"/>
      <c r="Z361" s="9"/>
      <c r="AA361" s="9"/>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row>
    <row r="362" spans="1:64" outlineLevel="1">
      <c r="B362" s="9"/>
      <c r="C362" s="9"/>
      <c r="D362" s="132" t="str">
        <f>Asset4</f>
        <v>Underground Distribution Cables</v>
      </c>
      <c r="E362" s="9"/>
      <c r="F362" s="9"/>
      <c r="G362" s="9"/>
      <c r="H362" s="9"/>
      <c r="I362" s="9"/>
      <c r="J362" s="9"/>
      <c r="K362" s="9"/>
      <c r="L362" s="37">
        <f t="shared" si="21"/>
        <v>572.05697023194591</v>
      </c>
      <c r="M362" s="37">
        <f t="shared" si="21"/>
        <v>0</v>
      </c>
      <c r="N362" s="37">
        <f t="shared" si="21"/>
        <v>0</v>
      </c>
      <c r="O362" s="37">
        <f t="shared" si="21"/>
        <v>0</v>
      </c>
      <c r="P362" s="37">
        <f t="shared" si="21"/>
        <v>0</v>
      </c>
      <c r="Q362" s="37">
        <f t="shared" si="21"/>
        <v>0</v>
      </c>
      <c r="R362" s="323">
        <f t="shared" si="22"/>
        <v>572.05697023194591</v>
      </c>
      <c r="S362" s="9"/>
      <c r="T362" s="9"/>
      <c r="U362" s="9"/>
      <c r="V362" s="9"/>
      <c r="W362" s="9"/>
      <c r="X362" s="9"/>
      <c r="Y362" s="9"/>
      <c r="Z362" s="9"/>
      <c r="AA362" s="9"/>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row>
    <row r="363" spans="1:64" outlineLevel="1">
      <c r="B363" s="9"/>
      <c r="C363" s="9"/>
      <c r="D363" s="132" t="str">
        <f>Asset5</f>
        <v xml:space="preserve">Distribution Equipment  </v>
      </c>
      <c r="E363" s="9"/>
      <c r="F363" s="9"/>
      <c r="G363" s="9"/>
      <c r="H363" s="9"/>
      <c r="I363" s="9"/>
      <c r="J363" s="9"/>
      <c r="K363" s="9"/>
      <c r="L363" s="37">
        <f t="shared" si="21"/>
        <v>31.560077790547247</v>
      </c>
      <c r="M363" s="37">
        <f t="shared" si="21"/>
        <v>0</v>
      </c>
      <c r="N363" s="37">
        <f t="shared" si="21"/>
        <v>0</v>
      </c>
      <c r="O363" s="37">
        <f t="shared" si="21"/>
        <v>0</v>
      </c>
      <c r="P363" s="37">
        <f t="shared" si="21"/>
        <v>0</v>
      </c>
      <c r="Q363" s="37">
        <f t="shared" si="21"/>
        <v>0</v>
      </c>
      <c r="R363" s="323">
        <f t="shared" si="22"/>
        <v>31.560077790547247</v>
      </c>
      <c r="S363" s="9"/>
      <c r="T363" s="9"/>
      <c r="U363" s="9"/>
      <c r="V363" s="9"/>
      <c r="W363" s="9"/>
      <c r="X363" s="9"/>
      <c r="Y363" s="9"/>
      <c r="Z363" s="9"/>
      <c r="AA363" s="9"/>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row>
    <row r="364" spans="1:64" outlineLevel="1">
      <c r="B364" s="9"/>
      <c r="C364" s="9"/>
      <c r="D364" s="132" t="str">
        <f>Asset6</f>
        <v>Substation Bays</v>
      </c>
      <c r="E364" s="9"/>
      <c r="F364" s="9"/>
      <c r="G364" s="9"/>
      <c r="H364" s="9"/>
      <c r="I364" s="9"/>
      <c r="J364" s="9"/>
      <c r="K364" s="9"/>
      <c r="L364" s="37">
        <f t="shared" si="21"/>
        <v>803.92838680161015</v>
      </c>
      <c r="M364" s="37">
        <f t="shared" si="21"/>
        <v>0</v>
      </c>
      <c r="N364" s="37">
        <f t="shared" si="21"/>
        <v>0</v>
      </c>
      <c r="O364" s="37">
        <f t="shared" si="21"/>
        <v>0</v>
      </c>
      <c r="P364" s="37">
        <f t="shared" si="21"/>
        <v>0</v>
      </c>
      <c r="Q364" s="37">
        <f t="shared" si="21"/>
        <v>0</v>
      </c>
      <c r="R364" s="323">
        <f t="shared" si="22"/>
        <v>803.92838680161015</v>
      </c>
      <c r="S364" s="9"/>
      <c r="T364" s="9"/>
      <c r="U364" s="9"/>
      <c r="V364" s="9"/>
      <c r="W364" s="9"/>
      <c r="X364" s="9"/>
      <c r="Y364" s="9"/>
      <c r="Z364" s="9"/>
      <c r="AA364" s="9"/>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row>
    <row r="365" spans="1:64" outlineLevel="1">
      <c r="B365" s="9"/>
      <c r="C365" s="9"/>
      <c r="D365" s="132" t="str">
        <f>Asset7</f>
        <v>Substation Establishment</v>
      </c>
      <c r="E365" s="9"/>
      <c r="F365" s="9"/>
      <c r="G365" s="9"/>
      <c r="H365" s="9"/>
      <c r="I365" s="9"/>
      <c r="J365" s="9"/>
      <c r="K365" s="9"/>
      <c r="L365" s="37">
        <f t="shared" si="21"/>
        <v>252.57948219686671</v>
      </c>
      <c r="M365" s="37">
        <f t="shared" si="21"/>
        <v>0</v>
      </c>
      <c r="N365" s="37">
        <f t="shared" si="21"/>
        <v>0</v>
      </c>
      <c r="O365" s="37">
        <f t="shared" si="21"/>
        <v>0</v>
      </c>
      <c r="P365" s="37">
        <f t="shared" si="21"/>
        <v>0</v>
      </c>
      <c r="Q365" s="37">
        <f t="shared" si="21"/>
        <v>0</v>
      </c>
      <c r="R365" s="323">
        <f t="shared" si="22"/>
        <v>252.57948219686671</v>
      </c>
      <c r="S365" s="9"/>
      <c r="T365" s="9"/>
      <c r="U365" s="9"/>
      <c r="V365" s="9"/>
      <c r="W365" s="9"/>
      <c r="X365" s="9"/>
      <c r="Y365" s="9"/>
      <c r="Z365" s="9"/>
      <c r="AA365" s="9"/>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row>
    <row r="366" spans="1:64" outlineLevel="1">
      <c r="B366" s="9"/>
      <c r="C366" s="9"/>
      <c r="D366" s="132" t="str">
        <f>Asset8</f>
        <v>Distribution Substation Switchgear</v>
      </c>
      <c r="E366" s="9"/>
      <c r="F366" s="9"/>
      <c r="G366" s="9"/>
      <c r="H366" s="9"/>
      <c r="I366" s="9"/>
      <c r="J366" s="9"/>
      <c r="K366" s="9"/>
      <c r="L366" s="37">
        <f t="shared" si="21"/>
        <v>116.62432636328757</v>
      </c>
      <c r="M366" s="37">
        <f t="shared" si="21"/>
        <v>0</v>
      </c>
      <c r="N366" s="37">
        <f t="shared" si="21"/>
        <v>0</v>
      </c>
      <c r="O366" s="37">
        <f t="shared" si="21"/>
        <v>0</v>
      </c>
      <c r="P366" s="37">
        <f t="shared" si="21"/>
        <v>0</v>
      </c>
      <c r="Q366" s="37">
        <f t="shared" si="21"/>
        <v>0</v>
      </c>
      <c r="R366" s="323">
        <f t="shared" si="22"/>
        <v>116.62432636328757</v>
      </c>
      <c r="S366" s="9"/>
      <c r="T366" s="9"/>
      <c r="U366" s="9"/>
      <c r="V366" s="9"/>
      <c r="W366" s="9"/>
      <c r="X366" s="9"/>
      <c r="Y366" s="9"/>
      <c r="Z366" s="9"/>
      <c r="AA366" s="9"/>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row>
    <row r="367" spans="1:64" outlineLevel="1">
      <c r="B367" s="9"/>
      <c r="C367" s="9"/>
      <c r="D367" s="132" t="str">
        <f>Asset9</f>
        <v>Zone Transformers</v>
      </c>
      <c r="E367" s="9"/>
      <c r="F367" s="9"/>
      <c r="G367" s="9"/>
      <c r="H367" s="9"/>
      <c r="I367" s="9"/>
      <c r="J367" s="9"/>
      <c r="K367" s="9"/>
      <c r="L367" s="37">
        <f t="shared" si="21"/>
        <v>252.21314914451801</v>
      </c>
      <c r="M367" s="37">
        <f t="shared" si="21"/>
        <v>0</v>
      </c>
      <c r="N367" s="37">
        <f t="shared" si="21"/>
        <v>0</v>
      </c>
      <c r="O367" s="37">
        <f t="shared" si="21"/>
        <v>0</v>
      </c>
      <c r="P367" s="37">
        <f t="shared" si="21"/>
        <v>0</v>
      </c>
      <c r="Q367" s="37">
        <f t="shared" si="21"/>
        <v>0</v>
      </c>
      <c r="R367" s="323">
        <f t="shared" si="22"/>
        <v>252.21314914451801</v>
      </c>
      <c r="S367" s="9"/>
      <c r="T367" s="9"/>
      <c r="U367" s="9"/>
      <c r="V367" s="9"/>
      <c r="W367" s="9"/>
      <c r="X367" s="9"/>
      <c r="Y367" s="9"/>
      <c r="Z367" s="9"/>
      <c r="AA367" s="9"/>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row>
    <row r="368" spans="1:64" outlineLevel="1">
      <c r="B368" s="9"/>
      <c r="C368" s="9"/>
      <c r="D368" s="132" t="str">
        <f>Asset10</f>
        <v>Distribution Transformers</v>
      </c>
      <c r="E368" s="9"/>
      <c r="F368" s="9"/>
      <c r="G368" s="9"/>
      <c r="H368" s="9"/>
      <c r="I368" s="9"/>
      <c r="J368" s="9"/>
      <c r="K368" s="9"/>
      <c r="L368" s="37">
        <f t="shared" si="21"/>
        <v>694.02100424548621</v>
      </c>
      <c r="M368" s="37">
        <f t="shared" si="21"/>
        <v>0</v>
      </c>
      <c r="N368" s="37">
        <f t="shared" si="21"/>
        <v>0</v>
      </c>
      <c r="O368" s="37">
        <f t="shared" si="21"/>
        <v>0</v>
      </c>
      <c r="P368" s="37">
        <f t="shared" si="21"/>
        <v>0</v>
      </c>
      <c r="Q368" s="37">
        <f t="shared" si="21"/>
        <v>0</v>
      </c>
      <c r="R368" s="323">
        <f t="shared" si="22"/>
        <v>694.02100424548621</v>
      </c>
      <c r="S368" s="9"/>
      <c r="T368" s="9"/>
      <c r="U368" s="9"/>
      <c r="V368" s="9"/>
      <c r="W368" s="9"/>
      <c r="X368" s="9"/>
      <c r="Y368" s="9"/>
      <c r="Z368" s="9"/>
      <c r="AA368" s="9"/>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row>
    <row r="369" spans="2:64" outlineLevel="1">
      <c r="B369" s="9"/>
      <c r="C369" s="9"/>
      <c r="D369" s="132" t="str">
        <f>Asset11</f>
        <v>Low Voltage Services</v>
      </c>
      <c r="E369" s="9"/>
      <c r="F369" s="9"/>
      <c r="G369" s="9"/>
      <c r="H369" s="9"/>
      <c r="I369" s="9"/>
      <c r="J369" s="9"/>
      <c r="K369" s="9"/>
      <c r="L369" s="37">
        <f t="shared" si="21"/>
        <v>4.7656060888826852</v>
      </c>
      <c r="M369" s="37">
        <f t="shared" si="21"/>
        <v>0</v>
      </c>
      <c r="N369" s="37">
        <f t="shared" si="21"/>
        <v>0</v>
      </c>
      <c r="O369" s="37">
        <f t="shared" si="21"/>
        <v>0</v>
      </c>
      <c r="P369" s="37">
        <f t="shared" si="21"/>
        <v>0</v>
      </c>
      <c r="Q369" s="37">
        <f t="shared" si="21"/>
        <v>0</v>
      </c>
      <c r="R369" s="323">
        <f t="shared" si="22"/>
        <v>4.7656060888826852</v>
      </c>
      <c r="S369" s="324" t="s">
        <v>161</v>
      </c>
      <c r="T369" s="9"/>
      <c r="U369" s="9"/>
      <c r="V369" s="9"/>
      <c r="W369" s="9"/>
      <c r="X369" s="9"/>
      <c r="Y369" s="9"/>
      <c r="Z369" s="9"/>
      <c r="AA369" s="9"/>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row>
    <row r="370" spans="2:64" outlineLevel="1">
      <c r="B370" s="9"/>
      <c r="C370" s="9"/>
      <c r="D370" s="132" t="str">
        <f>Asset12</f>
        <v>Metering</v>
      </c>
      <c r="E370" s="9"/>
      <c r="F370" s="9"/>
      <c r="G370" s="9"/>
      <c r="H370" s="9"/>
      <c r="I370" s="9"/>
      <c r="J370" s="9"/>
      <c r="K370" s="9"/>
      <c r="L370" s="37">
        <f t="shared" ref="L370:Q379" si="23">IF(M$198=0, L210+L242+L274+L306+L338, 0)</f>
        <v>37.1333052294721</v>
      </c>
      <c r="M370" s="37">
        <f t="shared" si="23"/>
        <v>0</v>
      </c>
      <c r="N370" s="37">
        <f t="shared" si="23"/>
        <v>0</v>
      </c>
      <c r="O370" s="37">
        <f t="shared" si="23"/>
        <v>0</v>
      </c>
      <c r="P370" s="37">
        <f t="shared" si="23"/>
        <v>0</v>
      </c>
      <c r="Q370" s="37">
        <f t="shared" si="23"/>
        <v>0</v>
      </c>
      <c r="R370" s="323">
        <v>0</v>
      </c>
      <c r="S370" s="327">
        <f>'[1]FD adjustments'!$D$6</f>
        <v>60.725280000000005</v>
      </c>
      <c r="T370" s="323">
        <f>L370-S370</f>
        <v>-23.591974770527905</v>
      </c>
      <c r="U370" s="9"/>
      <c r="V370" s="9"/>
      <c r="W370" s="9"/>
      <c r="X370" s="9"/>
      <c r="Y370" s="9"/>
      <c r="Z370" s="9"/>
      <c r="AA370" s="9"/>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row>
    <row r="371" spans="2:64" outlineLevel="1">
      <c r="B371" s="9"/>
      <c r="C371" s="9"/>
      <c r="D371" s="132" t="str">
        <f>Asset13</f>
        <v xml:space="preserve">Communications – Pilot Wires </v>
      </c>
      <c r="E371" s="9"/>
      <c r="F371" s="9"/>
      <c r="G371" s="9"/>
      <c r="H371" s="9"/>
      <c r="I371" s="9"/>
      <c r="J371" s="9"/>
      <c r="K371" s="9"/>
      <c r="L371" s="37">
        <f t="shared" si="23"/>
        <v>20.156802347223337</v>
      </c>
      <c r="M371" s="37">
        <f t="shared" si="23"/>
        <v>0</v>
      </c>
      <c r="N371" s="37">
        <f t="shared" si="23"/>
        <v>0</v>
      </c>
      <c r="O371" s="37">
        <f t="shared" si="23"/>
        <v>0</v>
      </c>
      <c r="P371" s="37">
        <f t="shared" si="23"/>
        <v>0</v>
      </c>
      <c r="Q371" s="37">
        <f t="shared" si="23"/>
        <v>0</v>
      </c>
      <c r="R371" s="323">
        <f t="shared" si="22"/>
        <v>20.156802347223337</v>
      </c>
      <c r="S371" s="9"/>
      <c r="T371" s="9"/>
      <c r="U371" s="9"/>
      <c r="V371" s="9"/>
      <c r="W371" s="9"/>
      <c r="X371" s="9"/>
      <c r="Y371" s="9"/>
      <c r="Z371" s="9"/>
      <c r="AA371" s="9"/>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row>
    <row r="372" spans="2:64" outlineLevel="1">
      <c r="B372" s="9"/>
      <c r="C372" s="9"/>
      <c r="D372" s="132" t="str">
        <f>Asset14</f>
        <v>Generation Assets</v>
      </c>
      <c r="E372" s="9"/>
      <c r="F372" s="9"/>
      <c r="G372" s="9"/>
      <c r="H372" s="9"/>
      <c r="I372" s="9"/>
      <c r="J372" s="9"/>
      <c r="K372" s="9"/>
      <c r="L372" s="37">
        <f t="shared" si="23"/>
        <v>0.29438232618753601</v>
      </c>
      <c r="M372" s="37">
        <f t="shared" si="23"/>
        <v>0</v>
      </c>
      <c r="N372" s="37">
        <f t="shared" si="23"/>
        <v>0</v>
      </c>
      <c r="O372" s="37">
        <f t="shared" si="23"/>
        <v>0</v>
      </c>
      <c r="P372" s="37">
        <f t="shared" si="23"/>
        <v>0</v>
      </c>
      <c r="Q372" s="37">
        <f t="shared" si="23"/>
        <v>0</v>
      </c>
      <c r="R372" s="323">
        <f t="shared" si="22"/>
        <v>0.29438232618753601</v>
      </c>
      <c r="S372" s="9"/>
      <c r="T372" s="9"/>
      <c r="U372" s="9"/>
      <c r="V372" s="9"/>
      <c r="W372" s="9"/>
      <c r="X372" s="9"/>
      <c r="Y372" s="9"/>
      <c r="Z372" s="9"/>
      <c r="AA372" s="9"/>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row>
    <row r="373" spans="2:64" outlineLevel="1">
      <c r="B373" s="9"/>
      <c r="C373" s="9"/>
      <c r="D373" s="132" t="str">
        <f>Asset15</f>
        <v>Street Lighting</v>
      </c>
      <c r="E373" s="9"/>
      <c r="F373" s="9"/>
      <c r="G373" s="9"/>
      <c r="H373" s="9"/>
      <c r="I373" s="9"/>
      <c r="J373" s="9"/>
      <c r="K373" s="9"/>
      <c r="L373" s="37">
        <f t="shared" si="23"/>
        <v>0</v>
      </c>
      <c r="M373" s="37">
        <f t="shared" si="23"/>
        <v>0</v>
      </c>
      <c r="N373" s="37">
        <f t="shared" si="23"/>
        <v>0</v>
      </c>
      <c r="O373" s="37">
        <f t="shared" si="23"/>
        <v>0</v>
      </c>
      <c r="P373" s="37">
        <f t="shared" si="23"/>
        <v>0</v>
      </c>
      <c r="Q373" s="37">
        <f t="shared" si="23"/>
        <v>0</v>
      </c>
      <c r="R373" s="323">
        <f t="shared" si="22"/>
        <v>0</v>
      </c>
      <c r="S373" s="9"/>
      <c r="T373" s="9"/>
      <c r="U373" s="9"/>
      <c r="V373" s="9"/>
      <c r="W373" s="9"/>
      <c r="X373" s="9"/>
      <c r="Y373" s="9"/>
      <c r="Z373" s="9"/>
      <c r="AA373" s="9"/>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row>
    <row r="374" spans="2:64" outlineLevel="1">
      <c r="B374" s="9"/>
      <c r="C374" s="9"/>
      <c r="D374" s="132" t="str">
        <f>Asset16</f>
        <v>Other Equipment</v>
      </c>
      <c r="E374" s="9"/>
      <c r="F374" s="9"/>
      <c r="G374" s="9"/>
      <c r="H374" s="9"/>
      <c r="I374" s="9"/>
      <c r="J374" s="9"/>
      <c r="K374" s="9"/>
      <c r="L374" s="37">
        <f t="shared" si="23"/>
        <v>23.521225589968363</v>
      </c>
      <c r="M374" s="37">
        <f t="shared" si="23"/>
        <v>0</v>
      </c>
      <c r="N374" s="37">
        <f t="shared" si="23"/>
        <v>0</v>
      </c>
      <c r="O374" s="37">
        <f t="shared" si="23"/>
        <v>0</v>
      </c>
      <c r="P374" s="37">
        <f t="shared" si="23"/>
        <v>0</v>
      </c>
      <c r="Q374" s="37">
        <f t="shared" si="23"/>
        <v>0</v>
      </c>
      <c r="R374" s="323">
        <f t="shared" si="22"/>
        <v>23.521225589968363</v>
      </c>
      <c r="S374" s="9"/>
      <c r="T374" s="9"/>
      <c r="U374" s="9"/>
      <c r="V374" s="9"/>
      <c r="W374" s="9"/>
      <c r="X374" s="9"/>
      <c r="Y374" s="9"/>
      <c r="Z374" s="9"/>
      <c r="AA374" s="9"/>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row>
    <row r="375" spans="2:64" outlineLevel="1">
      <c r="B375" s="9"/>
      <c r="C375" s="9"/>
      <c r="D375" s="132" t="str">
        <f>Asset17</f>
        <v>Control Centre - SCADA</v>
      </c>
      <c r="E375" s="9"/>
      <c r="F375" s="9"/>
      <c r="G375" s="9"/>
      <c r="H375" s="9"/>
      <c r="I375" s="9"/>
      <c r="J375" s="9"/>
      <c r="K375" s="9"/>
      <c r="L375" s="37">
        <f t="shared" si="23"/>
        <v>3.8815688563515987</v>
      </c>
      <c r="M375" s="37">
        <f t="shared" si="23"/>
        <v>0</v>
      </c>
      <c r="N375" s="37">
        <f t="shared" si="23"/>
        <v>0</v>
      </c>
      <c r="O375" s="37">
        <f t="shared" si="23"/>
        <v>0</v>
      </c>
      <c r="P375" s="37">
        <f t="shared" si="23"/>
        <v>0</v>
      </c>
      <c r="Q375" s="37">
        <f t="shared" si="23"/>
        <v>0</v>
      </c>
      <c r="R375" s="323">
        <f t="shared" si="22"/>
        <v>3.8815688563515987</v>
      </c>
      <c r="S375" s="9"/>
      <c r="T375" s="9"/>
      <c r="U375" s="9"/>
      <c r="V375" s="9"/>
      <c r="W375" s="9"/>
      <c r="X375" s="9"/>
      <c r="Y375" s="9"/>
      <c r="Z375" s="9"/>
      <c r="AA375" s="9"/>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row>
    <row r="376" spans="2:64" outlineLevel="1">
      <c r="B376" s="9"/>
      <c r="C376" s="9"/>
      <c r="D376" s="132" t="str">
        <f>Asset18</f>
        <v>Land &amp; Easements (System)</v>
      </c>
      <c r="E376" s="9"/>
      <c r="F376" s="9"/>
      <c r="G376" s="9"/>
      <c r="H376" s="9"/>
      <c r="I376" s="9"/>
      <c r="J376" s="9"/>
      <c r="K376" s="9"/>
      <c r="L376" s="37">
        <f t="shared" si="23"/>
        <v>67.584058141753715</v>
      </c>
      <c r="M376" s="37">
        <f t="shared" si="23"/>
        <v>0</v>
      </c>
      <c r="N376" s="37">
        <f t="shared" si="23"/>
        <v>0</v>
      </c>
      <c r="O376" s="37">
        <f t="shared" si="23"/>
        <v>0</v>
      </c>
      <c r="P376" s="37">
        <f t="shared" si="23"/>
        <v>0</v>
      </c>
      <c r="Q376" s="37">
        <f t="shared" si="23"/>
        <v>0</v>
      </c>
      <c r="R376" s="323">
        <f t="shared" si="22"/>
        <v>67.584058141753715</v>
      </c>
      <c r="S376" s="9"/>
      <c r="T376" s="9"/>
      <c r="U376" s="9"/>
      <c r="V376" s="9"/>
      <c r="W376" s="9"/>
      <c r="X376" s="9"/>
      <c r="Y376" s="9"/>
      <c r="Z376" s="9"/>
      <c r="AA376" s="9"/>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row>
    <row r="377" spans="2:64" outlineLevel="1">
      <c r="B377" s="9"/>
      <c r="C377" s="9"/>
      <c r="D377" s="132" t="str">
        <f>Asset19</f>
        <v>Metering Type 5-6</v>
      </c>
      <c r="E377" s="9"/>
      <c r="F377" s="9"/>
      <c r="G377" s="9"/>
      <c r="H377" s="9"/>
      <c r="I377" s="9"/>
      <c r="J377" s="9"/>
      <c r="K377" s="9"/>
      <c r="L377" s="37">
        <f t="shared" si="23"/>
        <v>0</v>
      </c>
      <c r="M377" s="37">
        <f t="shared" si="23"/>
        <v>0</v>
      </c>
      <c r="N377" s="37">
        <f t="shared" si="23"/>
        <v>0</v>
      </c>
      <c r="O377" s="37">
        <f t="shared" si="23"/>
        <v>0</v>
      </c>
      <c r="P377" s="37">
        <f t="shared" si="23"/>
        <v>0</v>
      </c>
      <c r="Q377" s="37">
        <f t="shared" si="23"/>
        <v>0</v>
      </c>
      <c r="R377" s="323">
        <f t="shared" si="22"/>
        <v>0</v>
      </c>
      <c r="S377" s="324" t="s">
        <v>132</v>
      </c>
      <c r="T377" s="9"/>
      <c r="U377" s="9"/>
      <c r="V377" s="9"/>
      <c r="W377" s="9"/>
      <c r="X377" s="9"/>
      <c r="Y377" s="9"/>
      <c r="Z377" s="9"/>
      <c r="AA377" s="9"/>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row>
    <row r="378" spans="2:64" outlineLevel="1">
      <c r="B378" s="9"/>
      <c r="C378" s="9"/>
      <c r="D378" s="132" t="str">
        <f>Asset20</f>
        <v>Communications</v>
      </c>
      <c r="E378" s="9"/>
      <c r="F378" s="9"/>
      <c r="G378" s="9"/>
      <c r="H378" s="9"/>
      <c r="I378" s="9"/>
      <c r="J378" s="9"/>
      <c r="K378" s="9"/>
      <c r="L378" s="37">
        <f t="shared" si="23"/>
        <v>2.9195277203706134</v>
      </c>
      <c r="M378" s="37">
        <f t="shared" si="23"/>
        <v>0</v>
      </c>
      <c r="N378" s="37">
        <f t="shared" si="23"/>
        <v>0</v>
      </c>
      <c r="O378" s="37">
        <f t="shared" si="23"/>
        <v>0</v>
      </c>
      <c r="P378" s="37">
        <f t="shared" si="23"/>
        <v>0</v>
      </c>
      <c r="Q378" s="37">
        <f t="shared" si="23"/>
        <v>0</v>
      </c>
      <c r="R378" s="326">
        <v>0</v>
      </c>
      <c r="S378" s="327">
        <f>'[1]FD adjustments'!D11</f>
        <v>3.9385910000000002</v>
      </c>
      <c r="T378" s="323">
        <f>L378-S378</f>
        <v>-1.0190632796293868</v>
      </c>
      <c r="U378" s="9"/>
      <c r="V378" s="9"/>
      <c r="W378" s="9"/>
      <c r="X378" s="9"/>
      <c r="Y378" s="9"/>
      <c r="Z378" s="9"/>
      <c r="AA378" s="9"/>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row>
    <row r="379" spans="2:64" outlineLevel="1">
      <c r="B379" s="9"/>
      <c r="C379" s="9"/>
      <c r="D379" s="132" t="str">
        <f>Asset21</f>
        <v>IT Systems</v>
      </c>
      <c r="E379" s="9"/>
      <c r="F379" s="9"/>
      <c r="G379" s="9"/>
      <c r="H379" s="9"/>
      <c r="I379" s="9"/>
      <c r="J379" s="9"/>
      <c r="K379" s="9"/>
      <c r="L379" s="37">
        <f t="shared" si="23"/>
        <v>59.643389465555011</v>
      </c>
      <c r="M379" s="37">
        <f t="shared" si="23"/>
        <v>0</v>
      </c>
      <c r="N379" s="37">
        <f t="shared" si="23"/>
        <v>0</v>
      </c>
      <c r="O379" s="37">
        <f t="shared" si="23"/>
        <v>0</v>
      </c>
      <c r="P379" s="37">
        <f t="shared" si="23"/>
        <v>0</v>
      </c>
      <c r="Q379" s="37">
        <f t="shared" si="23"/>
        <v>0</v>
      </c>
      <c r="R379" s="323">
        <f t="shared" ref="R379:R383" si="24">L379-S379</f>
        <v>59.218949465555013</v>
      </c>
      <c r="S379" s="327">
        <f>'[1]FD adjustments'!D12</f>
        <v>0.42443999999999998</v>
      </c>
      <c r="T379" s="9"/>
      <c r="U379" s="9"/>
      <c r="V379" s="9"/>
      <c r="W379" s="9"/>
      <c r="X379" s="9"/>
      <c r="Y379" s="9"/>
      <c r="Z379" s="9"/>
      <c r="AA379" s="9"/>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row>
    <row r="380" spans="2:64" outlineLevel="1">
      <c r="B380" s="9"/>
      <c r="C380" s="9"/>
      <c r="D380" s="132" t="str">
        <f>Asset22</f>
        <v>Office Equipment &amp; Furniture</v>
      </c>
      <c r="E380" s="9"/>
      <c r="F380" s="9"/>
      <c r="G380" s="9"/>
      <c r="H380" s="9"/>
      <c r="I380" s="9"/>
      <c r="J380" s="9"/>
      <c r="K380" s="9"/>
      <c r="L380" s="37">
        <f t="shared" ref="L380:Q386" si="25">IF(M$198=0, L220+L252+L284+L316+L348, 0)</f>
        <v>3.0235361595427666</v>
      </c>
      <c r="M380" s="37">
        <f t="shared" si="25"/>
        <v>0</v>
      </c>
      <c r="N380" s="37">
        <f t="shared" si="25"/>
        <v>0</v>
      </c>
      <c r="O380" s="37">
        <f t="shared" si="25"/>
        <v>0</v>
      </c>
      <c r="P380" s="37">
        <f t="shared" si="25"/>
        <v>0</v>
      </c>
      <c r="Q380" s="37">
        <f t="shared" si="25"/>
        <v>0</v>
      </c>
      <c r="R380" s="323">
        <f t="shared" si="24"/>
        <v>2.7116181595427666</v>
      </c>
      <c r="S380" s="327">
        <f>'[1]FD adjustments'!D13</f>
        <v>0.31191799999999997</v>
      </c>
      <c r="T380" s="9"/>
      <c r="U380" s="9"/>
      <c r="V380" s="9"/>
      <c r="W380" s="9"/>
      <c r="X380" s="9"/>
      <c r="Y380" s="9"/>
      <c r="Z380" s="9"/>
      <c r="AA380" s="9"/>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row>
    <row r="381" spans="2:64" outlineLevel="1">
      <c r="B381" s="9"/>
      <c r="C381" s="9"/>
      <c r="D381" s="132" t="str">
        <f>Asset23</f>
        <v>Motor Vehicles</v>
      </c>
      <c r="E381" s="9"/>
      <c r="F381" s="9"/>
      <c r="G381" s="9"/>
      <c r="H381" s="9"/>
      <c r="I381" s="9"/>
      <c r="J381" s="9"/>
      <c r="K381" s="9"/>
      <c r="L381" s="37">
        <f t="shared" si="25"/>
        <v>17.29162750241505</v>
      </c>
      <c r="M381" s="37">
        <f t="shared" si="25"/>
        <v>0</v>
      </c>
      <c r="N381" s="37">
        <f t="shared" si="25"/>
        <v>0</v>
      </c>
      <c r="O381" s="37">
        <f t="shared" si="25"/>
        <v>0</v>
      </c>
      <c r="P381" s="37">
        <f t="shared" si="25"/>
        <v>0</v>
      </c>
      <c r="Q381" s="37">
        <f t="shared" si="25"/>
        <v>0</v>
      </c>
      <c r="R381" s="323">
        <f t="shared" si="24"/>
        <v>13.88784150241505</v>
      </c>
      <c r="S381" s="327">
        <f>'[1]FD adjustments'!D14</f>
        <v>3.4037860000000002</v>
      </c>
      <c r="T381" s="9"/>
      <c r="U381" s="9"/>
      <c r="V381" s="9"/>
      <c r="W381" s="9"/>
      <c r="X381" s="9"/>
      <c r="Y381" s="9"/>
      <c r="Z381" s="9"/>
      <c r="AA381" s="9"/>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row>
    <row r="382" spans="2:64" outlineLevel="1">
      <c r="B382" s="9"/>
      <c r="C382" s="9"/>
      <c r="D382" s="132" t="str">
        <f>Asset24</f>
        <v>Plant &amp; Equipment</v>
      </c>
      <c r="E382" s="9"/>
      <c r="F382" s="9"/>
      <c r="G382" s="9"/>
      <c r="H382" s="9"/>
      <c r="I382" s="9"/>
      <c r="J382" s="9"/>
      <c r="K382" s="9"/>
      <c r="L382" s="37">
        <f t="shared" si="25"/>
        <v>42.758428543056027</v>
      </c>
      <c r="M382" s="37">
        <f t="shared" si="25"/>
        <v>0</v>
      </c>
      <c r="N382" s="37">
        <f t="shared" si="25"/>
        <v>0</v>
      </c>
      <c r="O382" s="37">
        <f t="shared" si="25"/>
        <v>0</v>
      </c>
      <c r="P382" s="37">
        <f t="shared" si="25"/>
        <v>0</v>
      </c>
      <c r="Q382" s="37">
        <f t="shared" si="25"/>
        <v>0</v>
      </c>
      <c r="R382" s="323">
        <f t="shared" si="24"/>
        <v>41.914003543056026</v>
      </c>
      <c r="S382" s="327">
        <f>'[1]FD adjustments'!D15</f>
        <v>0.84442499999999998</v>
      </c>
      <c r="T382" s="9"/>
      <c r="U382" s="9"/>
      <c r="V382" s="9"/>
      <c r="W382" s="9"/>
      <c r="X382" s="9"/>
      <c r="Y382" s="9"/>
      <c r="Z382" s="9"/>
      <c r="AA382" s="9"/>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row>
    <row r="383" spans="2:64" outlineLevel="1">
      <c r="B383" s="9"/>
      <c r="C383" s="9"/>
      <c r="D383" s="132" t="str">
        <f>Asset25</f>
        <v>Buildings</v>
      </c>
      <c r="E383" s="9"/>
      <c r="F383" s="9"/>
      <c r="G383" s="9"/>
      <c r="H383" s="9"/>
      <c r="I383" s="9"/>
      <c r="J383" s="9"/>
      <c r="K383" s="9"/>
      <c r="L383" s="37">
        <f t="shared" si="25"/>
        <v>13.647640862592191</v>
      </c>
      <c r="M383" s="37">
        <f t="shared" si="25"/>
        <v>0</v>
      </c>
      <c r="N383" s="37">
        <f t="shared" si="25"/>
        <v>0</v>
      </c>
      <c r="O383" s="37">
        <f t="shared" si="25"/>
        <v>0</v>
      </c>
      <c r="P383" s="37">
        <f t="shared" si="25"/>
        <v>0</v>
      </c>
      <c r="Q383" s="37">
        <f t="shared" si="25"/>
        <v>0</v>
      </c>
      <c r="R383" s="323">
        <f t="shared" si="24"/>
        <v>9.0624098625921903</v>
      </c>
      <c r="S383" s="327">
        <f>'[1]FD adjustments'!D16</f>
        <v>4.5852310000000003</v>
      </c>
      <c r="T383" s="9"/>
      <c r="U383" s="9"/>
      <c r="V383" s="9"/>
      <c r="W383" s="9"/>
      <c r="X383" s="9"/>
      <c r="Y383" s="9"/>
      <c r="Z383" s="9"/>
      <c r="AA383" s="9"/>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row>
    <row r="384" spans="2:64" outlineLevel="1">
      <c r="B384" s="9"/>
      <c r="C384" s="9"/>
      <c r="D384" s="132" t="str">
        <f>Asset26</f>
        <v>Land &amp; Easements</v>
      </c>
      <c r="E384" s="9"/>
      <c r="F384" s="9"/>
      <c r="G384" s="9"/>
      <c r="H384" s="9"/>
      <c r="I384" s="9"/>
      <c r="J384" s="9"/>
      <c r="K384" s="9"/>
      <c r="L384" s="37">
        <f t="shared" si="25"/>
        <v>15.737670997214121</v>
      </c>
      <c r="M384" s="37">
        <f t="shared" si="25"/>
        <v>0</v>
      </c>
      <c r="N384" s="37">
        <f t="shared" si="25"/>
        <v>0</v>
      </c>
      <c r="O384" s="37">
        <f t="shared" si="25"/>
        <v>0</v>
      </c>
      <c r="P384" s="37">
        <f t="shared" si="25"/>
        <v>0</v>
      </c>
      <c r="Q384" s="37">
        <f t="shared" si="25"/>
        <v>0</v>
      </c>
      <c r="R384" s="323">
        <f t="shared" si="22"/>
        <v>15.737670997214121</v>
      </c>
      <c r="S384" s="9"/>
      <c r="T384" s="9"/>
      <c r="U384" s="9"/>
      <c r="V384" s="9"/>
      <c r="W384" s="9"/>
      <c r="X384" s="9"/>
      <c r="Y384" s="9"/>
      <c r="Z384" s="9"/>
      <c r="AA384" s="9"/>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row>
    <row r="385" spans="1:64" outlineLevel="1">
      <c r="B385" s="9"/>
      <c r="C385" s="9"/>
      <c r="D385" s="132" t="str">
        <f>Asset27</f>
        <v>Land Improvements</v>
      </c>
      <c r="E385" s="9"/>
      <c r="F385" s="9"/>
      <c r="G385" s="9"/>
      <c r="H385" s="9"/>
      <c r="I385" s="9"/>
      <c r="J385" s="9"/>
      <c r="K385" s="9"/>
      <c r="L385" s="37">
        <f t="shared" si="25"/>
        <v>20.430438403503686</v>
      </c>
      <c r="M385" s="37">
        <f t="shared" si="25"/>
        <v>0</v>
      </c>
      <c r="N385" s="37">
        <f t="shared" si="25"/>
        <v>0</v>
      </c>
      <c r="O385" s="37">
        <f t="shared" si="25"/>
        <v>0</v>
      </c>
      <c r="P385" s="37">
        <f t="shared" si="25"/>
        <v>0</v>
      </c>
      <c r="Q385" s="37">
        <f t="shared" si="25"/>
        <v>0</v>
      </c>
      <c r="R385" s="323">
        <f t="shared" si="22"/>
        <v>20.430438403503686</v>
      </c>
      <c r="S385" s="9"/>
      <c r="T385" s="9"/>
      <c r="U385" s="9"/>
      <c r="V385" s="9"/>
      <c r="W385" s="9"/>
      <c r="X385" s="9"/>
      <c r="Y385" s="9"/>
      <c r="Z385" s="9"/>
      <c r="AA385" s="9"/>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row>
    <row r="386" spans="1:64" outlineLevel="1">
      <c r="B386" s="9"/>
      <c r="C386" s="9"/>
      <c r="D386" s="132" t="str">
        <f>Asset28</f>
        <v>Equity Raising Costs</v>
      </c>
      <c r="E386" s="9"/>
      <c r="F386" s="9"/>
      <c r="G386" s="9"/>
      <c r="H386" s="9"/>
      <c r="I386" s="9"/>
      <c r="J386" s="9"/>
      <c r="K386" s="9"/>
      <c r="L386" s="37">
        <f t="shared" si="25"/>
        <v>0</v>
      </c>
      <c r="M386" s="37">
        <f t="shared" si="25"/>
        <v>0</v>
      </c>
      <c r="N386" s="37">
        <f t="shared" si="25"/>
        <v>0</v>
      </c>
      <c r="O386" s="37">
        <f t="shared" si="25"/>
        <v>0</v>
      </c>
      <c r="P386" s="37">
        <f t="shared" si="25"/>
        <v>0</v>
      </c>
      <c r="Q386" s="37">
        <f t="shared" si="25"/>
        <v>0</v>
      </c>
      <c r="R386" s="296">
        <f t="shared" si="22"/>
        <v>0</v>
      </c>
      <c r="S386" s="9"/>
      <c r="T386" s="9"/>
      <c r="U386" s="9"/>
      <c r="V386" s="9"/>
      <c r="W386" s="9"/>
      <c r="X386" s="9"/>
      <c r="Y386" s="9"/>
      <c r="Z386" s="9"/>
      <c r="AA386" s="9"/>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row>
    <row r="387" spans="1:64" outlineLevel="1">
      <c r="B387" s="9"/>
      <c r="C387" s="9"/>
      <c r="D387" s="132" t="str">
        <f>Asset29</f>
        <v>Not Used</v>
      </c>
      <c r="E387" s="9"/>
      <c r="F387" s="9"/>
      <c r="G387" s="9"/>
      <c r="H387" s="9"/>
      <c r="I387" s="9"/>
      <c r="J387" s="9"/>
      <c r="K387" s="9"/>
      <c r="L387" s="37">
        <f t="shared" ref="L387:Q387" si="26">IF(M$198=0, L227+L259+L291+L323+L355, 0)</f>
        <v>0</v>
      </c>
      <c r="M387" s="37">
        <f t="shared" si="26"/>
        <v>0</v>
      </c>
      <c r="N387" s="37">
        <f t="shared" si="26"/>
        <v>0</v>
      </c>
      <c r="O387" s="37">
        <f t="shared" si="26"/>
        <v>0</v>
      </c>
      <c r="P387" s="37">
        <f t="shared" si="26"/>
        <v>0</v>
      </c>
      <c r="Q387" s="37">
        <f t="shared" si="26"/>
        <v>0</v>
      </c>
      <c r="R387" s="9"/>
      <c r="S387" s="9"/>
      <c r="T387" s="9"/>
      <c r="U387" s="9"/>
      <c r="V387" s="9"/>
      <c r="W387" s="9"/>
      <c r="X387" s="9"/>
      <c r="Y387" s="9"/>
      <c r="Z387" s="9"/>
      <c r="AA387" s="9"/>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row>
    <row r="388" spans="1:64" outlineLevel="1">
      <c r="B388" s="9"/>
      <c r="C388" s="9"/>
      <c r="D388" s="132" t="str">
        <f>Asset30</f>
        <v>Not Used</v>
      </c>
      <c r="E388" s="9"/>
      <c r="F388" s="9"/>
      <c r="G388" s="9"/>
      <c r="H388" s="9"/>
      <c r="I388" s="9"/>
      <c r="J388" s="9"/>
      <c r="K388" s="9"/>
      <c r="L388" s="37">
        <f t="shared" ref="L388:Q388" si="27">IF(M$198=0, L228+L260+L292+L324+L356, 0)</f>
        <v>0</v>
      </c>
      <c r="M388" s="37">
        <f t="shared" si="27"/>
        <v>0</v>
      </c>
      <c r="N388" s="37">
        <f t="shared" si="27"/>
        <v>0</v>
      </c>
      <c r="O388" s="37">
        <f t="shared" si="27"/>
        <v>0</v>
      </c>
      <c r="P388" s="37">
        <f t="shared" si="27"/>
        <v>0</v>
      </c>
      <c r="Q388" s="37">
        <f t="shared" si="27"/>
        <v>0</v>
      </c>
      <c r="R388" s="9"/>
      <c r="S388" s="9"/>
      <c r="T388" s="9"/>
      <c r="U388" s="9"/>
      <c r="V388" s="9"/>
      <c r="W388" s="9"/>
      <c r="X388" s="9"/>
      <c r="Y388" s="9"/>
      <c r="Z388" s="9"/>
      <c r="AA388" s="9"/>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row>
    <row r="461" spans="1:66">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row>
    <row r="462" spans="1:66">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row>
    <row r="463" spans="1:66">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row>
    <row r="464" spans="1:66">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row>
    <row r="465" spans="2:66">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row>
    <row r="466" spans="2:66">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row>
    <row r="467" spans="2:66">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row>
    <row r="468" spans="2:66">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row>
    <row r="469" spans="2:66">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row>
    <row r="470" spans="2:66">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501"/>
  <sheetViews>
    <sheetView zoomScaleNormal="100" workbookViewId="0">
      <pane xSplit="7" ySplit="5" topLeftCell="H6" activePane="bottomRight" state="frozen"/>
      <selection pane="topRight" activeCell="H1" sqref="H1"/>
      <selection pane="bottomLeft" activeCell="A6" sqref="A6"/>
      <selection pane="bottomRight" activeCell="R70" sqref="R70"/>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192"/>
      <c r="BK1" s="192"/>
      <c r="BL1" s="192"/>
      <c r="BM1" s="192"/>
      <c r="BN1" s="192"/>
      <c r="BO1" s="192"/>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7"/>
      <c r="BK3" s="217"/>
      <c r="BL3" s="217"/>
      <c r="BM3" s="217"/>
      <c r="BN3" s="217"/>
      <c r="BO3" s="217"/>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192"/>
      <c r="BK4" s="192"/>
      <c r="BL4" s="192"/>
      <c r="BM4" s="192"/>
      <c r="BN4" s="192"/>
      <c r="BO4" s="192"/>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2"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56" s="192"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row>
    <row r="7" spans="1:256" s="192" customFormat="1">
      <c r="A7" s="9"/>
      <c r="B7" s="46" t="s">
        <v>71</v>
      </c>
      <c r="C7" s="9"/>
      <c r="D7" s="9"/>
      <c r="E7" s="9"/>
      <c r="G7" s="205">
        <f t="shared" ref="G7:M7" si="1">SUM(G8:G37)</f>
        <v>3458.2884350000004</v>
      </c>
      <c r="H7" s="118">
        <f t="shared" si="1"/>
        <v>3932.8142296103906</v>
      </c>
      <c r="I7" s="118">
        <f t="shared" si="1"/>
        <v>3713.4156981628184</v>
      </c>
      <c r="J7" s="118">
        <f t="shared" si="1"/>
        <v>3494.0171667152467</v>
      </c>
      <c r="K7" s="118">
        <f t="shared" si="1"/>
        <v>3282.6667126848433</v>
      </c>
      <c r="L7" s="118">
        <f t="shared" si="1"/>
        <v>3087.0083380915644</v>
      </c>
      <c r="M7" s="118">
        <f t="shared" si="1"/>
        <v>2835.2330793215556</v>
      </c>
      <c r="N7" s="118">
        <f>SUM(N8:N37)</f>
        <v>0</v>
      </c>
      <c r="O7" s="118">
        <f>SUM(O8:O37)</f>
        <v>0</v>
      </c>
      <c r="P7" s="118">
        <f>SUM(P8:P37)</f>
        <v>0</v>
      </c>
      <c r="Q7" s="118">
        <f>SUM(Q8:Q37)</f>
        <v>0</v>
      </c>
      <c r="R7" s="118">
        <f>SUM(R8:R37)</f>
        <v>0</v>
      </c>
      <c r="S7" s="108"/>
      <c r="T7" s="108"/>
      <c r="U7" s="108"/>
      <c r="V7" s="108"/>
      <c r="W7" s="108"/>
      <c r="X7" s="108"/>
      <c r="Y7" s="108"/>
      <c r="Z7" s="108"/>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row>
    <row r="8" spans="1:256" s="192" customFormat="1" outlineLevel="1">
      <c r="A8" s="9"/>
      <c r="B8" s="9"/>
      <c r="C8" s="132" t="str">
        <f>Asset1</f>
        <v>Overhead Sub-Transmission Lines</v>
      </c>
      <c r="D8" s="9"/>
      <c r="E8" s="9"/>
      <c r="F8" s="9"/>
      <c r="G8" s="198">
        <f>A1taxvalue</f>
        <v>372.45990399999999</v>
      </c>
      <c r="H8" s="113">
        <f t="shared" ref="H8:M8" si="2">G8+G40+G85</f>
        <v>400.52530328955913</v>
      </c>
      <c r="I8" s="113">
        <f t="shared" si="2"/>
        <v>374.35184089022937</v>
      </c>
      <c r="J8" s="113">
        <f t="shared" si="2"/>
        <v>348.1783784908996</v>
      </c>
      <c r="K8" s="113">
        <f t="shared" si="2"/>
        <v>322.00491609156984</v>
      </c>
      <c r="L8" s="113">
        <f t="shared" si="2"/>
        <v>295.83145369224007</v>
      </c>
      <c r="M8" s="113">
        <f t="shared" si="2"/>
        <v>269.65799129291031</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row>
    <row r="9" spans="1:256" s="192" customFormat="1" outlineLevel="1">
      <c r="A9" s="9"/>
      <c r="B9" s="46"/>
      <c r="C9" s="132" t="str">
        <f>Asset2</f>
        <v>Underground Sub-Transmission Cables</v>
      </c>
      <c r="D9" s="9"/>
      <c r="E9" s="9"/>
      <c r="F9" s="9"/>
      <c r="G9" s="198">
        <f>A2taxvalue</f>
        <v>32.465457000000001</v>
      </c>
      <c r="H9" s="113">
        <f t="shared" ref="H9:M9" si="3">G9+G41+G99</f>
        <v>31.936832801888372</v>
      </c>
      <c r="I9" s="113">
        <f t="shared" si="3"/>
        <v>30.966775043776746</v>
      </c>
      <c r="J9" s="113">
        <f t="shared" si="3"/>
        <v>29.99671728566512</v>
      </c>
      <c r="K9" s="113">
        <f t="shared" si="3"/>
        <v>29.026659527553495</v>
      </c>
      <c r="L9" s="113">
        <f t="shared" si="3"/>
        <v>28.056601769441869</v>
      </c>
      <c r="M9" s="113">
        <f t="shared" si="3"/>
        <v>27.086544011330243</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row>
    <row r="10" spans="1:256" s="192" customFormat="1" outlineLevel="1">
      <c r="A10" s="9"/>
      <c r="B10" s="46"/>
      <c r="C10" s="132" t="str">
        <f>Asset3</f>
        <v>Overhead Distribution Lines</v>
      </c>
      <c r="D10" s="9"/>
      <c r="E10" s="9"/>
      <c r="F10" s="9"/>
      <c r="G10" s="198">
        <f>A3taxvalue</f>
        <v>917.78671099999997</v>
      </c>
      <c r="H10" s="113">
        <f t="shared" ref="H10:M10" si="4">G10+G42+G113</f>
        <v>959.52648060906779</v>
      </c>
      <c r="I10" s="113">
        <f t="shared" si="4"/>
        <v>918.0144637736912</v>
      </c>
      <c r="J10" s="113">
        <f t="shared" si="4"/>
        <v>876.50244693831451</v>
      </c>
      <c r="K10" s="113">
        <f t="shared" si="4"/>
        <v>834.99043010293781</v>
      </c>
      <c r="L10" s="113">
        <f t="shared" si="4"/>
        <v>793.47841326756111</v>
      </c>
      <c r="M10" s="113">
        <f t="shared" si="4"/>
        <v>751.96639643218441</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row>
    <row r="11" spans="1:256" s="192" customFormat="1" outlineLevel="1">
      <c r="A11" s="9"/>
      <c r="B11" s="46"/>
      <c r="C11" s="132" t="str">
        <f>Asset4</f>
        <v>Underground Distribution Cables</v>
      </c>
      <c r="D11" s="9"/>
      <c r="E11" s="9"/>
      <c r="F11" s="9"/>
      <c r="G11" s="198">
        <f>A4taxvalue</f>
        <v>282.755495</v>
      </c>
      <c r="H11" s="113">
        <f t="shared" ref="H11:M11" si="5">G11+G43+G127</f>
        <v>332.63254158984643</v>
      </c>
      <c r="I11" s="113">
        <f t="shared" si="5"/>
        <v>322.51067897969284</v>
      </c>
      <c r="J11" s="113">
        <f t="shared" si="5"/>
        <v>312.38881636953926</v>
      </c>
      <c r="K11" s="113">
        <f t="shared" si="5"/>
        <v>302.26695375938567</v>
      </c>
      <c r="L11" s="113">
        <f t="shared" si="5"/>
        <v>292.14509114923209</v>
      </c>
      <c r="M11" s="113">
        <f t="shared" si="5"/>
        <v>282.0232285390785</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row>
    <row r="12" spans="1:256" s="192" customFormat="1" outlineLevel="1">
      <c r="A12" s="9"/>
      <c r="B12" s="46"/>
      <c r="C12" s="132" t="str">
        <f>Asset5</f>
        <v xml:space="preserve">Distribution Equipment  </v>
      </c>
      <c r="D12" s="9"/>
      <c r="E12" s="9"/>
      <c r="F12" s="9"/>
      <c r="G12" s="198">
        <f>A5taxvalue</f>
        <v>13.628221999999999</v>
      </c>
      <c r="H12" s="113">
        <f t="shared" ref="H12:M12" si="6">G12+G44+G141</f>
        <v>15.814241948391604</v>
      </c>
      <c r="I12" s="113">
        <f t="shared" si="6"/>
        <v>15.451258785672099</v>
      </c>
      <c r="J12" s="113">
        <f t="shared" si="6"/>
        <v>15.088275622952594</v>
      </c>
      <c r="K12" s="113">
        <f t="shared" si="6"/>
        <v>14.725292460233089</v>
      </c>
      <c r="L12" s="113">
        <f t="shared" si="6"/>
        <v>14.362309297513583</v>
      </c>
      <c r="M12" s="113">
        <f t="shared" si="6"/>
        <v>13.999326134794078</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row>
    <row r="13" spans="1:256" s="192" customFormat="1" outlineLevel="1">
      <c r="A13" s="9"/>
      <c r="B13" s="46"/>
      <c r="C13" s="132" t="str">
        <f>Asset6</f>
        <v>Substation Bays</v>
      </c>
      <c r="D13" s="9"/>
      <c r="E13" s="9"/>
      <c r="F13" s="9"/>
      <c r="G13" s="198">
        <f>A6taxvalue</f>
        <v>361.423</v>
      </c>
      <c r="H13" s="113">
        <f t="shared" ref="H13:M13" si="7">G13+G45+G155</f>
        <v>459.26865361526825</v>
      </c>
      <c r="I13" s="113">
        <f t="shared" si="7"/>
        <v>447.41942735553647</v>
      </c>
      <c r="J13" s="113">
        <f t="shared" si="7"/>
        <v>435.57020109580469</v>
      </c>
      <c r="K13" s="113">
        <f t="shared" si="7"/>
        <v>423.72097483607291</v>
      </c>
      <c r="L13" s="113">
        <f t="shared" si="7"/>
        <v>411.87174857634113</v>
      </c>
      <c r="M13" s="113">
        <f t="shared" si="7"/>
        <v>400.02252231660935</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row>
    <row r="14" spans="1:256" s="192" customFormat="1" outlineLevel="1">
      <c r="A14" s="9"/>
      <c r="B14" s="46"/>
      <c r="C14" s="132" t="str">
        <f>Asset7</f>
        <v>Substation Establishment</v>
      </c>
      <c r="D14" s="9"/>
      <c r="E14" s="9"/>
      <c r="F14" s="9"/>
      <c r="G14" s="198">
        <f>A7taxvalue</f>
        <v>112.131956</v>
      </c>
      <c r="H14" s="113">
        <f t="shared" ref="H14:M14" si="8">G14+G46+G169</f>
        <v>126.49982599654032</v>
      </c>
      <c r="I14" s="113">
        <f t="shared" si="8"/>
        <v>122.95849419308063</v>
      </c>
      <c r="J14" s="113">
        <f t="shared" si="8"/>
        <v>119.41716238962093</v>
      </c>
      <c r="K14" s="113">
        <f t="shared" si="8"/>
        <v>115.87583058616123</v>
      </c>
      <c r="L14" s="113">
        <f t="shared" si="8"/>
        <v>112.33449878270153</v>
      </c>
      <c r="M14" s="113">
        <f t="shared" si="8"/>
        <v>108.79316697924183</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row>
    <row r="15" spans="1:256" s="192" customFormat="1" outlineLevel="1">
      <c r="A15" s="9"/>
      <c r="B15" s="46"/>
      <c r="C15" s="132" t="str">
        <f>Asset8</f>
        <v>Distribution Substation Switchgear</v>
      </c>
      <c r="D15" s="9"/>
      <c r="E15" s="9"/>
      <c r="F15" s="9"/>
      <c r="G15" s="198">
        <f>A8taxvalue</f>
        <v>59.974623999999999</v>
      </c>
      <c r="H15" s="113">
        <f t="shared" ref="H15:M15" si="9">G15+G47+G183</f>
        <v>80.765582424694756</v>
      </c>
      <c r="I15" s="113">
        <f t="shared" si="9"/>
        <v>78.404533749389515</v>
      </c>
      <c r="J15" s="113">
        <f t="shared" si="9"/>
        <v>76.043485074084273</v>
      </c>
      <c r="K15" s="113">
        <f t="shared" si="9"/>
        <v>73.682436398779032</v>
      </c>
      <c r="L15" s="113">
        <f t="shared" si="9"/>
        <v>71.321387723473791</v>
      </c>
      <c r="M15" s="113">
        <f t="shared" si="9"/>
        <v>68.960339048168549</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row>
    <row r="16" spans="1:256" s="192" customFormat="1" outlineLevel="1">
      <c r="A16" s="9"/>
      <c r="B16" s="46"/>
      <c r="C16" s="132" t="str">
        <f>Asset9</f>
        <v>Zone Transformers</v>
      </c>
      <c r="D16" s="9"/>
      <c r="E16" s="9"/>
      <c r="F16" s="9"/>
      <c r="G16" s="198">
        <f>A9taxvalue</f>
        <v>161.25172499999999</v>
      </c>
      <c r="H16" s="113">
        <f t="shared" ref="H16:M16" si="10">G16+G48+G197</f>
        <v>195.05218092332046</v>
      </c>
      <c r="I16" s="113">
        <f t="shared" si="10"/>
        <v>185.10864829664095</v>
      </c>
      <c r="J16" s="113">
        <f t="shared" si="10"/>
        <v>175.16511566996144</v>
      </c>
      <c r="K16" s="113">
        <f t="shared" si="10"/>
        <v>165.22158304328192</v>
      </c>
      <c r="L16" s="113">
        <f t="shared" si="10"/>
        <v>155.27805041660241</v>
      </c>
      <c r="M16" s="113">
        <f t="shared" si="10"/>
        <v>145.3345177899229</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row>
    <row r="17" spans="1:61" s="192" customFormat="1" outlineLevel="1">
      <c r="A17" s="9"/>
      <c r="B17" s="46"/>
      <c r="C17" s="132" t="str">
        <f>Asset10</f>
        <v>Distribution Transformers</v>
      </c>
      <c r="D17" s="9"/>
      <c r="E17" s="9"/>
      <c r="F17" s="9"/>
      <c r="G17" s="198">
        <f>A10taxvalue</f>
        <v>500.896367</v>
      </c>
      <c r="H17" s="113">
        <f t="shared" ref="H17:M17" si="11">G17+G49+G211</f>
        <v>554.85483044506475</v>
      </c>
      <c r="I17" s="113">
        <f t="shared" si="11"/>
        <v>525.63277679012958</v>
      </c>
      <c r="J17" s="113">
        <f t="shared" si="11"/>
        <v>496.41072313519436</v>
      </c>
      <c r="K17" s="113">
        <f t="shared" si="11"/>
        <v>467.18866948025914</v>
      </c>
      <c r="L17" s="113">
        <f t="shared" si="11"/>
        <v>437.96661582532391</v>
      </c>
      <c r="M17" s="113">
        <f t="shared" si="11"/>
        <v>408.74456217038869</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row>
    <row r="18" spans="1:61" s="192" customFormat="1" outlineLevel="1">
      <c r="A18" s="9"/>
      <c r="B18" s="46"/>
      <c r="C18" s="132" t="str">
        <f>Asset11</f>
        <v>Low Voltage Services</v>
      </c>
      <c r="D18" s="9"/>
      <c r="E18" s="9"/>
      <c r="F18" s="9"/>
      <c r="G18" s="198">
        <f>A11taxvalue</f>
        <v>161.57442900000001</v>
      </c>
      <c r="H18" s="113">
        <f t="shared" ref="H18:M18" si="12">G18+G50+G225</f>
        <v>157.89246007692029</v>
      </c>
      <c r="I18" s="113">
        <f t="shared" si="12"/>
        <v>140.51923507884055</v>
      </c>
      <c r="J18" s="113">
        <f t="shared" si="12"/>
        <v>123.14601008076082</v>
      </c>
      <c r="K18" s="113">
        <f t="shared" si="12"/>
        <v>105.77278508268108</v>
      </c>
      <c r="L18" s="113">
        <f t="shared" si="12"/>
        <v>88.399560084601347</v>
      </c>
      <c r="M18" s="113">
        <f t="shared" si="12"/>
        <v>71.026335086521613</v>
      </c>
      <c r="N18" s="113">
        <f>IF(Input!M$173&gt;0, M18+M50+M225, 0)</f>
        <v>0</v>
      </c>
      <c r="O18" s="113">
        <f>IF(Input!N$173&gt;0, N18+N50+N225, 0)</f>
        <v>0</v>
      </c>
      <c r="P18" s="113">
        <f>IF(Input!O$173&gt;0, O18+O50+O225, 0)</f>
        <v>0</v>
      </c>
      <c r="Q18" s="113">
        <f>IF(Input!P$173&gt;0, P18+P50+P225, 0)</f>
        <v>0</v>
      </c>
      <c r="R18" s="113">
        <f>IF(Input!Q$173&gt;0, Q18+Q50+Q225, 0)</f>
        <v>0</v>
      </c>
      <c r="S18" s="332" t="s">
        <v>133</v>
      </c>
      <c r="T18" s="108"/>
      <c r="U18" s="108"/>
      <c r="V18" s="108"/>
      <c r="W18" s="108"/>
      <c r="X18" s="108"/>
      <c r="Y18" s="108"/>
      <c r="Z18" s="108"/>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row>
    <row r="19" spans="1:61" s="192" customFormat="1" outlineLevel="1">
      <c r="A19" s="9"/>
      <c r="B19" s="46"/>
      <c r="C19" s="132" t="str">
        <f>Asset12</f>
        <v>Metering</v>
      </c>
      <c r="D19" s="9"/>
      <c r="E19" s="9"/>
      <c r="F19" s="9"/>
      <c r="G19" s="198">
        <f>A12taxvalue</f>
        <v>34.311999999999998</v>
      </c>
      <c r="H19" s="113">
        <f t="shared" ref="H19:L19" si="13">G19+G51+G239</f>
        <v>68.381077562825439</v>
      </c>
      <c r="I19" s="113">
        <f t="shared" si="13"/>
        <v>65.547685365650878</v>
      </c>
      <c r="J19" s="113">
        <f t="shared" si="13"/>
        <v>62.714293168476324</v>
      </c>
      <c r="K19" s="113">
        <f t="shared" si="13"/>
        <v>59.88090097130177</v>
      </c>
      <c r="L19" s="113">
        <f t="shared" si="13"/>
        <v>57.047508774127216</v>
      </c>
      <c r="M19" s="333">
        <f>MAX(0,L19+L51+L239-S19)</f>
        <v>0</v>
      </c>
      <c r="N19" s="113">
        <f>IF(Input!M$173&gt;0, M19+M51+M239, 0)</f>
        <v>0</v>
      </c>
      <c r="O19" s="113">
        <f>IF(Input!N$173&gt;0, N19+N51+N239, 0)</f>
        <v>0</v>
      </c>
      <c r="P19" s="113">
        <f>IF(Input!O$173&gt;0, O19+O51+O239, 0)</f>
        <v>0</v>
      </c>
      <c r="Q19" s="113">
        <f>IF(Input!P$173&gt;0, P19+P51+P239, 0)</f>
        <v>0</v>
      </c>
      <c r="R19" s="113">
        <f>IF(Input!Q$173&gt;0, Q19+Q51+Q239, 0)</f>
        <v>0</v>
      </c>
      <c r="S19" s="331">
        <f>'[1]FD adjustments'!D8</f>
        <v>66.789964432013292</v>
      </c>
      <c r="T19" s="338">
        <f>MIN(0,L19+L51+L239-S19)</f>
        <v>-12.57584785506063</v>
      </c>
      <c r="U19" s="108"/>
      <c r="V19" s="108"/>
      <c r="W19" s="108"/>
      <c r="X19" s="108"/>
      <c r="Y19" s="108"/>
      <c r="Z19" s="108"/>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row>
    <row r="20" spans="1:61" s="192" customFormat="1" outlineLevel="1">
      <c r="A20" s="9"/>
      <c r="B20" s="46"/>
      <c r="C20" s="132" t="str">
        <f>Asset13</f>
        <v xml:space="preserve">Communications – Pilot Wires </v>
      </c>
      <c r="D20" s="9"/>
      <c r="E20" s="9"/>
      <c r="F20" s="9"/>
      <c r="G20" s="198">
        <f>A13taxvalue</f>
        <v>13.088317</v>
      </c>
      <c r="H20" s="113">
        <f t="shared" ref="H20:M20" si="14">G20+G52+G253</f>
        <v>20.00808446922693</v>
      </c>
      <c r="I20" s="113">
        <f t="shared" si="14"/>
        <v>17.825034038453857</v>
      </c>
      <c r="J20" s="113">
        <f t="shared" si="14"/>
        <v>15.641983607680785</v>
      </c>
      <c r="K20" s="113">
        <f t="shared" si="14"/>
        <v>13.458933176907713</v>
      </c>
      <c r="L20" s="113">
        <f t="shared" si="14"/>
        <v>11.275882746134641</v>
      </c>
      <c r="M20" s="113">
        <f t="shared" si="14"/>
        <v>9.0928323153615693</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row>
    <row r="21" spans="1:61" s="192" customFormat="1" outlineLevel="1">
      <c r="A21" s="9"/>
      <c r="B21" s="46"/>
      <c r="C21" s="132" t="str">
        <f>Asset14</f>
        <v>Generation Assets</v>
      </c>
      <c r="D21" s="9"/>
      <c r="E21" s="9"/>
      <c r="F21" s="9"/>
      <c r="G21" s="198">
        <f>A14taxvalue</f>
        <v>2.5321099999999999</v>
      </c>
      <c r="H21" s="113">
        <f t="shared" ref="H21:M21" si="15">G21+G53+G267</f>
        <v>2.1484167081291452</v>
      </c>
      <c r="I21" s="113">
        <f t="shared" si="15"/>
        <v>1.7647234162582905</v>
      </c>
      <c r="J21" s="113">
        <f t="shared" si="15"/>
        <v>1.3810301243874359</v>
      </c>
      <c r="K21" s="113">
        <f t="shared" si="15"/>
        <v>0.99733683251658123</v>
      </c>
      <c r="L21" s="113">
        <f t="shared" si="15"/>
        <v>0.61364354064572657</v>
      </c>
      <c r="M21" s="113">
        <f t="shared" si="15"/>
        <v>0.22995024877487197</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row>
    <row r="22" spans="1:61" s="192" customFormat="1" outlineLevel="1">
      <c r="A22" s="9"/>
      <c r="B22" s="46"/>
      <c r="C22" s="132" t="str">
        <f>Asset15</f>
        <v>Street Lighting</v>
      </c>
      <c r="D22" s="9"/>
      <c r="E22" s="9"/>
      <c r="F22" s="9"/>
      <c r="G22" s="198">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row>
    <row r="23" spans="1:61" s="192" customFormat="1" outlineLevel="1">
      <c r="A23" s="9"/>
      <c r="B23" s="46"/>
      <c r="C23" s="132" t="str">
        <f>Asset16</f>
        <v>Other Equipment</v>
      </c>
      <c r="D23" s="9"/>
      <c r="E23" s="9"/>
      <c r="F23" s="9"/>
      <c r="G23" s="198">
        <f>A16taxvalue</f>
        <v>17.082487</v>
      </c>
      <c r="H23" s="113">
        <f t="shared" ref="H23:M23" si="17">G23+G55+G295</f>
        <v>20.383643075117352</v>
      </c>
      <c r="I23" s="113">
        <f t="shared" si="17"/>
        <v>19.837523150234702</v>
      </c>
      <c r="J23" s="113">
        <f t="shared" si="17"/>
        <v>19.291403225352052</v>
      </c>
      <c r="K23" s="113">
        <f t="shared" si="17"/>
        <v>18.745283300469403</v>
      </c>
      <c r="L23" s="113">
        <f t="shared" si="17"/>
        <v>18.199163375586753</v>
      </c>
      <c r="M23" s="113">
        <f t="shared" si="17"/>
        <v>17.653043450704104</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row>
    <row r="24" spans="1:61" s="192" customFormat="1" outlineLevel="1">
      <c r="A24" s="9"/>
      <c r="B24" s="46"/>
      <c r="C24" s="132" t="str">
        <f>Asset17</f>
        <v>Control Centre - SCADA</v>
      </c>
      <c r="D24" s="9"/>
      <c r="E24" s="9"/>
      <c r="F24" s="9"/>
      <c r="G24" s="198">
        <f>A17taxvalue</f>
        <v>35.280799999999999</v>
      </c>
      <c r="H24" s="113">
        <f t="shared" ref="H24:M24" si="18">G24+G56+G309</f>
        <v>43.993890036196959</v>
      </c>
      <c r="I24" s="113">
        <f t="shared" si="18"/>
        <v>38.848810472393914</v>
      </c>
      <c r="J24" s="113">
        <f t="shared" si="18"/>
        <v>33.70373090859087</v>
      </c>
      <c r="K24" s="113">
        <f t="shared" si="18"/>
        <v>28.558651344787826</v>
      </c>
      <c r="L24" s="113">
        <f t="shared" si="18"/>
        <v>23.413571780984782</v>
      </c>
      <c r="M24" s="113">
        <f t="shared" si="18"/>
        <v>18.268492217181738</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row>
    <row r="25" spans="1:61" s="192" customFormat="1" outlineLevel="1">
      <c r="A25" s="9"/>
      <c r="B25" s="46"/>
      <c r="C25" s="132" t="str">
        <f>Asset18</f>
        <v>Land &amp; Easements (System)</v>
      </c>
      <c r="D25" s="9"/>
      <c r="E25" s="9"/>
      <c r="F25" s="9"/>
      <c r="G25" s="198">
        <f>A18taxvalue</f>
        <v>23.201557000000001</v>
      </c>
      <c r="H25" s="113">
        <f t="shared" ref="H25:M25" si="19">G25+G57+G323</f>
        <v>26.317697000000003</v>
      </c>
      <c r="I25" s="113">
        <f t="shared" si="19"/>
        <v>26.317697000000003</v>
      </c>
      <c r="J25" s="113">
        <f t="shared" si="19"/>
        <v>26.317697000000003</v>
      </c>
      <c r="K25" s="113">
        <f t="shared" si="19"/>
        <v>26.317697000000003</v>
      </c>
      <c r="L25" s="113">
        <f t="shared" si="19"/>
        <v>26.317697000000003</v>
      </c>
      <c r="M25" s="113">
        <f t="shared" si="19"/>
        <v>26.317697000000003</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row>
    <row r="26" spans="1:61" s="192" customFormat="1" outlineLevel="1">
      <c r="A26" s="9"/>
      <c r="B26" s="46"/>
      <c r="C26" s="132" t="str">
        <f>Asset19</f>
        <v>Metering Type 5-6</v>
      </c>
      <c r="D26" s="9"/>
      <c r="E26" s="9"/>
      <c r="F26" s="9"/>
      <c r="G26" s="198">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332" t="s">
        <v>132</v>
      </c>
      <c r="T26" s="331"/>
      <c r="U26" s="108"/>
      <c r="V26" s="108"/>
      <c r="W26" s="108"/>
      <c r="X26" s="108"/>
      <c r="Y26" s="108"/>
      <c r="Z26" s="108"/>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row>
    <row r="27" spans="1:61" s="192" customFormat="1" outlineLevel="1">
      <c r="A27" s="9"/>
      <c r="B27" s="46"/>
      <c r="C27" s="132" t="str">
        <f>Asset20</f>
        <v>Communications</v>
      </c>
      <c r="D27" s="9"/>
      <c r="E27" s="9"/>
      <c r="F27" s="9"/>
      <c r="G27" s="198">
        <f>A20taxvalue</f>
        <v>5.3760000000000003</v>
      </c>
      <c r="H27" s="113">
        <f t="shared" ref="H27:L27" si="21">G27+G59+G351</f>
        <v>5.1443538499624912</v>
      </c>
      <c r="I27" s="113">
        <f t="shared" si="21"/>
        <v>4.4417382999249817</v>
      </c>
      <c r="J27" s="113">
        <f t="shared" si="21"/>
        <v>3.7391227498874722</v>
      </c>
      <c r="K27" s="113">
        <f t="shared" si="21"/>
        <v>3.0365071998499626</v>
      </c>
      <c r="L27" s="113">
        <f t="shared" si="21"/>
        <v>2.3338916498124531</v>
      </c>
      <c r="M27" s="333">
        <f>MAX(0,L27+L59+L351-S27)</f>
        <v>0</v>
      </c>
      <c r="N27" s="113">
        <f>IF(Input!M$173&gt;0, M27+M59+M351, 0)</f>
        <v>0</v>
      </c>
      <c r="O27" s="113">
        <f>IF(Input!N$173&gt;0, N27+N59+N351, 0)</f>
        <v>0</v>
      </c>
      <c r="P27" s="113">
        <f>IF(Input!O$173&gt;0, O27+O59+O351, 0)</f>
        <v>0</v>
      </c>
      <c r="Q27" s="113">
        <f>IF(Input!P$173&gt;0, P27+P59+P351, 0)</f>
        <v>0</v>
      </c>
      <c r="R27" s="113">
        <f>IF(Input!Q$173&gt;0, Q27+Q59+Q351, 0)</f>
        <v>0</v>
      </c>
      <c r="S27" s="331">
        <f>'[1]FD adjustments'!D19</f>
        <v>2.4491860000000001</v>
      </c>
      <c r="T27" s="338">
        <f>MIN(0,L27+L59+L351-S27)</f>
        <v>-0.81790990022505627</v>
      </c>
      <c r="U27" s="108"/>
      <c r="V27" s="108"/>
      <c r="W27" s="108"/>
      <c r="X27" s="108"/>
      <c r="Y27" s="108"/>
      <c r="Z27" s="108"/>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row>
    <row r="28" spans="1:61" s="192" customFormat="1" outlineLevel="1">
      <c r="A28" s="9"/>
      <c r="B28" s="46"/>
      <c r="C28" s="132" t="str">
        <f>Asset21</f>
        <v>IT Systems</v>
      </c>
      <c r="D28" s="9"/>
      <c r="E28" s="9"/>
      <c r="F28" s="9"/>
      <c r="G28" s="198">
        <f>A21taxvalue</f>
        <v>20.367750000000001</v>
      </c>
      <c r="H28" s="113">
        <f t="shared" ref="H28:L28" si="22">G28+G60+G365</f>
        <v>63.547422538451279</v>
      </c>
      <c r="I28" s="113">
        <f t="shared" si="22"/>
        <v>44.98374257690255</v>
      </c>
      <c r="J28" s="113">
        <f t="shared" si="22"/>
        <v>26.420062615353821</v>
      </c>
      <c r="K28" s="113">
        <f t="shared" si="22"/>
        <v>12.348670500000001</v>
      </c>
      <c r="L28" s="113">
        <f t="shared" si="22"/>
        <v>0</v>
      </c>
      <c r="M28" s="333">
        <f>MAX(0,L28+L60+L365-S28)</f>
        <v>0</v>
      </c>
      <c r="N28" s="113">
        <f>IF(Input!M$173&gt;0, M28+M60+M365, 0)</f>
        <v>0</v>
      </c>
      <c r="O28" s="113">
        <f>IF(Input!N$173&gt;0, N28+N60+N365, 0)</f>
        <v>0</v>
      </c>
      <c r="P28" s="113">
        <f>IF(Input!O$173&gt;0, O28+O60+O365, 0)</f>
        <v>0</v>
      </c>
      <c r="Q28" s="113">
        <f>IF(Input!P$173&gt;0, P28+P60+P365, 0)</f>
        <v>0</v>
      </c>
      <c r="R28" s="113">
        <f>IF(Input!Q$173&gt;0, Q28+Q60+Q365, 0)</f>
        <v>0</v>
      </c>
      <c r="S28" s="331">
        <f>'[1]FD adjustments'!D20</f>
        <v>0.103163</v>
      </c>
      <c r="T28" s="338">
        <f>MIN(0,L28+L60+L365-S28)</f>
        <v>-0.103163</v>
      </c>
      <c r="U28" s="108"/>
      <c r="V28" s="108"/>
      <c r="W28" s="108"/>
      <c r="X28" s="108"/>
      <c r="Y28" s="108"/>
      <c r="Z28" s="108"/>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row>
    <row r="29" spans="1:61" s="192" customFormat="1" outlineLevel="1">
      <c r="A29" s="9"/>
      <c r="B29" s="46"/>
      <c r="C29" s="132" t="str">
        <f>Asset22</f>
        <v>Office Equipment &amp; Furniture</v>
      </c>
      <c r="D29" s="9"/>
      <c r="E29" s="9"/>
      <c r="F29" s="9"/>
      <c r="G29" s="198">
        <f>A22taxvalue</f>
        <v>7.7268999999999997</v>
      </c>
      <c r="H29" s="113">
        <f t="shared" ref="H29:L29" si="23">G29+G61+G379</f>
        <v>8.394494547958109</v>
      </c>
      <c r="I29" s="113">
        <f t="shared" si="23"/>
        <v>7.3732502959162183</v>
      </c>
      <c r="J29" s="113">
        <f t="shared" si="23"/>
        <v>6.3520060438743275</v>
      </c>
      <c r="K29" s="113">
        <f t="shared" si="23"/>
        <v>5.3307617918324368</v>
      </c>
      <c r="L29" s="113">
        <f t="shared" si="23"/>
        <v>4.3095175397905461</v>
      </c>
      <c r="M29" s="334">
        <f>MAX(0,L29+L61+L379-S29)</f>
        <v>3.0125632877486552</v>
      </c>
      <c r="N29" s="113">
        <f>IF(Input!M$173&gt;0, M29+M61+M379, 0)</f>
        <v>0</v>
      </c>
      <c r="O29" s="113">
        <f>IF(Input!N$173&gt;0, N29+N61+N379, 0)</f>
        <v>0</v>
      </c>
      <c r="P29" s="113">
        <f>IF(Input!O$173&gt;0, O29+O61+O379, 0)</f>
        <v>0</v>
      </c>
      <c r="Q29" s="113">
        <f>IF(Input!P$173&gt;0, P29+P61+P379, 0)</f>
        <v>0</v>
      </c>
      <c r="R29" s="113">
        <f>IF(Input!Q$173&gt;0, Q29+Q61+Q379, 0)</f>
        <v>0</v>
      </c>
      <c r="S29" s="331">
        <f>'[1]FD adjustments'!D21</f>
        <v>0.27571000000000001</v>
      </c>
      <c r="T29" s="339">
        <f>MIN(0,L29+L61+L379-S29)</f>
        <v>0</v>
      </c>
      <c r="U29" s="108"/>
      <c r="V29" s="108"/>
      <c r="W29" s="108"/>
      <c r="X29" s="108"/>
      <c r="Y29" s="108"/>
      <c r="Z29" s="108"/>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row>
    <row r="30" spans="1:61" s="192" customFormat="1" outlineLevel="1">
      <c r="A30" s="9"/>
      <c r="B30" s="46"/>
      <c r="C30" s="132" t="str">
        <f>Asset23</f>
        <v>Motor Vehicles</v>
      </c>
      <c r="D30" s="9"/>
      <c r="E30" s="9"/>
      <c r="F30" s="9"/>
      <c r="G30" s="198">
        <f>A23taxvalue</f>
        <v>81.968963000000002</v>
      </c>
      <c r="H30" s="113">
        <f t="shared" ref="H30:L30" si="24">G30+G62+G393</f>
        <v>90.324056517197889</v>
      </c>
      <c r="I30" s="113">
        <f t="shared" si="24"/>
        <v>82.528259515877252</v>
      </c>
      <c r="J30" s="113">
        <f t="shared" si="24"/>
        <v>74.732462514556616</v>
      </c>
      <c r="K30" s="113">
        <f t="shared" si="24"/>
        <v>66.93666551323598</v>
      </c>
      <c r="L30" s="113">
        <f t="shared" si="24"/>
        <v>59.140868511915343</v>
      </c>
      <c r="M30" s="335">
        <f>MAX(0,L30+L62+L393-S30)</f>
        <v>44.785147510594705</v>
      </c>
      <c r="N30" s="113">
        <f>IF(Input!M$173&gt;0, M30+M62+M393, 0)</f>
        <v>0</v>
      </c>
      <c r="O30" s="113">
        <f>IF(Input!N$173&gt;0, N30+N62+N393, 0)</f>
        <v>0</v>
      </c>
      <c r="P30" s="113">
        <f>IF(Input!O$173&gt;0, O30+O62+O393, 0)</f>
        <v>0</v>
      </c>
      <c r="Q30" s="113">
        <f>IF(Input!P$173&gt;0, P30+P62+P393, 0)</f>
        <v>0</v>
      </c>
      <c r="R30" s="113">
        <f>IF(Input!Q$173&gt;0, Q30+Q62+Q393, 0)</f>
        <v>0</v>
      </c>
      <c r="S30" s="331">
        <f>'[1]FD adjustments'!D22</f>
        <v>6.5599239999999996</v>
      </c>
      <c r="T30" s="340">
        <f>MIN(0,L30+L62+L393-S30)</f>
        <v>0</v>
      </c>
      <c r="U30" s="108"/>
      <c r="V30" s="108"/>
      <c r="W30" s="108"/>
      <c r="X30" s="108"/>
      <c r="Y30" s="108"/>
      <c r="Z30" s="108"/>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row>
    <row r="31" spans="1:61" s="192" customFormat="1" outlineLevel="1">
      <c r="A31" s="9"/>
      <c r="B31" s="46"/>
      <c r="C31" s="132" t="str">
        <f>Asset24</f>
        <v>Plant &amp; Equipment</v>
      </c>
      <c r="D31" s="9"/>
      <c r="E31" s="9"/>
      <c r="F31" s="9"/>
      <c r="G31" s="198">
        <f>A24taxvalue</f>
        <v>66.544799999999995</v>
      </c>
      <c r="H31" s="113">
        <f t="shared" ref="H31:L31" si="25">G31+G63+G407</f>
        <v>63.41159960725664</v>
      </c>
      <c r="I31" s="113">
        <f t="shared" si="25"/>
        <v>43.008062814513281</v>
      </c>
      <c r="J31" s="113">
        <f t="shared" si="25"/>
        <v>22.604526021769924</v>
      </c>
      <c r="K31" s="113">
        <f t="shared" si="25"/>
        <v>5.7567787999999993</v>
      </c>
      <c r="L31" s="113">
        <f t="shared" si="25"/>
        <v>2.8783893999999992</v>
      </c>
      <c r="M31" s="333">
        <f>MAX(0,L31+L63+L407-S31)</f>
        <v>0</v>
      </c>
      <c r="N31" s="113">
        <f>IF(Input!M$173&gt;0, M31+M63+M407, 0)</f>
        <v>0</v>
      </c>
      <c r="O31" s="113">
        <f>IF(Input!N$173&gt;0, N31+N63+N407, 0)</f>
        <v>0</v>
      </c>
      <c r="P31" s="113">
        <f>IF(Input!O$173&gt;0, O31+O63+O407, 0)</f>
        <v>0</v>
      </c>
      <c r="Q31" s="113">
        <f>IF(Input!P$173&gt;0, P31+P63+P407, 0)</f>
        <v>0</v>
      </c>
      <c r="R31" s="113">
        <f>IF(Input!Q$173&gt;0, Q31+Q63+Q407, 0)</f>
        <v>0</v>
      </c>
      <c r="S31" s="331">
        <f>'[1]FD adjustments'!D23</f>
        <v>0.33858100000000002</v>
      </c>
      <c r="T31" s="338">
        <f>MIN(0,L31+L63+L407-S31)</f>
        <v>-0.33858100000000091</v>
      </c>
      <c r="U31" s="108"/>
      <c r="V31" s="108"/>
      <c r="W31" s="108"/>
      <c r="X31" s="108"/>
      <c r="Y31" s="108"/>
      <c r="Z31" s="108"/>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row>
    <row r="32" spans="1:61" s="192" customFormat="1" outlineLevel="1">
      <c r="A32" s="9"/>
      <c r="B32" s="46"/>
      <c r="C32" s="132" t="str">
        <f>Asset25</f>
        <v>Buildings</v>
      </c>
      <c r="D32" s="9"/>
      <c r="E32" s="9"/>
      <c r="F32" s="9"/>
      <c r="G32" s="198">
        <f>A25taxvalue</f>
        <v>136.33266</v>
      </c>
      <c r="H32" s="113">
        <f t="shared" ref="H32:L32" si="26">G32+G64+G421</f>
        <v>161.84764297750661</v>
      </c>
      <c r="I32" s="113">
        <f t="shared" si="26"/>
        <v>155.87878848001321</v>
      </c>
      <c r="J32" s="113">
        <f t="shared" si="26"/>
        <v>149.90993398251982</v>
      </c>
      <c r="K32" s="113">
        <f t="shared" si="26"/>
        <v>143.94107948502642</v>
      </c>
      <c r="L32" s="113">
        <f t="shared" si="26"/>
        <v>137.97222498753302</v>
      </c>
      <c r="M32" s="335">
        <f>MAX(0,L32+L64+L421-S32)</f>
        <v>126.21884249003963</v>
      </c>
      <c r="N32" s="113">
        <f>IF(Input!M$173&gt;0, M32+M64+M421, 0)</f>
        <v>0</v>
      </c>
      <c r="O32" s="113">
        <f>IF(Input!N$173&gt;0, N32+N64+N421, 0)</f>
        <v>0</v>
      </c>
      <c r="P32" s="113">
        <f>IF(Input!O$173&gt;0, O32+O64+O421, 0)</f>
        <v>0</v>
      </c>
      <c r="Q32" s="113">
        <f>IF(Input!P$173&gt;0, P32+P64+P421, 0)</f>
        <v>0</v>
      </c>
      <c r="R32" s="113">
        <f>IF(Input!Q$173&gt;0, Q32+Q64+Q421, 0)</f>
        <v>0</v>
      </c>
      <c r="S32" s="331">
        <f>'[1]FD adjustments'!D24</f>
        <v>5.7845279999999999</v>
      </c>
      <c r="T32" s="340">
        <f>MIN(0,L32+L64+L421-S32)</f>
        <v>0</v>
      </c>
      <c r="U32" s="108"/>
      <c r="V32" s="108"/>
      <c r="W32" s="108"/>
      <c r="X32" s="108"/>
      <c r="Y32" s="108"/>
      <c r="Z32" s="108"/>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row>
    <row r="33" spans="1:61" s="192" customFormat="1" outlineLevel="1">
      <c r="A33" s="9"/>
      <c r="B33" s="46"/>
      <c r="C33" s="132" t="str">
        <f>Asset26</f>
        <v>Land &amp; Easements</v>
      </c>
      <c r="D33" s="9"/>
      <c r="E33" s="9"/>
      <c r="F33" s="9"/>
      <c r="G33" s="198">
        <f>A26taxvalue</f>
        <v>26.824276000000001</v>
      </c>
      <c r="H33" s="113">
        <f t="shared" ref="H33:M33" si="27">G33+G65+G435</f>
        <v>27.759779000000002</v>
      </c>
      <c r="I33" s="113">
        <f t="shared" si="27"/>
        <v>27.759779000000002</v>
      </c>
      <c r="J33" s="113">
        <f t="shared" si="27"/>
        <v>27.759779000000002</v>
      </c>
      <c r="K33" s="113">
        <f t="shared" si="27"/>
        <v>27.759779000000002</v>
      </c>
      <c r="L33" s="113">
        <f t="shared" si="27"/>
        <v>27.759779000000002</v>
      </c>
      <c r="M33" s="113">
        <f t="shared" si="27"/>
        <v>27.759779000000002</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row>
    <row r="34" spans="1:61" s="192" customFormat="1" outlineLevel="1">
      <c r="A34" s="9"/>
      <c r="B34" s="46"/>
      <c r="C34" s="132" t="str">
        <f>Asset27</f>
        <v>Land Improvements</v>
      </c>
      <c r="D34" s="9"/>
      <c r="E34" s="9"/>
      <c r="F34" s="9"/>
      <c r="G34" s="198">
        <f>A27taxvalue</f>
        <v>11.301925000000001</v>
      </c>
      <c r="H34" s="113">
        <f t="shared" ref="H34:M34" si="28">G34+G66+G449</f>
        <v>16.383138000000002</v>
      </c>
      <c r="I34" s="113">
        <f t="shared" si="28"/>
        <v>15.962470800000002</v>
      </c>
      <c r="J34" s="113">
        <f t="shared" si="28"/>
        <v>15.541803600000001</v>
      </c>
      <c r="K34" s="113">
        <f t="shared" si="28"/>
        <v>15.121136400000001</v>
      </c>
      <c r="L34" s="113">
        <f t="shared" si="28"/>
        <v>14.700469200000001</v>
      </c>
      <c r="M34" s="113">
        <f t="shared" si="28"/>
        <v>14.279802</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row>
    <row r="35" spans="1:61" s="192" customFormat="1" outlineLevel="1">
      <c r="A35" s="9"/>
      <c r="B35" s="46"/>
      <c r="C35" s="132" t="str">
        <f>Asset28</f>
        <v>Equity Raising Costs</v>
      </c>
      <c r="D35" s="9"/>
      <c r="E35" s="9"/>
      <c r="F35" s="9"/>
      <c r="G35" s="198">
        <f>A28taxvalue</f>
        <v>0</v>
      </c>
      <c r="H35" s="113">
        <f t="shared" ref="H35:M35" si="29">G35+G67+G463</f>
        <v>0</v>
      </c>
      <c r="I35" s="113">
        <f t="shared" si="29"/>
        <v>0</v>
      </c>
      <c r="J35" s="113">
        <f t="shared" si="29"/>
        <v>0</v>
      </c>
      <c r="K35" s="113">
        <f t="shared" si="29"/>
        <v>0</v>
      </c>
      <c r="L35" s="113">
        <f t="shared" si="29"/>
        <v>0</v>
      </c>
      <c r="M35" s="113">
        <f t="shared" si="29"/>
        <v>0</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row>
    <row r="36" spans="1:61" s="192" customFormat="1" outlineLevel="1">
      <c r="A36" s="9"/>
      <c r="B36" s="46"/>
      <c r="C36" s="132" t="str">
        <f>Asset29</f>
        <v>Not Used</v>
      </c>
      <c r="D36" s="9"/>
      <c r="E36" s="9"/>
      <c r="F36" s="9"/>
      <c r="G36" s="198">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row>
    <row r="37" spans="1:61" s="192" customFormat="1" outlineLevel="1">
      <c r="A37" s="9"/>
      <c r="B37" s="46"/>
      <c r="C37" s="132" t="str">
        <f>Asset30</f>
        <v>Not Used</v>
      </c>
      <c r="D37" s="9"/>
      <c r="E37" s="9"/>
      <c r="F37" s="9"/>
      <c r="G37" s="198">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row>
    <row r="38" spans="1:61" s="192" customFormat="1">
      <c r="A38" s="12"/>
      <c r="B38" s="17"/>
      <c r="C38" s="12"/>
      <c r="D38" s="12"/>
      <c r="E38" s="12"/>
      <c r="F38" s="117"/>
      <c r="G38" s="210"/>
      <c r="H38" s="108"/>
      <c r="I38" s="108"/>
      <c r="J38" s="108"/>
      <c r="K38" s="108"/>
      <c r="L38" s="108"/>
      <c r="M38" s="108"/>
      <c r="N38" s="108"/>
      <c r="O38" s="108"/>
      <c r="P38" s="108"/>
      <c r="Q38" s="108"/>
      <c r="R38" s="108"/>
      <c r="S38" s="108"/>
      <c r="T38" s="108"/>
      <c r="U38" s="108"/>
      <c r="V38" s="108"/>
      <c r="W38" s="108"/>
      <c r="X38" s="108"/>
      <c r="Y38" s="108"/>
      <c r="Z38" s="108"/>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row>
    <row r="39" spans="1:61" s="192" customFormat="1">
      <c r="A39" s="12"/>
      <c r="B39" s="46" t="s">
        <v>70</v>
      </c>
      <c r="C39" s="9"/>
      <c r="D39" s="12"/>
      <c r="E39" s="12"/>
      <c r="F39" s="117"/>
      <c r="G39" s="210">
        <f t="shared" ref="G39:L39" si="32">SUM(G40:G69)</f>
        <v>661.54837499999996</v>
      </c>
      <c r="H39" s="108">
        <f t="shared" si="32"/>
        <v>0</v>
      </c>
      <c r="I39" s="108">
        <f t="shared" si="32"/>
        <v>0</v>
      </c>
      <c r="J39" s="108">
        <f t="shared" si="32"/>
        <v>0</v>
      </c>
      <c r="K39" s="108">
        <f t="shared" si="32"/>
        <v>0</v>
      </c>
      <c r="L39" s="108">
        <f t="shared" si="32"/>
        <v>0</v>
      </c>
      <c r="M39" s="108">
        <f>SUM(M40:M69)</f>
        <v>0</v>
      </c>
      <c r="N39" s="108">
        <f>SUM(N40:N69)</f>
        <v>0</v>
      </c>
      <c r="O39" s="108">
        <f>SUM(O40:O69)</f>
        <v>0</v>
      </c>
      <c r="P39" s="108">
        <f>SUM(P40:P69)</f>
        <v>0</v>
      </c>
      <c r="Q39" s="108">
        <f>SUM(Q40:Q69)</f>
        <v>0</v>
      </c>
      <c r="R39" s="108"/>
      <c r="S39" s="108"/>
      <c r="T39" s="108"/>
      <c r="U39" s="108"/>
      <c r="V39" s="108"/>
      <c r="W39" s="108"/>
      <c r="X39" s="108"/>
      <c r="Y39" s="108"/>
      <c r="Z39" s="108"/>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row>
    <row r="40" spans="1:61" s="192" customFormat="1" hidden="1" outlineLevel="1">
      <c r="A40" s="12"/>
      <c r="B40" s="9"/>
      <c r="C40" s="132" t="str">
        <f>Asset1</f>
        <v>Overhead Sub-Transmission Lines</v>
      </c>
      <c r="D40" s="12"/>
      <c r="E40" s="12"/>
      <c r="F40" s="117"/>
      <c r="G40" s="210">
        <f>Input!G41-Input!G75</f>
        <v>53.059756</v>
      </c>
      <c r="H40" s="108">
        <f>Input!H41-Input!H75</f>
        <v>0</v>
      </c>
      <c r="I40" s="108">
        <f>Input!I41-Input!I75</f>
        <v>0</v>
      </c>
      <c r="J40" s="108">
        <f>Input!J41-Input!J75</f>
        <v>0</v>
      </c>
      <c r="K40" s="108">
        <f>Input!K41-Input!K75</f>
        <v>0</v>
      </c>
      <c r="L40" s="108">
        <f>Input!L41-Input!L75</f>
        <v>0</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row>
    <row r="41" spans="1:61" s="192" customFormat="1" hidden="1" outlineLevel="1">
      <c r="A41" s="12"/>
      <c r="B41" s="46"/>
      <c r="C41" s="132" t="str">
        <f>Asset2</f>
        <v>Underground Sub-Transmission Cables</v>
      </c>
      <c r="D41" s="12"/>
      <c r="E41" s="12"/>
      <c r="F41" s="117"/>
      <c r="G41" s="210">
        <f>Input!G42-Input!G76</f>
        <v>0.432778</v>
      </c>
      <c r="H41" s="108">
        <f>Input!H42-Input!H76</f>
        <v>0</v>
      </c>
      <c r="I41" s="108">
        <f>Input!I42-Input!I76</f>
        <v>0</v>
      </c>
      <c r="J41" s="108">
        <f>Input!J42-Input!J76</f>
        <v>0</v>
      </c>
      <c r="K41" s="108">
        <f>Input!K42-Input!K76</f>
        <v>0</v>
      </c>
      <c r="L41" s="108">
        <f>Input!L42-Input!L76</f>
        <v>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row>
    <row r="42" spans="1:61" s="192" customFormat="1" hidden="1" outlineLevel="1">
      <c r="A42" s="12"/>
      <c r="B42" s="46"/>
      <c r="C42" s="132" t="str">
        <f>Asset3</f>
        <v>Overhead Distribution Lines</v>
      </c>
      <c r="D42" s="12"/>
      <c r="E42" s="12"/>
      <c r="F42" s="117"/>
      <c r="G42" s="210">
        <f>Input!G43-Input!G77</f>
        <v>81.441964999999996</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row>
    <row r="43" spans="1:61" s="192" customFormat="1" hidden="1" outlineLevel="1">
      <c r="A43" s="12"/>
      <c r="B43" s="46"/>
      <c r="C43" s="132" t="str">
        <f>Asset4</f>
        <v>Underground Distribution Cables</v>
      </c>
      <c r="D43" s="12"/>
      <c r="E43" s="12"/>
      <c r="F43" s="117"/>
      <c r="G43" s="210">
        <f>Input!G44-Input!G78</f>
        <v>58.82246</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row>
    <row r="44" spans="1:61" s="192" customFormat="1" hidden="1" outlineLevel="1">
      <c r="A44" s="12"/>
      <c r="B44" s="46"/>
      <c r="C44" s="132" t="str">
        <f>Asset5</f>
        <v xml:space="preserve">Distribution Equipment  </v>
      </c>
      <c r="D44" s="12"/>
      <c r="E44" s="12"/>
      <c r="F44" s="117"/>
      <c r="G44" s="210">
        <f>Input!G45-Input!G79</f>
        <v>2.4935900000000002</v>
      </c>
      <c r="H44" s="108">
        <f>Input!H45-Input!H79</f>
        <v>0</v>
      </c>
      <c r="I44" s="108">
        <f>Input!I45-Input!I79</f>
        <v>0</v>
      </c>
      <c r="J44" s="108">
        <f>Input!J45-Input!J79</f>
        <v>0</v>
      </c>
      <c r="K44" s="108">
        <f>Input!K45-Input!K79</f>
        <v>0</v>
      </c>
      <c r="L44" s="108">
        <f>Input!L45-Input!L79</f>
        <v>0</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row>
    <row r="45" spans="1:61" s="192" customFormat="1" hidden="1" outlineLevel="1">
      <c r="A45" s="12"/>
      <c r="B45" s="46"/>
      <c r="C45" s="132" t="str">
        <f>Asset6</f>
        <v>Substation Bays</v>
      </c>
      <c r="D45" s="12"/>
      <c r="E45" s="12"/>
      <c r="F45" s="117"/>
      <c r="G45" s="210">
        <f>Input!G46-Input!G80</f>
        <v>107.019395</v>
      </c>
      <c r="H45" s="108">
        <f>Input!H46-Input!H80</f>
        <v>0</v>
      </c>
      <c r="I45" s="108">
        <f>Input!I46-Input!I80</f>
        <v>0</v>
      </c>
      <c r="J45" s="108">
        <f>Input!J46-Input!J80</f>
        <v>0</v>
      </c>
      <c r="K45" s="108">
        <f>Input!K46-Input!K80</f>
        <v>0</v>
      </c>
      <c r="L45" s="108">
        <f>Input!L46-Input!L80</f>
        <v>0</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row>
    <row r="46" spans="1:61" s="192" customFormat="1" hidden="1" outlineLevel="1">
      <c r="A46" s="12"/>
      <c r="B46" s="46"/>
      <c r="C46" s="132" t="str">
        <f>Asset7</f>
        <v>Substation Establishment</v>
      </c>
      <c r="D46" s="12"/>
      <c r="E46" s="12"/>
      <c r="F46" s="117"/>
      <c r="G46" s="210">
        <f>Input!G47-Input!G81</f>
        <v>17.472391999999999</v>
      </c>
      <c r="H46" s="108">
        <f>Input!H47-Input!H81</f>
        <v>0</v>
      </c>
      <c r="I46" s="108">
        <f>Input!I47-Input!I81</f>
        <v>0</v>
      </c>
      <c r="J46" s="108">
        <f>Input!J47-Input!J81</f>
        <v>0</v>
      </c>
      <c r="K46" s="108">
        <f>Input!K47-Input!K81</f>
        <v>0</v>
      </c>
      <c r="L46" s="108">
        <f>Input!L47-Input!L81</f>
        <v>0</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row>
    <row r="47" spans="1:61" s="192" customFormat="1" hidden="1" outlineLevel="1">
      <c r="A47" s="12"/>
      <c r="B47" s="46"/>
      <c r="C47" s="132" t="str">
        <f>Asset8</f>
        <v>Distribution Substation Switchgear</v>
      </c>
      <c r="D47" s="12"/>
      <c r="E47" s="12"/>
      <c r="F47" s="117"/>
      <c r="G47" s="210">
        <f>Input!G48-Input!G82</f>
        <v>22.587323999999999</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row>
    <row r="48" spans="1:61" s="192" customFormat="1" hidden="1" outlineLevel="1">
      <c r="A48" s="12"/>
      <c r="B48" s="46"/>
      <c r="C48" s="132" t="str">
        <f>Asset9</f>
        <v>Zone Transformers</v>
      </c>
      <c r="D48" s="12"/>
      <c r="E48" s="12"/>
      <c r="F48" s="117"/>
      <c r="G48" s="210">
        <f>Input!G49-Input!G83</f>
        <v>42.677061999999999</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row>
    <row r="49" spans="1:61" s="192" customFormat="1" hidden="1" outlineLevel="1">
      <c r="A49" s="12"/>
      <c r="B49" s="46"/>
      <c r="C49" s="132" t="str">
        <f>Asset10</f>
        <v>Distribution Transformers</v>
      </c>
      <c r="D49" s="12"/>
      <c r="E49" s="12"/>
      <c r="F49" s="117"/>
      <c r="G49" s="210">
        <f>Input!G50-Input!G84</f>
        <v>81.151724000000002</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row>
    <row r="50" spans="1:61" s="192" customFormat="1" hidden="1" outlineLevel="1">
      <c r="A50" s="12"/>
      <c r="B50" s="46"/>
      <c r="C50" s="132" t="str">
        <f>Asset11</f>
        <v>Low Voltage Services</v>
      </c>
      <c r="D50" s="12"/>
      <c r="E50" s="12"/>
      <c r="F50" s="117"/>
      <c r="G50" s="210">
        <f>Input!G51-Input!G85</f>
        <v>13.357322999999999</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row>
    <row r="51" spans="1:61" s="192" customFormat="1" hidden="1" outlineLevel="1">
      <c r="A51" s="12"/>
      <c r="B51" s="46"/>
      <c r="C51" s="132" t="str">
        <f>Asset12</f>
        <v>Metering</v>
      </c>
      <c r="D51" s="12"/>
      <c r="E51" s="12"/>
      <c r="F51" s="117"/>
      <c r="G51" s="210">
        <f>Input!G52-Input!G86</f>
        <v>35.483144000000003</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row>
    <row r="52" spans="1:61" s="192" customFormat="1" hidden="1" outlineLevel="1">
      <c r="A52" s="12"/>
      <c r="B52" s="46"/>
      <c r="C52" s="132" t="str">
        <f>Asset13</f>
        <v xml:space="preserve">Communications – Pilot Wires </v>
      </c>
      <c r="D52" s="12"/>
      <c r="E52" s="12"/>
      <c r="F52" s="117"/>
      <c r="G52" s="210">
        <f>Input!G53-Input!G87</f>
        <v>8.2752890000000008</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row>
    <row r="53" spans="1:61" s="192" customFormat="1" hidden="1" outlineLevel="1">
      <c r="A53" s="12"/>
      <c r="B53" s="46"/>
      <c r="C53" s="132" t="str">
        <f>Asset14</f>
        <v>Generation Assets</v>
      </c>
      <c r="D53" s="12"/>
      <c r="E53" s="12"/>
      <c r="F53" s="117"/>
      <c r="G53" s="210">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row>
    <row r="54" spans="1:61" s="192" customFormat="1" hidden="1" outlineLevel="1">
      <c r="A54" s="12"/>
      <c r="B54" s="46"/>
      <c r="C54" s="132" t="str">
        <f>Asset15</f>
        <v>Street Lighting</v>
      </c>
      <c r="D54" s="12"/>
      <c r="E54" s="12"/>
      <c r="F54" s="117"/>
      <c r="G54" s="210">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row>
    <row r="55" spans="1:61" s="192" customFormat="1" hidden="1" outlineLevel="1">
      <c r="A55" s="12"/>
      <c r="B55" s="46"/>
      <c r="C55" s="132" t="str">
        <f>Asset16</f>
        <v>Other Equipment</v>
      </c>
      <c r="D55" s="12"/>
      <c r="E55" s="12"/>
      <c r="F55" s="117"/>
      <c r="G55" s="210">
        <f>Input!G56-Input!G90</f>
        <v>3.7534399999999999</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row>
    <row r="56" spans="1:61" s="192" customFormat="1" hidden="1" outlineLevel="1">
      <c r="A56" s="12"/>
      <c r="B56" s="46"/>
      <c r="C56" s="132" t="str">
        <f>Asset17</f>
        <v>Control Centre - SCADA</v>
      </c>
      <c r="D56" s="12"/>
      <c r="E56" s="12"/>
      <c r="F56" s="117"/>
      <c r="G56" s="210">
        <f>Input!G57-Input!G91</f>
        <v>12.598336</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row>
    <row r="57" spans="1:61" s="192" customFormat="1" hidden="1" outlineLevel="1">
      <c r="A57" s="12"/>
      <c r="B57" s="46"/>
      <c r="C57" s="132" t="str">
        <f>Asset18</f>
        <v>Land &amp; Easements (System)</v>
      </c>
      <c r="D57" s="12"/>
      <c r="E57" s="12"/>
      <c r="F57" s="117"/>
      <c r="G57" s="210">
        <f>Input!G58-Input!G92</f>
        <v>3.1161400000000001</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row>
    <row r="58" spans="1:61" s="192" customFormat="1" hidden="1" outlineLevel="1">
      <c r="A58" s="12"/>
      <c r="B58" s="46"/>
      <c r="C58" s="132" t="str">
        <f>Asset19</f>
        <v>Metering Type 5-6</v>
      </c>
      <c r="D58" s="12"/>
      <c r="E58" s="12"/>
      <c r="F58" s="117"/>
      <c r="G58" s="210">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row>
    <row r="59" spans="1:61" s="192" customFormat="1" hidden="1" outlineLevel="1">
      <c r="A59" s="12"/>
      <c r="B59" s="46"/>
      <c r="C59" s="132" t="str">
        <f>Asset20</f>
        <v>Communications</v>
      </c>
      <c r="D59" s="12"/>
      <c r="E59" s="12"/>
      <c r="F59" s="117"/>
      <c r="G59" s="210">
        <f>Input!G60-Input!G94</f>
        <v>0.42815399999999998</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row>
    <row r="60" spans="1:61" s="192" customFormat="1" hidden="1" outlineLevel="1">
      <c r="A60" s="12"/>
      <c r="B60" s="46"/>
      <c r="C60" s="132" t="str">
        <f>Asset21</f>
        <v>IT Systems</v>
      </c>
      <c r="D60" s="12"/>
      <c r="E60" s="12"/>
      <c r="F60" s="117"/>
      <c r="G60" s="210">
        <f>Input!G61-Input!G95</f>
        <v>49.394682000000003</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row>
    <row r="61" spans="1:61" s="192" customFormat="1" hidden="1" outlineLevel="1">
      <c r="A61" s="12"/>
      <c r="B61" s="46"/>
      <c r="C61" s="132" t="str">
        <f>Asset22</f>
        <v>Office Equipment &amp; Furniture</v>
      </c>
      <c r="D61" s="12"/>
      <c r="E61" s="12"/>
      <c r="F61" s="117"/>
      <c r="G61" s="210">
        <f>Input!G62-Input!G96</f>
        <v>1.5353080000000001</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row>
    <row r="62" spans="1:61" s="192" customFormat="1" hidden="1" outlineLevel="1">
      <c r="A62" s="12"/>
      <c r="B62" s="46"/>
      <c r="C62" s="132" t="str">
        <f>Asset23</f>
        <v>Motor Vehicles</v>
      </c>
      <c r="D62" s="12"/>
      <c r="E62" s="12"/>
      <c r="F62" s="117"/>
      <c r="G62" s="210">
        <f>Input!G63-Input!G97</f>
        <v>15.037036000000001</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row>
    <row r="63" spans="1:61" s="192" customFormat="1" hidden="1" outlineLevel="1">
      <c r="A63" s="12"/>
      <c r="B63" s="46"/>
      <c r="C63" s="132" t="str">
        <f>Asset24</f>
        <v>Plant &amp; Equipment</v>
      </c>
      <c r="D63" s="12"/>
      <c r="E63" s="12"/>
      <c r="F63" s="117"/>
      <c r="G63" s="210">
        <f>Input!G64-Input!G98</f>
        <v>14.391947</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row>
    <row r="64" spans="1:61" s="192" customFormat="1" hidden="1" outlineLevel="1">
      <c r="A64" s="12"/>
      <c r="B64" s="46"/>
      <c r="C64" s="132" t="str">
        <f>Asset25</f>
        <v>Buildings</v>
      </c>
      <c r="D64" s="12"/>
      <c r="E64" s="12"/>
      <c r="F64" s="117"/>
      <c r="G64" s="210">
        <f>Input!G65-Input!G99</f>
        <v>30.715939000000002</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row>
    <row r="65" spans="1:61" s="192" customFormat="1" hidden="1" outlineLevel="1">
      <c r="A65" s="12"/>
      <c r="B65" s="46"/>
      <c r="C65" s="132" t="str">
        <f>Asset26</f>
        <v>Land &amp; Easements</v>
      </c>
      <c r="D65" s="12"/>
      <c r="E65" s="12"/>
      <c r="F65" s="117"/>
      <c r="G65" s="210">
        <f>Input!G66-Input!G100</f>
        <v>0.93550299999999997</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row>
    <row r="66" spans="1:61" s="192" customFormat="1" hidden="1" outlineLevel="1">
      <c r="A66" s="12"/>
      <c r="B66" s="46"/>
      <c r="C66" s="132" t="str">
        <f>Asset27</f>
        <v>Land Improvements</v>
      </c>
      <c r="D66" s="12"/>
      <c r="E66" s="12"/>
      <c r="F66" s="117"/>
      <c r="G66" s="210">
        <f>Input!G67-Input!G101</f>
        <v>5.3676880000000002</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row>
    <row r="67" spans="1:61" s="192" customFormat="1" hidden="1" outlineLevel="1">
      <c r="A67" s="12"/>
      <c r="B67" s="46"/>
      <c r="C67" s="132" t="str">
        <f>Asset28</f>
        <v>Equity Raising Costs</v>
      </c>
      <c r="D67" s="12"/>
      <c r="E67" s="12"/>
      <c r="F67" s="117"/>
      <c r="G67" s="210">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row>
    <row r="68" spans="1:61" s="192" customFormat="1" hidden="1" outlineLevel="1">
      <c r="A68" s="12"/>
      <c r="B68" s="46"/>
      <c r="C68" s="132" t="str">
        <f>Asset29</f>
        <v>Not Used</v>
      </c>
      <c r="D68" s="12"/>
      <c r="E68" s="12"/>
      <c r="F68" s="117"/>
      <c r="G68" s="210">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row>
    <row r="69" spans="1:61" s="192" customFormat="1" hidden="1" outlineLevel="1">
      <c r="A69" s="12"/>
      <c r="B69" s="46"/>
      <c r="C69" s="132" t="str">
        <f>Asset30</f>
        <v>Not Used</v>
      </c>
      <c r="D69" s="12"/>
      <c r="E69" s="12"/>
      <c r="F69" s="117"/>
      <c r="G69" s="210">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row>
    <row r="70" spans="1:61" s="192" customFormat="1" collapsed="1">
      <c r="A70" s="12"/>
      <c r="B70" s="17"/>
      <c r="C70" s="12"/>
      <c r="D70" s="12"/>
      <c r="E70" s="12"/>
      <c r="F70" s="117"/>
      <c r="G70" s="210"/>
      <c r="H70" s="108"/>
      <c r="I70" s="108"/>
      <c r="J70" s="108"/>
      <c r="K70" s="108"/>
      <c r="L70" s="108"/>
      <c r="M70" s="108"/>
      <c r="N70" s="108"/>
      <c r="O70" s="108"/>
      <c r="P70" s="108"/>
      <c r="Q70" s="108"/>
      <c r="R70" s="108"/>
      <c r="S70" s="108"/>
      <c r="T70" s="108"/>
      <c r="U70" s="108"/>
      <c r="V70" s="108"/>
      <c r="W70" s="108"/>
      <c r="X70" s="108"/>
      <c r="Y70" s="108"/>
      <c r="Z70" s="108"/>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61" s="192" customFormat="1">
      <c r="A71" s="9"/>
      <c r="B71" s="9" t="s">
        <v>73</v>
      </c>
      <c r="C71" s="9"/>
      <c r="D71" s="9"/>
      <c r="E71" s="9"/>
      <c r="F71" s="23"/>
      <c r="G71" s="202">
        <f>G85+G99+G113+G127+G141+G155+G169+G183+G197+G211+G225+G239+G253+G267+G281+G295+G309+G323+G337+G351+G365+G379+G393+G407+G421+G435+G449+G463+G477+G491</f>
        <v>-187.02258038960903</v>
      </c>
      <c r="H71" s="121">
        <f t="shared" ref="H71:Q71" si="33">H85+H99+H113+H127+H141+H155+H169+H183+H197+H211+H225+H239+H253+H267+H281+H295+H309+H323+H337+H351+H365+H379+H393+H407+H421+H435+H449+H463+H477+H491</f>
        <v>-219.398531447572</v>
      </c>
      <c r="I71" s="121">
        <f t="shared" si="33"/>
        <v>-219.398531447572</v>
      </c>
      <c r="J71" s="121">
        <f t="shared" si="33"/>
        <v>-211.35045403040368</v>
      </c>
      <c r="K71" s="121">
        <f t="shared" si="33"/>
        <v>-195.65837459327992</v>
      </c>
      <c r="L71" s="121">
        <f t="shared" si="33"/>
        <v>-183.30970409327992</v>
      </c>
      <c r="M71" s="121">
        <f t="shared" si="33"/>
        <v>0</v>
      </c>
      <c r="N71" s="121">
        <f t="shared" si="33"/>
        <v>0</v>
      </c>
      <c r="O71" s="121">
        <f t="shared" si="33"/>
        <v>0</v>
      </c>
      <c r="P71" s="121">
        <f t="shared" si="33"/>
        <v>0</v>
      </c>
      <c r="Q71" s="121">
        <f t="shared" si="33"/>
        <v>0</v>
      </c>
      <c r="R71" s="114"/>
      <c r="S71" s="195"/>
      <c r="T71" s="195"/>
      <c r="U71" s="195"/>
      <c r="V71" s="195"/>
      <c r="W71" s="195"/>
      <c r="X71" s="195"/>
      <c r="Y71" s="195"/>
      <c r="Z71" s="195"/>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row>
    <row r="72" spans="1:61" s="192" customFormat="1" ht="12.75" hidden="1" customHeight="1" outlineLevel="2">
      <c r="A72" s="9"/>
      <c r="B72" s="32" t="str">
        <f>Asset1</f>
        <v>Overhead Sub-Transmission Lines</v>
      </c>
      <c r="C72" s="33"/>
      <c r="D72" s="34" t="s">
        <v>69</v>
      </c>
      <c r="E72" s="33"/>
      <c r="F72" s="35"/>
      <c r="G72" s="211">
        <f>IF(G$3&gt;A1taxremlife,A1taxvalue-SUM($F72:F72),IF(A1taxremlife="N/A","n/a",A1taxvalue/A1taxremlife))</f>
        <v>24.994356710440879</v>
      </c>
      <c r="H72" s="69">
        <f>IF(H$3&gt;A1taxremlife,A1taxvalue-SUM($F72:G72),IF(A1taxremlife="N/A","n/a",A1taxvalue/A1taxremlife))</f>
        <v>24.994356710440879</v>
      </c>
      <c r="I72" s="69">
        <f>IF(I$3&gt;A1taxremlife,A1taxvalue-SUM($F72:H72),IF(A1taxremlife="N/A","n/a",A1taxvalue/A1taxremlife))</f>
        <v>24.994356710440879</v>
      </c>
      <c r="J72" s="69">
        <f>IF(J$3&gt;A1taxremlife,A1taxvalue-SUM($F72:I72),IF(A1taxremlife="N/A","n/a",A1taxvalue/A1taxremlife))</f>
        <v>24.994356710440879</v>
      </c>
      <c r="K72" s="69">
        <f>IF(K$3&gt;A1taxremlife,A1taxvalue-SUM($F72:J72),IF(A1taxremlife="N/A","n/a",A1taxvalue/A1taxremlife))</f>
        <v>24.994356710440879</v>
      </c>
      <c r="L72" s="69">
        <f>IF(L$3&gt;A1taxremlife,A1taxvalue-SUM($F72:K72),IF(A1taxremlife="N/A","n/a",A1taxvalue/A1taxremlife))</f>
        <v>24.994356710440879</v>
      </c>
      <c r="M72" s="69">
        <f>IF(M$3&gt;A1taxremlife,A1taxvalue-SUM($F72:L72),IF(A1taxremlife="N/A","n/a",A1taxvalue/A1taxremlife))</f>
        <v>24.994356710440879</v>
      </c>
      <c r="N72" s="69">
        <f>IF(N$3&gt;A1taxremlife,A1taxvalue-SUM($F72:M72),IF(A1taxremlife="N/A","n/a",A1taxvalue/A1taxremlife))</f>
        <v>24.994356710440879</v>
      </c>
      <c r="O72" s="69">
        <f>IF(O$3&gt;A1taxremlife,A1taxvalue-SUM($F72:N72),IF(A1taxremlife="N/A","n/a",A1taxvalue/A1taxremlife))</f>
        <v>24.994356710440879</v>
      </c>
      <c r="P72" s="69">
        <f>IF(P$3&gt;A1taxremlife,A1taxvalue-SUM($F72:O72),IF(A1taxremlife="N/A","n/a",A1taxvalue/A1taxremlife))</f>
        <v>24.994356710440879</v>
      </c>
      <c r="Q72" s="69">
        <f>IF(Q$3&gt;A1taxremlife,A1taxvalue-SUM($F72:P72),IF(A1taxremlife="N/A","n/a",A1taxvalue/A1taxremlife))</f>
        <v>24.994356710440879</v>
      </c>
      <c r="R72" s="69"/>
      <c r="S72" s="105"/>
      <c r="T72" s="105"/>
      <c r="U72" s="105"/>
      <c r="V72" s="105"/>
      <c r="W72" s="105"/>
      <c r="X72" s="105"/>
      <c r="Y72" s="105"/>
      <c r="Z72" s="105"/>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row>
    <row r="73" spans="1:61" s="192" customFormat="1" ht="12.75" hidden="1" customHeight="1" outlineLevel="2">
      <c r="A73" s="9"/>
      <c r="B73" s="26"/>
      <c r="C73" s="25"/>
      <c r="D73" s="350" t="s">
        <v>87</v>
      </c>
      <c r="E73" s="88">
        <v>0</v>
      </c>
      <c r="F73" s="27"/>
      <c r="G73" s="212"/>
      <c r="H73" s="70"/>
      <c r="I73" s="70"/>
      <c r="J73" s="70"/>
      <c r="K73" s="70"/>
      <c r="L73" s="70"/>
      <c r="M73" s="70"/>
      <c r="N73" s="70"/>
      <c r="O73" s="70"/>
      <c r="P73" s="70"/>
      <c r="Q73" s="70"/>
      <c r="R73" s="70"/>
      <c r="S73" s="105"/>
      <c r="T73" s="105"/>
      <c r="U73" s="105"/>
      <c r="V73" s="105"/>
      <c r="W73" s="105"/>
      <c r="X73" s="105"/>
      <c r="Y73" s="105"/>
      <c r="Z73" s="105"/>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row>
    <row r="74" spans="1:61" s="192" customFormat="1" ht="12.75" hidden="1" customHeight="1" outlineLevel="2">
      <c r="A74" s="9"/>
      <c r="B74" s="26"/>
      <c r="C74" s="25"/>
      <c r="D74" s="351"/>
      <c r="E74" s="88">
        <v>1</v>
      </c>
      <c r="F74" s="27"/>
      <c r="G74" s="213"/>
      <c r="H74" s="70">
        <f>IF(A1taxstdlife="n/a","n/a",IF(H$3&gt;(A1taxstdlife+$E74),(Input!$G$41-Input!$G$75)-SUM($G74:G74),(Input!$G$41-Input!$G$75)/A1taxstdlife))</f>
        <v>1.1791056888888889</v>
      </c>
      <c r="I74" s="70">
        <f>IF(A1taxstdlife="n/a","n/a",IF(I$3&gt;(A1taxstdlife+$E74),(Input!$G$41-Input!$G$75)-SUM($G74:H74),(Input!$G$41-Input!$G$75)/A1taxstdlife))</f>
        <v>1.1791056888888889</v>
      </c>
      <c r="J74" s="70">
        <f>IF(A1taxstdlife="n/a","n/a",IF(J$3&gt;(A1taxstdlife+$E74),(Input!$G$41-Input!$G$75)-SUM($G74:I74),(Input!$G$41-Input!$G$75)/A1taxstdlife))</f>
        <v>1.1791056888888889</v>
      </c>
      <c r="K74" s="70">
        <f>IF(A1taxstdlife="n/a","n/a",IF(K$3&gt;(A1taxstdlife+$E74),(Input!$G$41-Input!$G$75)-SUM($G74:J74),(Input!$G$41-Input!$G$75)/A1taxstdlife))</f>
        <v>1.1791056888888889</v>
      </c>
      <c r="L74" s="70">
        <f>IF(A1taxstdlife="n/a","n/a",IF(L$3&gt;(A1taxstdlife+$E74),(Input!$G$41-Input!$G$75)-SUM($G74:K74),(Input!$G$41-Input!$G$75)/A1taxstdlife))</f>
        <v>1.1791056888888889</v>
      </c>
      <c r="M74" s="70">
        <f>IF(A1taxstdlife="n/a","n/a",IF(M$3&gt;(A1taxstdlife+$E74),(Input!$G$41-Input!$G$75)-SUM($G74:L74),(Input!$G$41-Input!$G$75)/A1taxstdlife))</f>
        <v>1.1791056888888889</v>
      </c>
      <c r="N74" s="70">
        <f>IF(A1taxstdlife="n/a","n/a",IF(N$3&gt;(A1taxstdlife+$E74),(Input!$G$41-Input!$G$75)-SUM($G74:M74),(Input!$G$41-Input!$G$75)/A1taxstdlife))</f>
        <v>1.1791056888888889</v>
      </c>
      <c r="O74" s="70">
        <f>IF(A1taxstdlife="n/a","n/a",IF(O$3&gt;(A1taxstdlife+$E74),(Input!$G$41-Input!$G$75)-SUM($G74:N74),(Input!$G$41-Input!$G$75)/A1taxstdlife))</f>
        <v>1.1791056888888889</v>
      </c>
      <c r="P74" s="70">
        <f>IF(A1taxstdlife="n/a","n/a",IF(P$3&gt;(A1taxstdlife+$E74),(Input!$G$41-Input!$G$75)-SUM($G74:O74),(Input!$G$41-Input!$G$75)/A1taxstdlife))</f>
        <v>1.1791056888888889</v>
      </c>
      <c r="Q74" s="70">
        <f>IF(A1taxstdlife="n/a","n/a",IF(Q$3&gt;(A1taxstdlife+$E74),(Input!$G$41-Input!$G$75)-SUM($G74:P74),(Input!$G$41-Input!$G$75)/A1taxstdlife))</f>
        <v>1.1791056888888889</v>
      </c>
      <c r="R74" s="70"/>
      <c r="S74" s="105"/>
      <c r="T74" s="250"/>
      <c r="U74" s="105"/>
      <c r="V74" s="105"/>
      <c r="W74" s="105"/>
      <c r="X74" s="105"/>
      <c r="Y74" s="105"/>
      <c r="Z74" s="105"/>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row>
    <row r="75" spans="1:61" s="192" customFormat="1" ht="12.75" hidden="1" customHeight="1" outlineLevel="2">
      <c r="A75" s="9"/>
      <c r="B75" s="26"/>
      <c r="C75" s="25"/>
      <c r="D75" s="351"/>
      <c r="E75" s="88">
        <v>2</v>
      </c>
      <c r="F75" s="27"/>
      <c r="G75" s="214"/>
      <c r="H75" s="152"/>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row>
    <row r="76" spans="1:61" s="192" customFormat="1" ht="12.75" hidden="1" customHeight="1" outlineLevel="2">
      <c r="A76" s="9"/>
      <c r="B76" s="26"/>
      <c r="C76" s="25"/>
      <c r="D76" s="351"/>
      <c r="E76" s="88">
        <v>3</v>
      </c>
      <c r="F76" s="27"/>
      <c r="G76" s="214"/>
      <c r="H76" s="153"/>
      <c r="I76" s="152"/>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row>
    <row r="77" spans="1:61" s="192" customFormat="1" ht="12.75" hidden="1" customHeight="1" outlineLevel="2">
      <c r="A77" s="9"/>
      <c r="B77" s="26"/>
      <c r="C77" s="25"/>
      <c r="D77" s="351"/>
      <c r="E77" s="88">
        <v>4</v>
      </c>
      <c r="F77" s="27"/>
      <c r="G77" s="214"/>
      <c r="H77" s="153"/>
      <c r="I77" s="153"/>
      <c r="J77" s="152"/>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row>
    <row r="78" spans="1:61" s="192" customFormat="1" ht="12.75" hidden="1" customHeight="1" outlineLevel="2">
      <c r="A78" s="9"/>
      <c r="B78" s="26"/>
      <c r="C78" s="25"/>
      <c r="D78" s="351"/>
      <c r="E78" s="88">
        <v>5</v>
      </c>
      <c r="F78" s="27"/>
      <c r="G78" s="214"/>
      <c r="H78" s="153"/>
      <c r="I78" s="153"/>
      <c r="J78" s="153"/>
      <c r="K78" s="152"/>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row>
    <row r="79" spans="1:61" s="192" customFormat="1" ht="12.75" hidden="1" customHeight="1" outlineLevel="2">
      <c r="A79" s="9"/>
      <c r="B79" s="26"/>
      <c r="C79" s="25"/>
      <c r="D79" s="351"/>
      <c r="E79" s="88">
        <v>6</v>
      </c>
      <c r="F79" s="27"/>
      <c r="G79" s="214"/>
      <c r="H79" s="153"/>
      <c r="I79" s="153"/>
      <c r="J79" s="153"/>
      <c r="K79" s="153"/>
      <c r="L79" s="152"/>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row>
    <row r="80" spans="1:61" s="192" customFormat="1" ht="12.75" hidden="1" customHeight="1" outlineLevel="2">
      <c r="A80" s="9"/>
      <c r="B80" s="26"/>
      <c r="C80" s="25"/>
      <c r="D80" s="351"/>
      <c r="E80" s="88">
        <v>7</v>
      </c>
      <c r="F80" s="27"/>
      <c r="G80" s="214"/>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row>
    <row r="81" spans="1:62" s="192" customFormat="1" ht="12.75" hidden="1" customHeight="1" outlineLevel="2">
      <c r="A81" s="9"/>
      <c r="B81" s="26"/>
      <c r="C81" s="25"/>
      <c r="D81" s="351"/>
      <c r="E81" s="88">
        <v>8</v>
      </c>
      <c r="F81" s="27"/>
      <c r="G81" s="214"/>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row>
    <row r="82" spans="1:62" s="192" customFormat="1" ht="12.75" hidden="1" customHeight="1" outlineLevel="2">
      <c r="A82" s="9"/>
      <c r="B82" s="26"/>
      <c r="C82" s="25"/>
      <c r="D82" s="351"/>
      <c r="E82" s="88">
        <v>9</v>
      </c>
      <c r="F82" s="27"/>
      <c r="G82" s="214"/>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row>
    <row r="83" spans="1:62" s="192" customFormat="1" ht="12.75" hidden="1" customHeight="1" outlineLevel="2">
      <c r="A83" s="9"/>
      <c r="B83" s="26"/>
      <c r="C83" s="25"/>
      <c r="D83" s="351"/>
      <c r="E83" s="88">
        <v>10</v>
      </c>
      <c r="F83" s="27"/>
      <c r="G83" s="214"/>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row>
    <row r="84" spans="1:62" s="192" customFormat="1" ht="12.75" hidden="1" customHeight="1" outlineLevel="2">
      <c r="A84" s="9"/>
      <c r="B84" s="26"/>
      <c r="C84" s="25"/>
      <c r="D84" s="351"/>
      <c r="E84" s="89">
        <v>11</v>
      </c>
      <c r="F84" s="27"/>
      <c r="G84" s="214"/>
      <c r="H84" s="153"/>
      <c r="I84" s="153"/>
      <c r="J84" s="153"/>
      <c r="K84" s="153"/>
      <c r="L84" s="153"/>
      <c r="M84" s="153"/>
      <c r="N84" s="153"/>
      <c r="O84" s="153"/>
      <c r="P84" s="194"/>
      <c r="Q84" s="152"/>
      <c r="R84" s="70"/>
      <c r="S84" s="105"/>
      <c r="T84" s="105"/>
      <c r="U84" s="105"/>
      <c r="V84" s="105"/>
      <c r="W84" s="105"/>
      <c r="X84" s="105"/>
      <c r="Y84" s="105"/>
      <c r="Z84" s="105"/>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row>
    <row r="85" spans="1:62" s="192" customFormat="1" hidden="1" outlineLevel="1">
      <c r="A85" s="9"/>
      <c r="B85" s="9"/>
      <c r="C85" s="26" t="str">
        <f>Asset1</f>
        <v>Overhead Sub-Transmission Lines</v>
      </c>
      <c r="D85" s="9"/>
      <c r="E85" s="9"/>
      <c r="F85" s="23"/>
      <c r="G85" s="215">
        <f t="shared" ref="G85:L85" si="34">-SUM(G72:G84)</f>
        <v>-24.994356710440879</v>
      </c>
      <c r="H85" s="169">
        <f t="shared" si="34"/>
        <v>-26.173462399329768</v>
      </c>
      <c r="I85" s="169">
        <f t="shared" si="34"/>
        <v>-26.173462399329768</v>
      </c>
      <c r="J85" s="169">
        <f t="shared" si="34"/>
        <v>-26.173462399329768</v>
      </c>
      <c r="K85" s="169">
        <f t="shared" si="34"/>
        <v>-26.173462399329768</v>
      </c>
      <c r="L85" s="169">
        <f t="shared" si="34"/>
        <v>-26.173462399329768</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row>
    <row r="86" spans="1:62" s="192" customFormat="1" ht="12.75" hidden="1" customHeight="1" outlineLevel="2">
      <c r="A86" s="9"/>
      <c r="B86" s="32" t="str">
        <f>Asset2</f>
        <v>Underground Sub-Transmission Cables</v>
      </c>
      <c r="C86" s="33"/>
      <c r="D86" s="34" t="s">
        <v>69</v>
      </c>
      <c r="E86" s="33"/>
      <c r="F86" s="35"/>
      <c r="G86" s="211">
        <f>IF(G$3&gt;A2taxremlife,A2taxvalue-SUM($F86:F86),IF(A2taxremlife="N/A","n/a",A2taxvalue/A2taxremlife))</f>
        <v>0.9614021981116263</v>
      </c>
      <c r="H86" s="69">
        <f>IF(H$3&gt;A2taxremlife,A2taxvalue-SUM($F86:G86),IF(A2taxremlife="N/A","n/a",A2taxvalue/A2taxremlife))</f>
        <v>0.9614021981116263</v>
      </c>
      <c r="I86" s="69">
        <f>IF(I$3&gt;A2taxremlife,A2taxvalue-SUM($F86:H86),IF(A2taxremlife="N/A","n/a",A2taxvalue/A2taxremlife))</f>
        <v>0.9614021981116263</v>
      </c>
      <c r="J86" s="69">
        <f>IF(J$3&gt;A2taxremlife,A2taxvalue-SUM($F86:I86),IF(A2taxremlife="N/A","n/a",A2taxvalue/A2taxremlife))</f>
        <v>0.9614021981116263</v>
      </c>
      <c r="K86" s="69">
        <f>IF(K$3&gt;A2taxremlife,A2taxvalue-SUM($F86:J86),IF(A2taxremlife="N/A","n/a",A2taxvalue/A2taxremlife))</f>
        <v>0.9614021981116263</v>
      </c>
      <c r="L86" s="69">
        <f>IF(L$3&gt;A2taxremlife,A2taxvalue-SUM($F86:K86),IF(A2taxremlife="N/A","n/a",A2taxvalue/A2taxremlife))</f>
        <v>0.9614021981116263</v>
      </c>
      <c r="M86" s="69">
        <f>IF(M$3&gt;A2taxremlife,A2taxvalue-SUM($F86:L86),IF(A2taxremlife="N/A","n/a",A2taxvalue/A2taxremlife))</f>
        <v>0.9614021981116263</v>
      </c>
      <c r="N86" s="69">
        <f>IF(N$3&gt;A2taxremlife,A2taxvalue-SUM($F86:M86),IF(A2taxremlife="N/A","n/a",A2taxvalue/A2taxremlife))</f>
        <v>0.9614021981116263</v>
      </c>
      <c r="O86" s="69">
        <f>IF(O$3&gt;A2taxremlife,A2taxvalue-SUM($F86:N86),IF(A2taxremlife="N/A","n/a",A2taxvalue/A2taxremlife))</f>
        <v>0.9614021981116263</v>
      </c>
      <c r="P86" s="69">
        <f>IF(P$3&gt;A2taxremlife,A2taxvalue-SUM($F86:O86),IF(A2taxremlife="N/A","n/a",A2taxvalue/A2taxremlife))</f>
        <v>0.9614021981116263</v>
      </c>
      <c r="Q86" s="69">
        <f>IF(Q$3&gt;A2taxremlife,A2taxvalue-SUM($F86:P86),IF(A2taxremlife="N/A","n/a",A2taxvalue/A2taxremlife))</f>
        <v>0.9614021981116263</v>
      </c>
      <c r="R86" s="69"/>
      <c r="S86" s="105"/>
      <c r="T86" s="105"/>
      <c r="U86" s="105"/>
      <c r="V86" s="105"/>
      <c r="W86" s="105"/>
      <c r="X86" s="105"/>
      <c r="Y86" s="105"/>
      <c r="Z86" s="105"/>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row>
    <row r="87" spans="1:62" s="192" customFormat="1" ht="12.75" hidden="1" customHeight="1" outlineLevel="2">
      <c r="A87" s="9"/>
      <c r="B87" s="9"/>
      <c r="C87" s="26"/>
      <c r="D87" s="350" t="s">
        <v>87</v>
      </c>
      <c r="E87" s="88">
        <v>0</v>
      </c>
      <c r="F87" s="27"/>
      <c r="G87" s="212"/>
      <c r="H87" s="70"/>
      <c r="I87" s="70"/>
      <c r="J87" s="70"/>
      <c r="K87" s="70"/>
      <c r="L87" s="70"/>
      <c r="M87" s="70"/>
      <c r="N87" s="70"/>
      <c r="O87" s="70"/>
      <c r="P87" s="70"/>
      <c r="Q87" s="70"/>
      <c r="R87" s="70"/>
      <c r="S87" s="105"/>
      <c r="T87" s="105"/>
      <c r="U87" s="105"/>
      <c r="V87" s="105"/>
      <c r="W87" s="105"/>
      <c r="X87" s="105"/>
      <c r="Y87" s="105"/>
      <c r="Z87" s="105"/>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row>
    <row r="88" spans="1:62" s="192" customFormat="1" ht="12.75" hidden="1" customHeight="1" outlineLevel="2">
      <c r="A88" s="9"/>
      <c r="B88" s="9"/>
      <c r="C88" s="26"/>
      <c r="D88" s="351"/>
      <c r="E88" s="88">
        <v>1</v>
      </c>
      <c r="F88" s="27"/>
      <c r="G88" s="213"/>
      <c r="H88" s="70">
        <f>IF(A2taxstdlife="n/a","n/a",IF(H$3&gt;(A2taxstdlife+$E88),(Input!$G$42-Input!$G$76)-SUM($G88:G88),(Input!$G$42-Input!$G$76)/A2taxstdlife))</f>
        <v>8.6555599999999996E-3</v>
      </c>
      <c r="I88" s="70">
        <f>IF(A2taxstdlife="n/a","n/a",IF(I$3&gt;(A2taxstdlife+$E88),(Input!$G$42-Input!$G$76)-SUM($G88:H88),(Input!$G$42-Input!$G$76)/A2taxstdlife))</f>
        <v>8.6555599999999996E-3</v>
      </c>
      <c r="J88" s="70">
        <f>IF(A2taxstdlife="n/a","n/a",IF(J$3&gt;(A2taxstdlife+$E88),(Input!$G$42-Input!$G$76)-SUM($G88:I88),(Input!$G$42-Input!$G$76)/A2taxstdlife))</f>
        <v>8.6555599999999996E-3</v>
      </c>
      <c r="K88" s="70">
        <f>IF(A2taxstdlife="n/a","n/a",IF(K$3&gt;(A2taxstdlife+$E88),(Input!$G$42-Input!$G$76)-SUM($G88:J88),(Input!$G$42-Input!$G$76)/A2taxstdlife))</f>
        <v>8.6555599999999996E-3</v>
      </c>
      <c r="L88" s="70">
        <f>IF(A2taxstdlife="n/a","n/a",IF(L$3&gt;(A2taxstdlife+$E88),(Input!$G$42-Input!$G$76)-SUM($G88:K88),(Input!$G$42-Input!$G$76)/A2taxstdlife))</f>
        <v>8.6555599999999996E-3</v>
      </c>
      <c r="M88" s="70">
        <f>IF(A2taxstdlife="n/a","n/a",IF(M$3&gt;(A2taxstdlife+$E88),(Input!$G$42-Input!$G$76)-SUM($G88:L88),(Input!$G$42-Input!$G$76)/A2taxstdlife))</f>
        <v>8.6555599999999996E-3</v>
      </c>
      <c r="N88" s="70">
        <f>IF(A2taxstdlife="n/a","n/a",IF(N$3&gt;(A2taxstdlife+$E88),(Input!$G$42-Input!$G$76)-SUM($G88:M88),(Input!$G$42-Input!$G$76)/A2taxstdlife))</f>
        <v>8.6555599999999996E-3</v>
      </c>
      <c r="O88" s="70">
        <f>IF(A2taxstdlife="n/a","n/a",IF(O$3&gt;(A2taxstdlife+$E88),(Input!$G$42-Input!$G$76)-SUM($G88:N88),(Input!$G$42-Input!$G$76)/A2taxstdlife))</f>
        <v>8.6555599999999996E-3</v>
      </c>
      <c r="P88" s="70">
        <f>IF(A2taxstdlife="n/a","n/a",IF(P$3&gt;(A2taxstdlife+$E88),(Input!$G$42-Input!$G$76)-SUM($G88:O88),(Input!$G$42-Input!$G$76)/A2taxstdlife))</f>
        <v>8.6555599999999996E-3</v>
      </c>
      <c r="Q88" s="70">
        <f>IF(A2taxstdlife="n/a","n/a",IF(Q$3&gt;(A2taxstdlife+$E88),(Input!$G$42-Input!$G$76)-SUM($G88:P88),(Input!$G$42-Input!$G$76)/A2taxstdlife))</f>
        <v>8.6555599999999996E-3</v>
      </c>
      <c r="R88" s="70"/>
      <c r="S88" s="105"/>
      <c r="T88" s="105"/>
      <c r="U88" s="105"/>
      <c r="V88" s="105"/>
      <c r="W88" s="105"/>
      <c r="X88" s="105"/>
      <c r="Y88" s="105"/>
      <c r="Z88" s="105"/>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row>
    <row r="89" spans="1:62" s="192" customFormat="1" ht="12.75" hidden="1" customHeight="1" outlineLevel="2">
      <c r="A89" s="9"/>
      <c r="B89" s="9"/>
      <c r="C89" s="26"/>
      <c r="D89" s="351"/>
      <c r="E89" s="88">
        <v>2</v>
      </c>
      <c r="F89" s="27"/>
      <c r="G89" s="214"/>
      <c r="H89" s="152"/>
      <c r="I89" s="70">
        <f>IF(A2taxstdlife="n/a","n/a",IF(I$3&gt;(A2taxstdlife+$E89),(Input!$H$42-Input!$H$76)-SUM($H89:H89),(Input!$H$42-Input!$H$76)/A2taxstdlife))</f>
        <v>0</v>
      </c>
      <c r="J89" s="70">
        <f>IF(A2taxstdlife="n/a","n/a",IF(J$3&gt;(A2taxstdlife+$E89),(Input!$H$42-Input!$H$76)-SUM($H89:I89),(Input!$H$42-Input!$H$76)/A2taxstdlife))</f>
        <v>0</v>
      </c>
      <c r="K89" s="70">
        <f>IF(A2taxstdlife="n/a","n/a",IF(K$3&gt;(A2taxstdlife+$E89),(Input!$H$42-Input!$H$76)-SUM($H89:J89),(Input!$H$42-Input!$H$76)/A2taxstdlife))</f>
        <v>0</v>
      </c>
      <c r="L89" s="70">
        <f>IF(A2taxstdlife="n/a","n/a",IF(L$3&gt;(A2taxstdlife+$E89),(Input!$H$42-Input!$H$76)-SUM($H89:K89),(Input!$H$42-Input!$H$76)/A2taxstdlife))</f>
        <v>0</v>
      </c>
      <c r="M89" s="70">
        <f>IF(A2taxstdlife="n/a","n/a",IF(M$3&gt;(A2taxstdlife+$E89),(Input!$H$42-Input!$H$76)-SUM($H89:L89),(Input!$H$42-Input!$H$76)/A2taxstdlife))</f>
        <v>0</v>
      </c>
      <c r="N89" s="70">
        <f>IF(A2taxstdlife="n/a","n/a",IF(N$3&gt;(A2taxstdlife+$E89),(Input!$H$42-Input!$H$76)-SUM($H89:M89),(Input!$H$42-Input!$H$76)/A2taxstdlife))</f>
        <v>0</v>
      </c>
      <c r="O89" s="70">
        <f>IF(A2taxstdlife="n/a","n/a",IF(O$3&gt;(A2taxstdlife+$E89),(Input!$H$42-Input!$H$76)-SUM($H89:N89),(Input!$H$42-Input!$H$76)/A2taxstdlife))</f>
        <v>0</v>
      </c>
      <c r="P89" s="70">
        <f>IF(A2taxstdlife="n/a","n/a",IF(P$3&gt;(A2taxstdlife+$E89),(Input!$H$42-Input!$H$76)-SUM($H89:O89),(Input!$H$42-Input!$H$76)/A2taxstdlife))</f>
        <v>0</v>
      </c>
      <c r="Q89" s="70">
        <f>IF(A2taxstdlife="n/a","n/a",IF(Q$3&gt;(A2taxstdlife+$E89),(Input!$H$42-Input!$H$76)-SUM($H89:P89),(Input!$H$42-Input!$H$76)/A2taxstdlife))</f>
        <v>0</v>
      </c>
      <c r="R89" s="70"/>
      <c r="S89" s="105"/>
      <c r="T89" s="105"/>
      <c r="U89" s="105"/>
      <c r="V89" s="105"/>
      <c r="W89" s="105"/>
      <c r="X89" s="105"/>
      <c r="Y89" s="105"/>
      <c r="Z89" s="105"/>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4"/>
    </row>
    <row r="90" spans="1:62" s="192" customFormat="1" ht="12.75" hidden="1" customHeight="1" outlineLevel="2">
      <c r="A90" s="9"/>
      <c r="B90" s="9"/>
      <c r="C90" s="26"/>
      <c r="D90" s="351"/>
      <c r="E90" s="88">
        <v>3</v>
      </c>
      <c r="F90" s="27"/>
      <c r="G90" s="214"/>
      <c r="H90" s="153"/>
      <c r="I90" s="152"/>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row>
    <row r="91" spans="1:62" s="192" customFormat="1" ht="12.75" hidden="1" customHeight="1" outlineLevel="2">
      <c r="A91" s="9"/>
      <c r="B91" s="9"/>
      <c r="C91" s="26"/>
      <c r="D91" s="351"/>
      <c r="E91" s="88">
        <v>4</v>
      </c>
      <c r="F91" s="27"/>
      <c r="G91" s="214"/>
      <c r="H91" s="153"/>
      <c r="I91" s="153"/>
      <c r="J91" s="152"/>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row>
    <row r="92" spans="1:62" s="192" customFormat="1" ht="12.75" hidden="1" customHeight="1" outlineLevel="2">
      <c r="A92" s="9"/>
      <c r="B92" s="9"/>
      <c r="C92" s="26"/>
      <c r="D92" s="351"/>
      <c r="E92" s="88">
        <v>5</v>
      </c>
      <c r="F92" s="27"/>
      <c r="G92" s="214"/>
      <c r="H92" s="153"/>
      <c r="I92" s="153"/>
      <c r="J92" s="153"/>
      <c r="K92" s="152"/>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2"/>
      <c r="BI92" s="222"/>
    </row>
    <row r="93" spans="1:62" s="192" customFormat="1" ht="12.75" hidden="1" customHeight="1" outlineLevel="2">
      <c r="A93" s="9"/>
      <c r="B93" s="9"/>
      <c r="C93" s="26"/>
      <c r="D93" s="351"/>
      <c r="E93" s="88">
        <v>6</v>
      </c>
      <c r="F93" s="27"/>
      <c r="G93" s="214"/>
      <c r="H93" s="153"/>
      <c r="I93" s="153"/>
      <c r="J93" s="153"/>
      <c r="K93" s="153"/>
      <c r="L93" s="152"/>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row>
    <row r="94" spans="1:62" s="192" customFormat="1" ht="12.75" hidden="1" customHeight="1" outlineLevel="2">
      <c r="A94" s="9"/>
      <c r="B94" s="9"/>
      <c r="C94" s="26"/>
      <c r="D94" s="351"/>
      <c r="E94" s="88">
        <v>7</v>
      </c>
      <c r="F94" s="27"/>
      <c r="G94" s="214"/>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row>
    <row r="95" spans="1:62" s="192" customFormat="1" ht="12.75" hidden="1" customHeight="1" outlineLevel="2">
      <c r="A95" s="9"/>
      <c r="B95" s="9"/>
      <c r="C95" s="26"/>
      <c r="D95" s="351"/>
      <c r="E95" s="88">
        <v>8</v>
      </c>
      <c r="F95" s="27"/>
      <c r="G95" s="214"/>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row>
    <row r="96" spans="1:62" s="192" customFormat="1" ht="12.75" hidden="1" customHeight="1" outlineLevel="2">
      <c r="A96" s="9"/>
      <c r="B96" s="9"/>
      <c r="C96" s="26"/>
      <c r="D96" s="351"/>
      <c r="E96" s="88">
        <v>9</v>
      </c>
      <c r="F96" s="27"/>
      <c r="G96" s="214"/>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row>
    <row r="97" spans="1:61" s="192" customFormat="1" ht="12.75" hidden="1" customHeight="1" outlineLevel="2">
      <c r="A97" s="9"/>
      <c r="B97" s="9"/>
      <c r="C97" s="26"/>
      <c r="D97" s="351"/>
      <c r="E97" s="88">
        <v>10</v>
      </c>
      <c r="F97" s="27"/>
      <c r="G97" s="214"/>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c r="BH97" s="222"/>
      <c r="BI97" s="222"/>
    </row>
    <row r="98" spans="1:61" s="192" customFormat="1" ht="12.75" hidden="1" customHeight="1" outlineLevel="2">
      <c r="A98" s="9"/>
      <c r="B98" s="9"/>
      <c r="C98" s="26"/>
      <c r="D98" s="351"/>
      <c r="E98" s="89">
        <v>11</v>
      </c>
      <c r="F98" s="27"/>
      <c r="G98" s="214"/>
      <c r="H98" s="153"/>
      <c r="I98" s="153"/>
      <c r="J98" s="153"/>
      <c r="K98" s="153"/>
      <c r="L98" s="153"/>
      <c r="M98" s="153"/>
      <c r="N98" s="153"/>
      <c r="O98" s="153"/>
      <c r="P98" s="194"/>
      <c r="Q98" s="152"/>
      <c r="R98" s="70"/>
      <c r="S98" s="105"/>
      <c r="T98" s="105"/>
      <c r="U98" s="105"/>
      <c r="V98" s="105"/>
      <c r="W98" s="105"/>
      <c r="X98" s="105"/>
      <c r="Y98" s="105"/>
      <c r="Z98" s="105"/>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row>
    <row r="99" spans="1:61" s="192" customFormat="1" hidden="1" outlineLevel="1">
      <c r="A99" s="9"/>
      <c r="B99" s="9"/>
      <c r="C99" s="26" t="str">
        <f>Asset2</f>
        <v>Underground Sub-Transmission Cables</v>
      </c>
      <c r="D99" s="9"/>
      <c r="E99" s="9"/>
      <c r="F99" s="23"/>
      <c r="G99" s="215">
        <f t="shared" ref="G99:L99" si="35">-SUM(G86:G98)</f>
        <v>-0.9614021981116263</v>
      </c>
      <c r="H99" s="169">
        <f t="shared" si="35"/>
        <v>-0.97005775811162631</v>
      </c>
      <c r="I99" s="169">
        <f t="shared" si="35"/>
        <v>-0.97005775811162631</v>
      </c>
      <c r="J99" s="169">
        <f t="shared" si="35"/>
        <v>-0.97005775811162631</v>
      </c>
      <c r="K99" s="169">
        <f t="shared" si="35"/>
        <v>-0.97005775811162631</v>
      </c>
      <c r="L99" s="169">
        <f t="shared" si="35"/>
        <v>-0.97005775811162631</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row>
    <row r="100" spans="1:61" s="192" customFormat="1" ht="12.75" hidden="1" customHeight="1" outlineLevel="2">
      <c r="A100" s="9"/>
      <c r="B100" s="32" t="str">
        <f>Asset3</f>
        <v>Overhead Distribution Lines</v>
      </c>
      <c r="C100" s="33"/>
      <c r="D100" s="34" t="s">
        <v>69</v>
      </c>
      <c r="E100" s="33"/>
      <c r="F100" s="35"/>
      <c r="G100" s="211">
        <f>IF(G$3&gt;A3taxremlife,A3taxvalue-SUM($F100:F100),IF(A3taxremlife="N/A","n/a",A3taxvalue/A3taxremlife))</f>
        <v>39.702195390932197</v>
      </c>
      <c r="H100" s="69">
        <f>IF(H$3&gt;A3taxremlife,A3taxvalue-SUM($F100:G100),IF(A3taxremlife="N/A","n/a",A3taxvalue/A3taxremlife))</f>
        <v>39.702195390932197</v>
      </c>
      <c r="I100" s="69">
        <f>IF(I$3&gt;A3taxremlife,A3taxvalue-SUM($F100:H100),IF(A3taxremlife="N/A","n/a",A3taxvalue/A3taxremlife))</f>
        <v>39.702195390932197</v>
      </c>
      <c r="J100" s="69">
        <f>IF(J$3&gt;A3taxremlife,A3taxvalue-SUM($F100:I100),IF(A3taxremlife="N/A","n/a",A3taxvalue/A3taxremlife))</f>
        <v>39.702195390932197</v>
      </c>
      <c r="K100" s="69">
        <f>IF(K$3&gt;A3taxremlife,A3taxvalue-SUM($F100:J100),IF(A3taxremlife="N/A","n/a",A3taxvalue/A3taxremlife))</f>
        <v>39.702195390932197</v>
      </c>
      <c r="L100" s="69">
        <f>IF(L$3&gt;A3taxremlife,A3taxvalue-SUM($F100:K100),IF(A3taxremlife="N/A","n/a",A3taxvalue/A3taxremlife))</f>
        <v>39.702195390932197</v>
      </c>
      <c r="M100" s="69">
        <f>IF(M$3&gt;A3taxremlife,A3taxvalue-SUM($F100:L100),IF(A3taxremlife="N/A","n/a",A3taxvalue/A3taxremlife))</f>
        <v>39.702195390932197</v>
      </c>
      <c r="N100" s="69">
        <f>IF(N$3&gt;A3taxremlife,A3taxvalue-SUM($F100:M100),IF(A3taxremlife="N/A","n/a",A3taxvalue/A3taxremlife))</f>
        <v>39.702195390932197</v>
      </c>
      <c r="O100" s="69">
        <f>IF(O$3&gt;A3taxremlife,A3taxvalue-SUM($F100:N100),IF(A3taxremlife="N/A","n/a",A3taxvalue/A3taxremlife))</f>
        <v>39.702195390932197</v>
      </c>
      <c r="P100" s="69">
        <f>IF(P$3&gt;A3taxremlife,A3taxvalue-SUM($F100:O100),IF(A3taxremlife="N/A","n/a",A3taxvalue/A3taxremlife))</f>
        <v>39.702195390932197</v>
      </c>
      <c r="Q100" s="69">
        <f>IF(Q$3&gt;A3taxremlife,A3taxvalue-SUM($F100:P100),IF(A3taxremlife="N/A","n/a",A3taxvalue/A3taxremlife))</f>
        <v>39.702195390932197</v>
      </c>
      <c r="R100" s="69"/>
      <c r="S100" s="105"/>
      <c r="T100" s="105"/>
      <c r="U100" s="105"/>
      <c r="V100" s="105"/>
      <c r="W100" s="105"/>
      <c r="X100" s="105"/>
      <c r="Y100" s="105"/>
      <c r="Z100" s="105"/>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row>
    <row r="101" spans="1:61" s="192" customFormat="1" ht="12.75" hidden="1" customHeight="1" outlineLevel="2">
      <c r="A101" s="9"/>
      <c r="B101" s="9"/>
      <c r="C101" s="26"/>
      <c r="D101" s="350" t="s">
        <v>87</v>
      </c>
      <c r="E101" s="88">
        <v>0</v>
      </c>
      <c r="F101" s="27"/>
      <c r="G101" s="212"/>
      <c r="H101" s="70"/>
      <c r="I101" s="70"/>
      <c r="J101" s="70"/>
      <c r="K101" s="70"/>
      <c r="L101" s="70"/>
      <c r="M101" s="70"/>
      <c r="N101" s="70"/>
      <c r="O101" s="70"/>
      <c r="P101" s="70"/>
      <c r="Q101" s="70"/>
      <c r="R101" s="70"/>
      <c r="S101" s="105"/>
      <c r="T101" s="105"/>
      <c r="U101" s="105"/>
      <c r="V101" s="105"/>
      <c r="W101" s="105"/>
      <c r="X101" s="105"/>
      <c r="Y101" s="105"/>
      <c r="Z101" s="105"/>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row>
    <row r="102" spans="1:61" s="192" customFormat="1" ht="12.75" hidden="1" customHeight="1" outlineLevel="2">
      <c r="A102" s="9"/>
      <c r="B102" s="9"/>
      <c r="C102" s="26"/>
      <c r="D102" s="351"/>
      <c r="E102" s="88">
        <v>1</v>
      </c>
      <c r="F102" s="27"/>
      <c r="G102" s="213"/>
      <c r="H102" s="70">
        <f>IF(A3taxstdlife="n/a","n/a",IF(H$3&gt;(A3taxstdlife+$E102),(Input!$G$43-Input!$G$77)-SUM($G102:G102),(Input!$G$43-Input!$G$77)/A3taxstdlife))</f>
        <v>1.8098214444444443</v>
      </c>
      <c r="I102" s="70">
        <f>IF(A3taxstdlife="n/a","n/a",IF(I$3&gt;(A3taxstdlife+$E102),(Input!$G$43-Input!$G$77)-SUM($G102:H102),(Input!$G$43-Input!$G$77)/A3taxstdlife))</f>
        <v>1.8098214444444443</v>
      </c>
      <c r="J102" s="70">
        <f>IF(A3taxstdlife="n/a","n/a",IF(J$3&gt;(A3taxstdlife+$E102),(Input!$G$43-Input!$G$77)-SUM($G102:I102),(Input!$G$43-Input!$G$77)/A3taxstdlife))</f>
        <v>1.8098214444444443</v>
      </c>
      <c r="K102" s="70">
        <f>IF(A3taxstdlife="n/a","n/a",IF(K$3&gt;(A3taxstdlife+$E102),(Input!$G$43-Input!$G$77)-SUM($G102:J102),(Input!$G$43-Input!$G$77)/A3taxstdlife))</f>
        <v>1.8098214444444443</v>
      </c>
      <c r="L102" s="70">
        <f>IF(A3taxstdlife="n/a","n/a",IF(L$3&gt;(A3taxstdlife+$E102),(Input!$G$43-Input!$G$77)-SUM($G102:K102),(Input!$G$43-Input!$G$77)/A3taxstdlife))</f>
        <v>1.8098214444444443</v>
      </c>
      <c r="M102" s="70">
        <f>IF(A3taxstdlife="n/a","n/a",IF(M$3&gt;(A3taxstdlife+$E102),(Input!$G$43-Input!$G$77)-SUM($G102:L102),(Input!$G$43-Input!$G$77)/A3taxstdlife))</f>
        <v>1.8098214444444443</v>
      </c>
      <c r="N102" s="70">
        <f>IF(A3taxstdlife="n/a","n/a",IF(N$3&gt;(A3taxstdlife+$E102),(Input!$G$43-Input!$G$77)-SUM($G102:M102),(Input!$G$43-Input!$G$77)/A3taxstdlife))</f>
        <v>1.8098214444444443</v>
      </c>
      <c r="O102" s="70">
        <f>IF(A3taxstdlife="n/a","n/a",IF(O$3&gt;(A3taxstdlife+$E102),(Input!$G$43-Input!$G$77)-SUM($G102:N102),(Input!$G$43-Input!$G$77)/A3taxstdlife))</f>
        <v>1.8098214444444443</v>
      </c>
      <c r="P102" s="70">
        <f>IF(A3taxstdlife="n/a","n/a",IF(P$3&gt;(A3taxstdlife+$E102),(Input!$G$43-Input!$G$77)-SUM($G102:O102),(Input!$G$43-Input!$G$77)/A3taxstdlife))</f>
        <v>1.8098214444444443</v>
      </c>
      <c r="Q102" s="70">
        <f>IF(A3taxstdlife="n/a","n/a",IF(Q$3&gt;(A3taxstdlife+$E102),(Input!$G$43-Input!$G$77)-SUM($G102:P102),(Input!$G$43-Input!$G$77)/A3taxstdlife))</f>
        <v>1.8098214444444443</v>
      </c>
      <c r="R102" s="70"/>
      <c r="S102" s="105"/>
      <c r="T102" s="105"/>
      <c r="U102" s="105"/>
      <c r="V102" s="105"/>
      <c r="W102" s="105"/>
      <c r="X102" s="105"/>
      <c r="Y102" s="105"/>
      <c r="Z102" s="105"/>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row>
    <row r="103" spans="1:61" s="192" customFormat="1" ht="12.75" hidden="1" customHeight="1" outlineLevel="2">
      <c r="A103" s="9"/>
      <c r="B103" s="9"/>
      <c r="C103" s="26"/>
      <c r="D103" s="351"/>
      <c r="E103" s="88">
        <v>2</v>
      </c>
      <c r="F103" s="27"/>
      <c r="G103" s="214"/>
      <c r="H103" s="152"/>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row>
    <row r="104" spans="1:61" s="192" customFormat="1" ht="12.75" hidden="1" customHeight="1" outlineLevel="2">
      <c r="A104" s="9"/>
      <c r="B104" s="9"/>
      <c r="C104" s="26"/>
      <c r="D104" s="351"/>
      <c r="E104" s="88">
        <v>3</v>
      </c>
      <c r="F104" s="27"/>
      <c r="G104" s="214"/>
      <c r="H104" s="153"/>
      <c r="I104" s="152"/>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row>
    <row r="105" spans="1:61" s="192" customFormat="1" ht="12.75" hidden="1" customHeight="1" outlineLevel="2">
      <c r="A105" s="9"/>
      <c r="B105" s="9"/>
      <c r="C105" s="26"/>
      <c r="D105" s="351"/>
      <c r="E105" s="88">
        <v>4</v>
      </c>
      <c r="F105" s="27"/>
      <c r="G105" s="214"/>
      <c r="H105" s="153"/>
      <c r="I105" s="153"/>
      <c r="J105" s="152"/>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c r="BH105" s="222"/>
      <c r="BI105" s="222"/>
    </row>
    <row r="106" spans="1:61" s="192" customFormat="1" ht="12.75" hidden="1" customHeight="1" outlineLevel="2">
      <c r="A106" s="9"/>
      <c r="B106" s="9"/>
      <c r="C106" s="26"/>
      <c r="D106" s="351"/>
      <c r="E106" s="88">
        <v>5</v>
      </c>
      <c r="F106" s="27"/>
      <c r="G106" s="214"/>
      <c r="H106" s="153"/>
      <c r="I106" s="153"/>
      <c r="J106" s="153"/>
      <c r="K106" s="152"/>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c r="BH106" s="222"/>
      <c r="BI106" s="222"/>
    </row>
    <row r="107" spans="1:61" s="192" customFormat="1" ht="12.75" hidden="1" customHeight="1" outlineLevel="2">
      <c r="A107" s="9"/>
      <c r="B107" s="9"/>
      <c r="C107" s="26"/>
      <c r="D107" s="351"/>
      <c r="E107" s="88">
        <v>6</v>
      </c>
      <c r="F107" s="27"/>
      <c r="G107" s="214"/>
      <c r="H107" s="153"/>
      <c r="I107" s="153"/>
      <c r="J107" s="153"/>
      <c r="K107" s="153"/>
      <c r="L107" s="152"/>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c r="BH107" s="222"/>
      <c r="BI107" s="222"/>
    </row>
    <row r="108" spans="1:61" s="192" customFormat="1" ht="12.75" hidden="1" customHeight="1" outlineLevel="2">
      <c r="A108" s="9"/>
      <c r="B108" s="9"/>
      <c r="C108" s="26"/>
      <c r="D108" s="351"/>
      <c r="E108" s="88">
        <v>7</v>
      </c>
      <c r="F108" s="27"/>
      <c r="G108" s="214"/>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c r="BH108" s="222"/>
      <c r="BI108" s="222"/>
    </row>
    <row r="109" spans="1:61" s="192" customFormat="1" ht="12.75" hidden="1" customHeight="1" outlineLevel="2">
      <c r="A109" s="9"/>
      <c r="B109" s="9"/>
      <c r="C109" s="26"/>
      <c r="D109" s="351"/>
      <c r="E109" s="88">
        <v>8</v>
      </c>
      <c r="F109" s="27"/>
      <c r="G109" s="214"/>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row>
    <row r="110" spans="1:61" s="192" customFormat="1" ht="12.75" hidden="1" customHeight="1" outlineLevel="2">
      <c r="A110" s="9"/>
      <c r="B110" s="9"/>
      <c r="C110" s="26"/>
      <c r="D110" s="351"/>
      <c r="E110" s="88">
        <v>9</v>
      </c>
      <c r="F110" s="27"/>
      <c r="G110" s="214"/>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row>
    <row r="111" spans="1:61" s="192" customFormat="1" ht="12.75" hidden="1" customHeight="1" outlineLevel="2">
      <c r="A111" s="9"/>
      <c r="B111" s="9"/>
      <c r="C111" s="26"/>
      <c r="D111" s="351"/>
      <c r="E111" s="88">
        <v>10</v>
      </c>
      <c r="F111" s="27"/>
      <c r="G111" s="214"/>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row>
    <row r="112" spans="1:61" s="192" customFormat="1" ht="12.75" hidden="1" customHeight="1" outlineLevel="2">
      <c r="A112" s="9"/>
      <c r="B112" s="9"/>
      <c r="C112" s="26"/>
      <c r="D112" s="351"/>
      <c r="E112" s="89">
        <v>11</v>
      </c>
      <c r="F112" s="27"/>
      <c r="G112" s="214"/>
      <c r="H112" s="153"/>
      <c r="I112" s="153"/>
      <c r="J112" s="153"/>
      <c r="K112" s="153"/>
      <c r="L112" s="153"/>
      <c r="M112" s="153"/>
      <c r="N112" s="153"/>
      <c r="O112" s="153"/>
      <c r="P112" s="194"/>
      <c r="Q112" s="152"/>
      <c r="R112" s="70"/>
      <c r="S112" s="105"/>
      <c r="T112" s="105"/>
      <c r="U112" s="105"/>
      <c r="V112" s="105"/>
      <c r="W112" s="105"/>
      <c r="X112" s="105"/>
      <c r="Y112" s="105"/>
      <c r="Z112" s="105"/>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row>
    <row r="113" spans="1:61" s="192" customFormat="1" hidden="1" outlineLevel="1">
      <c r="A113" s="9"/>
      <c r="B113" s="9"/>
      <c r="C113" s="26" t="str">
        <f>Asset3</f>
        <v>Overhead Distribution Lines</v>
      </c>
      <c r="D113" s="9"/>
      <c r="E113" s="9"/>
      <c r="F113" s="23"/>
      <c r="G113" s="215">
        <f t="shared" ref="G113:L113" si="36">-SUM(G100:G112)</f>
        <v>-39.702195390932197</v>
      </c>
      <c r="H113" s="169">
        <f t="shared" si="36"/>
        <v>-41.512016835376642</v>
      </c>
      <c r="I113" s="169">
        <f t="shared" si="36"/>
        <v>-41.512016835376642</v>
      </c>
      <c r="J113" s="169">
        <f t="shared" si="36"/>
        <v>-41.512016835376642</v>
      </c>
      <c r="K113" s="169">
        <f t="shared" si="36"/>
        <v>-41.512016835376642</v>
      </c>
      <c r="L113" s="169">
        <f t="shared" si="36"/>
        <v>-41.512016835376642</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row>
    <row r="114" spans="1:61" s="192" customFormat="1" ht="12.75" hidden="1" customHeight="1" outlineLevel="2">
      <c r="A114" s="9"/>
      <c r="B114" s="32" t="str">
        <f>Asset4</f>
        <v>Underground Distribution Cables</v>
      </c>
      <c r="C114" s="33"/>
      <c r="D114" s="34" t="s">
        <v>69</v>
      </c>
      <c r="E114" s="33"/>
      <c r="F114" s="35"/>
      <c r="G114" s="211">
        <f>IF(G$3&gt;A4taxremlife,A4taxvalue-SUM($F114:F114),IF(A4taxremlife="N/A","n/a",A4taxvalue/A4taxremlife))</f>
        <v>8.9454134101535612</v>
      </c>
      <c r="H114" s="69">
        <f>IF(H$3&gt;A4taxremlife,A4taxvalue-SUM($F114:G114),IF(A4taxremlife="N/A","n/a",A4taxvalue/A4taxremlife))</f>
        <v>8.9454134101535612</v>
      </c>
      <c r="I114" s="69">
        <f>IF(I$3&gt;A4taxremlife,A4taxvalue-SUM($F114:H114),IF(A4taxremlife="N/A","n/a",A4taxvalue/A4taxremlife))</f>
        <v>8.9454134101535612</v>
      </c>
      <c r="J114" s="69">
        <f>IF(J$3&gt;A4taxremlife,A4taxvalue-SUM($F114:I114),IF(A4taxremlife="N/A","n/a",A4taxvalue/A4taxremlife))</f>
        <v>8.9454134101535612</v>
      </c>
      <c r="K114" s="69">
        <f>IF(K$3&gt;A4taxremlife,A4taxvalue-SUM($F114:J114),IF(A4taxremlife="N/A","n/a",A4taxvalue/A4taxremlife))</f>
        <v>8.9454134101535612</v>
      </c>
      <c r="L114" s="69">
        <f>IF(L$3&gt;A4taxremlife,A4taxvalue-SUM($F114:K114),IF(A4taxremlife="N/A","n/a",A4taxvalue/A4taxremlife))</f>
        <v>8.9454134101535612</v>
      </c>
      <c r="M114" s="69">
        <f>IF(M$3&gt;A4taxremlife,A4taxvalue-SUM($F114:L114),IF(A4taxremlife="N/A","n/a",A4taxvalue/A4taxremlife))</f>
        <v>8.9454134101535612</v>
      </c>
      <c r="N114" s="69">
        <f>IF(N$3&gt;A4taxremlife,A4taxvalue-SUM($F114:M114),IF(A4taxremlife="N/A","n/a",A4taxvalue/A4taxremlife))</f>
        <v>8.9454134101535612</v>
      </c>
      <c r="O114" s="69">
        <f>IF(O$3&gt;A4taxremlife,A4taxvalue-SUM($F114:N114),IF(A4taxremlife="N/A","n/a",A4taxvalue/A4taxremlife))</f>
        <v>8.9454134101535612</v>
      </c>
      <c r="P114" s="69">
        <f>IF(P$3&gt;A4taxremlife,A4taxvalue-SUM($F114:O114),IF(A4taxremlife="N/A","n/a",A4taxvalue/A4taxremlife))</f>
        <v>8.9454134101535612</v>
      </c>
      <c r="Q114" s="69">
        <f>IF(Q$3&gt;A4taxremlife,A4taxvalue-SUM($F114:P114),IF(A4taxremlife="N/A","n/a",A4taxvalue/A4taxremlife))</f>
        <v>8.9454134101535612</v>
      </c>
      <c r="R114" s="69"/>
      <c r="S114" s="105"/>
      <c r="T114" s="105"/>
      <c r="U114" s="105"/>
      <c r="V114" s="105"/>
      <c r="W114" s="105"/>
      <c r="X114" s="105"/>
      <c r="Y114" s="105"/>
      <c r="Z114" s="105"/>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c r="BH114" s="222"/>
      <c r="BI114" s="222"/>
    </row>
    <row r="115" spans="1:61" s="192" customFormat="1" ht="12.75" hidden="1" customHeight="1" outlineLevel="2">
      <c r="A115" s="9"/>
      <c r="B115" s="9"/>
      <c r="C115" s="26"/>
      <c r="D115" s="350" t="s">
        <v>87</v>
      </c>
      <c r="E115" s="88">
        <v>0</v>
      </c>
      <c r="F115" s="27"/>
      <c r="G115" s="212"/>
      <c r="H115" s="70"/>
      <c r="I115" s="70"/>
      <c r="J115" s="70"/>
      <c r="K115" s="70"/>
      <c r="L115" s="70"/>
      <c r="M115" s="70"/>
      <c r="N115" s="70"/>
      <c r="O115" s="70"/>
      <c r="P115" s="70"/>
      <c r="Q115" s="70"/>
      <c r="R115" s="70"/>
      <c r="S115" s="105"/>
      <c r="T115" s="105"/>
      <c r="U115" s="105"/>
      <c r="V115" s="105"/>
      <c r="W115" s="105"/>
      <c r="X115" s="105"/>
      <c r="Y115" s="105"/>
      <c r="Z115" s="105"/>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222"/>
      <c r="BE115" s="222"/>
      <c r="BF115" s="222"/>
      <c r="BG115" s="222"/>
      <c r="BH115" s="222"/>
      <c r="BI115" s="222"/>
    </row>
    <row r="116" spans="1:61" s="192" customFormat="1" ht="12.75" hidden="1" customHeight="1" outlineLevel="2">
      <c r="A116" s="9"/>
      <c r="B116" s="9"/>
      <c r="C116" s="26"/>
      <c r="D116" s="351"/>
      <c r="E116" s="88">
        <v>1</v>
      </c>
      <c r="F116" s="27"/>
      <c r="G116" s="213"/>
      <c r="H116" s="70">
        <f>IF(A4taxstdlife="n/a","n/a",IF(H$3&gt;(A4taxstdlife+$E116),(Input!$G$44-Input!$G$78)-SUM($G116:G116),(Input!$G$44-Input!$G$78)/A4taxstdlife))</f>
        <v>1.1764492</v>
      </c>
      <c r="I116" s="70">
        <f>IF(A4taxstdlife="n/a","n/a",IF(I$3&gt;(A4taxstdlife+$E116),(Input!$G$44-Input!$G$78)-SUM($G116:H116),(Input!$G$44-Input!$G$78)/A4taxstdlife))</f>
        <v>1.1764492</v>
      </c>
      <c r="J116" s="70">
        <f>IF(A4taxstdlife="n/a","n/a",IF(J$3&gt;(A4taxstdlife+$E116),(Input!$G$44-Input!$G$78)-SUM($G116:I116),(Input!$G$44-Input!$G$78)/A4taxstdlife))</f>
        <v>1.1764492</v>
      </c>
      <c r="K116" s="70">
        <f>IF(A4taxstdlife="n/a","n/a",IF(K$3&gt;(A4taxstdlife+$E116),(Input!$G$44-Input!$G$78)-SUM($G116:J116),(Input!$G$44-Input!$G$78)/A4taxstdlife))</f>
        <v>1.1764492</v>
      </c>
      <c r="L116" s="70">
        <f>IF(A4taxstdlife="n/a","n/a",IF(L$3&gt;(A4taxstdlife+$E116),(Input!$G$44-Input!$G$78)-SUM($G116:K116),(Input!$G$44-Input!$G$78)/A4taxstdlife))</f>
        <v>1.1764492</v>
      </c>
      <c r="M116" s="70">
        <f>IF(A4taxstdlife="n/a","n/a",IF(M$3&gt;(A4taxstdlife+$E116),(Input!$G$44-Input!$G$78)-SUM($G116:L116),(Input!$G$44-Input!$G$78)/A4taxstdlife))</f>
        <v>1.1764492</v>
      </c>
      <c r="N116" s="70">
        <f>IF(A4taxstdlife="n/a","n/a",IF(N$3&gt;(A4taxstdlife+$E116),(Input!$G$44-Input!$G$78)-SUM($G116:M116),(Input!$G$44-Input!$G$78)/A4taxstdlife))</f>
        <v>1.1764492</v>
      </c>
      <c r="O116" s="70">
        <f>IF(A4taxstdlife="n/a","n/a",IF(O$3&gt;(A4taxstdlife+$E116),(Input!$G$44-Input!$G$78)-SUM($G116:N116),(Input!$G$44-Input!$G$78)/A4taxstdlife))</f>
        <v>1.1764492</v>
      </c>
      <c r="P116" s="70">
        <f>IF(A4taxstdlife="n/a","n/a",IF(P$3&gt;(A4taxstdlife+$E116),(Input!$G$44-Input!$G$78)-SUM($G116:O116),(Input!$G$44-Input!$G$78)/A4taxstdlife))</f>
        <v>1.1764492</v>
      </c>
      <c r="Q116" s="70">
        <f>IF(A4taxstdlife="n/a","n/a",IF(Q$3&gt;(A4taxstdlife+$E116),(Input!$G$44-Input!$G$78)-SUM($G116:P116),(Input!$G$44-Input!$G$78)/A4taxstdlife))</f>
        <v>1.1764492</v>
      </c>
      <c r="R116" s="70"/>
      <c r="S116" s="105"/>
      <c r="T116" s="105"/>
      <c r="U116" s="105"/>
      <c r="V116" s="105"/>
      <c r="W116" s="105"/>
      <c r="X116" s="105"/>
      <c r="Y116" s="105"/>
      <c r="Z116" s="105"/>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row>
    <row r="117" spans="1:61" s="192" customFormat="1" ht="12.75" hidden="1" customHeight="1" outlineLevel="2">
      <c r="A117" s="9"/>
      <c r="B117" s="9"/>
      <c r="C117" s="26"/>
      <c r="D117" s="351"/>
      <c r="E117" s="88">
        <v>2</v>
      </c>
      <c r="F117" s="27"/>
      <c r="G117" s="214"/>
      <c r="H117" s="152"/>
      <c r="I117" s="70">
        <f>IF(A4taxstdlife="n/a","n/a",IF(I$3&gt;(A4taxstdlife+$E117),(Input!$H$44-Input!$H$78)-SUM($H117:H117),(Input!$H$44-Input!$H$78)/A4taxstdlife))</f>
        <v>0</v>
      </c>
      <c r="J117" s="70">
        <f>IF(A4taxstdlife="n/a","n/a",IF(J$3&gt;(A4taxstdlife+$E117),(Input!$H$44-Input!$H$78)-SUM($H117:I117),(Input!$H$44-Input!$H$78)/A4taxstdlife))</f>
        <v>0</v>
      </c>
      <c r="K117" s="70">
        <f>IF(A4taxstdlife="n/a","n/a",IF(K$3&gt;(A4taxstdlife+$E117),(Input!$H$44-Input!$H$78)-SUM($H117:J117),(Input!$H$44-Input!$H$78)/A4taxstdlife))</f>
        <v>0</v>
      </c>
      <c r="L117" s="70">
        <f>IF(A4taxstdlife="n/a","n/a",IF(L$3&gt;(A4taxstdlife+$E117),(Input!$H$44-Input!$H$78)-SUM($H117:K117),(Input!$H$44-Input!$H$78)/A4taxstdlife))</f>
        <v>0</v>
      </c>
      <c r="M117" s="70">
        <f>IF(A4taxstdlife="n/a","n/a",IF(M$3&gt;(A4taxstdlife+$E117),(Input!$H$44-Input!$H$78)-SUM($H117:L117),(Input!$H$44-Input!$H$78)/A4taxstdlife))</f>
        <v>0</v>
      </c>
      <c r="N117" s="70">
        <f>IF(A4taxstdlife="n/a","n/a",IF(N$3&gt;(A4taxstdlife+$E117),(Input!$H$44-Input!$H$78)-SUM($H117:M117),(Input!$H$44-Input!$H$78)/A4taxstdlife))</f>
        <v>0</v>
      </c>
      <c r="O117" s="70">
        <f>IF(A4taxstdlife="n/a","n/a",IF(O$3&gt;(A4taxstdlife+$E117),(Input!$H$44-Input!$H$78)-SUM($H117:N117),(Input!$H$44-Input!$H$78)/A4taxstdlife))</f>
        <v>0</v>
      </c>
      <c r="P117" s="70">
        <f>IF(A4taxstdlife="n/a","n/a",IF(P$3&gt;(A4taxstdlife+$E117),(Input!$H$44-Input!$H$78)-SUM($H117:O117),(Input!$H$44-Input!$H$78)/A4taxstdlife))</f>
        <v>0</v>
      </c>
      <c r="Q117" s="70">
        <f>IF(A4taxstdlife="n/a","n/a",IF(Q$3&gt;(A4taxstdlife+$E117),(Input!$H$44-Input!$H$78)-SUM($H117:P117),(Input!$H$44-Input!$H$78)/A4taxstdlife))</f>
        <v>0</v>
      </c>
      <c r="R117" s="70"/>
      <c r="S117" s="105"/>
      <c r="T117" s="105"/>
      <c r="U117" s="105"/>
      <c r="V117" s="105"/>
      <c r="W117" s="105"/>
      <c r="X117" s="105"/>
      <c r="Y117" s="105"/>
      <c r="Z117" s="105"/>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row>
    <row r="118" spans="1:61" s="192" customFormat="1" ht="12.75" hidden="1" customHeight="1" outlineLevel="2">
      <c r="A118" s="9"/>
      <c r="B118" s="9"/>
      <c r="C118" s="26"/>
      <c r="D118" s="351"/>
      <c r="E118" s="88">
        <v>3</v>
      </c>
      <c r="F118" s="27"/>
      <c r="G118" s="214"/>
      <c r="H118" s="153"/>
      <c r="I118" s="152"/>
      <c r="J118" s="70">
        <f>IF(A4taxstdlife="n/a","n/a",IF(J$3&gt;(A4taxstdlife+$E118),(Input!$I$44-Input!$I$78)-SUM($I118:I118),(Input!$I$44-Input!$I$78)/A4taxstdlife))</f>
        <v>0</v>
      </c>
      <c r="K118" s="70">
        <f>IF(A4taxstdlife="n/a","n/a",IF(K$3&gt;(A4taxstdlife+$E118),(Input!$I$44-Input!$I$78)-SUM($I118:J118),(Input!$I$44-Input!$I$78)/A4taxstdlife))</f>
        <v>0</v>
      </c>
      <c r="L118" s="70">
        <f>IF(A4taxstdlife="n/a","n/a",IF(L$3&gt;(A4taxstdlife+$E118),(Input!$I$44-Input!$I$78)-SUM($I118:K118),(Input!$I$44-Input!$I$78)/A4taxstdlife))</f>
        <v>0</v>
      </c>
      <c r="M118" s="70">
        <f>IF(A4taxstdlife="n/a","n/a",IF(M$3&gt;(A4taxstdlife+$E118),(Input!$I$44-Input!$I$78)-SUM($I118:L118),(Input!$I$44-Input!$I$78)/A4taxstdlife))</f>
        <v>0</v>
      </c>
      <c r="N118" s="70">
        <f>IF(A4taxstdlife="n/a","n/a",IF(N$3&gt;(A4taxstdlife+$E118),(Input!$I$44-Input!$I$78)-SUM($I118:M118),(Input!$I$44-Input!$I$78)/A4taxstdlife))</f>
        <v>0</v>
      </c>
      <c r="O118" s="70">
        <f>IF(A4taxstdlife="n/a","n/a",IF(O$3&gt;(A4taxstdlife+$E118),(Input!$I$44-Input!$I$78)-SUM($I118:N118),(Input!$I$44-Input!$I$78)/A4taxstdlife))</f>
        <v>0</v>
      </c>
      <c r="P118" s="70">
        <f>IF(A4taxstdlife="n/a","n/a",IF(P$3&gt;(A4taxstdlife+$E118),(Input!$I$44-Input!$I$78)-SUM($I118:O118),(Input!$I$44-Input!$I$78)/A4taxstdlife))</f>
        <v>0</v>
      </c>
      <c r="Q118" s="70">
        <f>IF(A4taxstdlife="n/a","n/a",IF(Q$3&gt;(A4taxstdlife+$E118),(Input!$I$44-Input!$I$78)-SUM($I118:P118),(Input!$I$44-Input!$I$78)/A4taxstdlife))</f>
        <v>0</v>
      </c>
      <c r="R118" s="70"/>
      <c r="S118" s="105"/>
      <c r="T118" s="105"/>
      <c r="U118" s="105"/>
      <c r="V118" s="105"/>
      <c r="W118" s="105"/>
      <c r="X118" s="105"/>
      <c r="Y118" s="105"/>
      <c r="Z118" s="105"/>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row>
    <row r="119" spans="1:61" s="192" customFormat="1" ht="12.75" hidden="1" customHeight="1" outlineLevel="2">
      <c r="A119" s="9"/>
      <c r="B119" s="9"/>
      <c r="C119" s="26"/>
      <c r="D119" s="351"/>
      <c r="E119" s="88">
        <v>4</v>
      </c>
      <c r="F119" s="27"/>
      <c r="G119" s="214"/>
      <c r="H119" s="153"/>
      <c r="I119" s="153"/>
      <c r="J119" s="152"/>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c r="BH119" s="222"/>
      <c r="BI119" s="222"/>
    </row>
    <row r="120" spans="1:61" s="192" customFormat="1" ht="12.75" hidden="1" customHeight="1" outlineLevel="2">
      <c r="A120" s="9"/>
      <c r="B120" s="9"/>
      <c r="C120" s="26"/>
      <c r="D120" s="351"/>
      <c r="E120" s="88">
        <v>5</v>
      </c>
      <c r="F120" s="27"/>
      <c r="G120" s="214"/>
      <c r="H120" s="153"/>
      <c r="I120" s="153"/>
      <c r="J120" s="153"/>
      <c r="K120" s="152"/>
      <c r="L120" s="70">
        <f>IF(A4taxstdlife="n/a","n/a",IF(L$3&gt;(A4taxstdlife+$E120),(Input!$K$44-Input!$K$78)-SUM($K120:K120),(Input!$K$44-Input!$K$78)/A4taxstdlife))</f>
        <v>0</v>
      </c>
      <c r="M120" s="70">
        <f>IF(A4taxstdlife="n/a","n/a",IF(M$3&gt;(A4taxstdlife+$E120),(Input!$K$44-Input!$K$78)-SUM($K120:L120),(Input!$K$44-Input!$K$78)/A4taxstdlife))</f>
        <v>0</v>
      </c>
      <c r="N120" s="70">
        <f>IF(A4taxstdlife="n/a","n/a",IF(N$3&gt;(A4taxstdlife+$E120),(Input!$K$44-Input!$K$78)-SUM($K120:M120),(Input!$K$44-Input!$K$78)/A4taxstdlife))</f>
        <v>0</v>
      </c>
      <c r="O120" s="70">
        <f>IF(A4taxstdlife="n/a","n/a",IF(O$3&gt;(A4taxstdlife+$E120),(Input!$K$44-Input!$K$78)-SUM($K120:N120),(Input!$K$44-Input!$K$78)/A4taxstdlife))</f>
        <v>0</v>
      </c>
      <c r="P120" s="70">
        <f>IF(A4taxstdlife="n/a","n/a",IF(P$3&gt;(A4taxstdlife+$E120),(Input!$K$44-Input!$K$78)-SUM($K120:O120),(Input!$K$44-Input!$K$78)/A4taxstdlife))</f>
        <v>0</v>
      </c>
      <c r="Q120" s="70">
        <f>IF(A4taxstdlife="n/a","n/a",IF(Q$3&gt;(A4taxstdlife+$E120),(Input!$K$44-Input!$K$78)-SUM($K120:P120),(Input!$K$44-Input!$K$78)/A4taxstdlife))</f>
        <v>0</v>
      </c>
      <c r="R120" s="70"/>
      <c r="S120" s="105"/>
      <c r="T120" s="105"/>
      <c r="U120" s="105"/>
      <c r="V120" s="105"/>
      <c r="W120" s="105"/>
      <c r="X120" s="105"/>
      <c r="Y120" s="105"/>
      <c r="Z120" s="105"/>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row>
    <row r="121" spans="1:61" s="192" customFormat="1" ht="12.75" hidden="1" customHeight="1" outlineLevel="2">
      <c r="A121" s="9"/>
      <c r="B121" s="9"/>
      <c r="C121" s="26"/>
      <c r="D121" s="351"/>
      <c r="E121" s="88">
        <v>6</v>
      </c>
      <c r="F121" s="27"/>
      <c r="G121" s="214"/>
      <c r="H121" s="153"/>
      <c r="I121" s="153"/>
      <c r="J121" s="153"/>
      <c r="K121" s="153"/>
      <c r="L121" s="152"/>
      <c r="M121" s="70">
        <f>IF(A4taxstdlife="n/a","n/a",IF(M$3&gt;(A4taxstdlife+$E121),(Input!$L$44-Input!$L$78)-SUM($L121:L121),(Input!$L$44-Input!$L$78)/A4taxstdlife))</f>
        <v>0</v>
      </c>
      <c r="N121" s="70">
        <f>IF(A4taxstdlife="n/a","n/a",IF(N$3&gt;(A4taxstdlife+$E121),(Input!$L$44-Input!$L$78)-SUM($L121:M121),(Input!$L$44-Input!$L$78)/A4taxstdlife))</f>
        <v>0</v>
      </c>
      <c r="O121" s="70">
        <f>IF(A4taxstdlife="n/a","n/a",IF(O$3&gt;(A4taxstdlife+$E121),(Input!$L$44-Input!$L$78)-SUM($L121:N121),(Input!$L$44-Input!$L$78)/A4taxstdlife))</f>
        <v>0</v>
      </c>
      <c r="P121" s="70">
        <f>IF(A4taxstdlife="n/a","n/a",IF(P$3&gt;(A4taxstdlife+$E121),(Input!$L$44-Input!$L$78)-SUM($L121:O121),(Input!$L$44-Input!$L$78)/A4taxstdlife))</f>
        <v>0</v>
      </c>
      <c r="Q121" s="70">
        <f>IF(A4taxstdlife="n/a","n/a",IF(Q$3&gt;(A4taxstdlife+$E121),(Input!$L$44-Input!$L$78)-SUM($L121:P121),(Input!$L$44-Input!$L$78)/A4taxstdlife))</f>
        <v>0</v>
      </c>
      <c r="R121" s="70"/>
      <c r="S121" s="105"/>
      <c r="T121" s="105"/>
      <c r="U121" s="105"/>
      <c r="V121" s="105"/>
      <c r="W121" s="105"/>
      <c r="X121" s="105"/>
      <c r="Y121" s="105"/>
      <c r="Z121" s="105"/>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c r="BH121" s="222"/>
      <c r="BI121" s="222"/>
    </row>
    <row r="122" spans="1:61" s="192" customFormat="1" ht="12.75" hidden="1" customHeight="1" outlineLevel="2">
      <c r="A122" s="9"/>
      <c r="B122" s="9"/>
      <c r="C122" s="26"/>
      <c r="D122" s="351"/>
      <c r="E122" s="88">
        <v>7</v>
      </c>
      <c r="F122" s="27"/>
      <c r="G122" s="214"/>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row>
    <row r="123" spans="1:61" s="192" customFormat="1" ht="12.75" hidden="1" customHeight="1" outlineLevel="2">
      <c r="A123" s="9"/>
      <c r="B123" s="9"/>
      <c r="C123" s="26"/>
      <c r="D123" s="351"/>
      <c r="E123" s="88">
        <v>8</v>
      </c>
      <c r="F123" s="27"/>
      <c r="G123" s="214"/>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row>
    <row r="124" spans="1:61" s="192" customFormat="1" ht="12.75" hidden="1" customHeight="1" outlineLevel="2">
      <c r="A124" s="9"/>
      <c r="B124" s="9"/>
      <c r="C124" s="26"/>
      <c r="D124" s="351"/>
      <c r="E124" s="88">
        <v>9</v>
      </c>
      <c r="F124" s="27"/>
      <c r="G124" s="214"/>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c r="BH124" s="222"/>
      <c r="BI124" s="222"/>
    </row>
    <row r="125" spans="1:61" s="192" customFormat="1" ht="12.75" hidden="1" customHeight="1" outlineLevel="2">
      <c r="A125" s="9"/>
      <c r="B125" s="9"/>
      <c r="C125" s="26"/>
      <c r="D125" s="351"/>
      <c r="E125" s="88">
        <v>10</v>
      </c>
      <c r="F125" s="27"/>
      <c r="G125" s="214"/>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row>
    <row r="126" spans="1:61" s="192" customFormat="1" ht="12.75" hidden="1" customHeight="1" outlineLevel="2">
      <c r="A126" s="9"/>
      <c r="B126" s="9"/>
      <c r="C126" s="26"/>
      <c r="D126" s="351"/>
      <c r="E126" s="89">
        <v>11</v>
      </c>
      <c r="F126" s="27"/>
      <c r="G126" s="214"/>
      <c r="H126" s="153"/>
      <c r="I126" s="153"/>
      <c r="J126" s="153"/>
      <c r="K126" s="153"/>
      <c r="L126" s="153"/>
      <c r="M126" s="153"/>
      <c r="N126" s="153"/>
      <c r="O126" s="153"/>
      <c r="P126" s="194"/>
      <c r="Q126" s="152"/>
      <c r="R126" s="70"/>
      <c r="S126" s="105"/>
      <c r="T126" s="105"/>
      <c r="U126" s="105"/>
      <c r="V126" s="105"/>
      <c r="W126" s="105"/>
      <c r="X126" s="105"/>
      <c r="Y126" s="105"/>
      <c r="Z126" s="105"/>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row>
    <row r="127" spans="1:61" s="192" customFormat="1" hidden="1" outlineLevel="1">
      <c r="A127" s="9"/>
      <c r="B127" s="9"/>
      <c r="C127" s="26" t="str">
        <f>Asset4</f>
        <v>Underground Distribution Cables</v>
      </c>
      <c r="D127" s="9"/>
      <c r="E127" s="9"/>
      <c r="F127" s="23"/>
      <c r="G127" s="215">
        <f t="shared" ref="G127:L127" si="37">-SUM(G114:G126)</f>
        <v>-8.9454134101535612</v>
      </c>
      <c r="H127" s="169">
        <f t="shared" si="37"/>
        <v>-10.121862610153562</v>
      </c>
      <c r="I127" s="169">
        <f t="shared" si="37"/>
        <v>-10.121862610153562</v>
      </c>
      <c r="J127" s="169">
        <f t="shared" si="37"/>
        <v>-10.121862610153562</v>
      </c>
      <c r="K127" s="169">
        <f t="shared" si="37"/>
        <v>-10.121862610153562</v>
      </c>
      <c r="L127" s="169">
        <f t="shared" si="37"/>
        <v>-10.121862610153562</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row>
    <row r="128" spans="1:61" s="192" customFormat="1" ht="12.75" hidden="1" customHeight="1" outlineLevel="2">
      <c r="A128" s="9"/>
      <c r="B128" s="32" t="str">
        <f>Asset5</f>
        <v xml:space="preserve">Distribution Equipment  </v>
      </c>
      <c r="C128" s="33"/>
      <c r="D128" s="34" t="s">
        <v>69</v>
      </c>
      <c r="E128" s="33"/>
      <c r="F128" s="35"/>
      <c r="G128" s="211">
        <f>IF(G$3&gt;A5taxremlife,A5taxvalue-SUM($F128:F128),IF(A5taxremlife="N/A","n/a",A5taxvalue/A5taxremlife))</f>
        <v>0.30757005160839368</v>
      </c>
      <c r="H128" s="69">
        <f>IF(H$3&gt;A5taxremlife,A5taxvalue-SUM($F128:G128),IF(A5taxremlife="N/A","n/a",A5taxvalue/A5taxremlife))</f>
        <v>0.30757005160839368</v>
      </c>
      <c r="I128" s="69">
        <f>IF(I$3&gt;A5taxremlife,A5taxvalue-SUM($F128:H128),IF(A5taxremlife="N/A","n/a",A5taxvalue/A5taxremlife))</f>
        <v>0.30757005160839368</v>
      </c>
      <c r="J128" s="69">
        <f>IF(J$3&gt;A5taxremlife,A5taxvalue-SUM($F128:I128),IF(A5taxremlife="N/A","n/a",A5taxvalue/A5taxremlife))</f>
        <v>0.30757005160839368</v>
      </c>
      <c r="K128" s="69">
        <f>IF(K$3&gt;A5taxremlife,A5taxvalue-SUM($F128:J128),IF(A5taxremlife="N/A","n/a",A5taxvalue/A5taxremlife))</f>
        <v>0.30757005160839368</v>
      </c>
      <c r="L128" s="69">
        <f>IF(L$3&gt;A5taxremlife,A5taxvalue-SUM($F128:K128),IF(A5taxremlife="N/A","n/a",A5taxvalue/A5taxremlife))</f>
        <v>0.30757005160839368</v>
      </c>
      <c r="M128" s="69">
        <f>IF(M$3&gt;A5taxremlife,A5taxvalue-SUM($F128:L128),IF(A5taxremlife="N/A","n/a",A5taxvalue/A5taxremlife))</f>
        <v>0.30757005160839368</v>
      </c>
      <c r="N128" s="69">
        <f>IF(N$3&gt;A5taxremlife,A5taxvalue-SUM($F128:M128),IF(A5taxremlife="N/A","n/a",A5taxvalue/A5taxremlife))</f>
        <v>0.30757005160839368</v>
      </c>
      <c r="O128" s="69">
        <f>IF(O$3&gt;A5taxremlife,A5taxvalue-SUM($F128:N128),IF(A5taxremlife="N/A","n/a",A5taxvalue/A5taxremlife))</f>
        <v>0.30757005160839368</v>
      </c>
      <c r="P128" s="69">
        <f>IF(P$3&gt;A5taxremlife,A5taxvalue-SUM($F128:O128),IF(A5taxremlife="N/A","n/a",A5taxvalue/A5taxremlife))</f>
        <v>0.30757005160839368</v>
      </c>
      <c r="Q128" s="69">
        <f>IF(Q$3&gt;A5taxremlife,A5taxvalue-SUM($F128:P128),IF(A5taxremlife="N/A","n/a",A5taxvalue/A5taxremlife))</f>
        <v>0.30757005160839368</v>
      </c>
      <c r="R128" s="69"/>
      <c r="S128" s="105"/>
      <c r="T128" s="105"/>
      <c r="U128" s="105"/>
      <c r="V128" s="105"/>
      <c r="W128" s="105"/>
      <c r="X128" s="105"/>
      <c r="Y128" s="105"/>
      <c r="Z128" s="105"/>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c r="BH128" s="222"/>
      <c r="BI128" s="222"/>
    </row>
    <row r="129" spans="1:256" s="192" customFormat="1" ht="12.75" hidden="1" customHeight="1" outlineLevel="2">
      <c r="A129" s="9"/>
      <c r="B129" s="9"/>
      <c r="C129" s="26"/>
      <c r="D129" s="350" t="s">
        <v>87</v>
      </c>
      <c r="E129" s="88">
        <v>0</v>
      </c>
      <c r="F129" s="27"/>
      <c r="G129" s="212"/>
      <c r="H129" s="70"/>
      <c r="I129" s="70"/>
      <c r="J129" s="70"/>
      <c r="K129" s="70"/>
      <c r="L129" s="70"/>
      <c r="M129" s="70"/>
      <c r="N129" s="70"/>
      <c r="O129" s="70"/>
      <c r="P129" s="70"/>
      <c r="Q129" s="70"/>
      <c r="R129" s="70"/>
      <c r="S129" s="105"/>
      <c r="T129" s="105"/>
      <c r="U129" s="105"/>
      <c r="V129" s="105"/>
      <c r="W129" s="105"/>
      <c r="X129" s="105"/>
      <c r="Y129" s="105"/>
      <c r="Z129" s="105"/>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c r="BH129" s="222"/>
      <c r="BI129" s="222"/>
    </row>
    <row r="130" spans="1:256" s="192" customFormat="1" ht="12.75" hidden="1" customHeight="1" outlineLevel="2">
      <c r="A130" s="9"/>
      <c r="B130" s="9"/>
      <c r="C130" s="26"/>
      <c r="D130" s="351"/>
      <c r="E130" s="88">
        <v>1</v>
      </c>
      <c r="F130" s="27"/>
      <c r="G130" s="213"/>
      <c r="H130" s="70">
        <f>IF(A5taxstdlife="n/a","n/a",IF(H$3&gt;(A5taxstdlife+$E130),(Input!$G$45-Input!$G$79)-SUM($G130:G130),(Input!$G$45-Input!$G$79)/A5taxstdlife))</f>
        <v>5.5413111111111114E-2</v>
      </c>
      <c r="I130" s="70">
        <f>IF(A5taxstdlife="n/a","n/a",IF(I$3&gt;(A5taxstdlife+$E130),(Input!$G$45-Input!$G$79)-SUM($G130:H130),(Input!$G$45-Input!$G$79)/A5taxstdlife))</f>
        <v>5.5413111111111114E-2</v>
      </c>
      <c r="J130" s="70">
        <f>IF(A5taxstdlife="n/a","n/a",IF(J$3&gt;(A5taxstdlife+$E130),(Input!$G$45-Input!$G$79)-SUM($G130:I130),(Input!$G$45-Input!$G$79)/A5taxstdlife))</f>
        <v>5.5413111111111114E-2</v>
      </c>
      <c r="K130" s="70">
        <f>IF(A5taxstdlife="n/a","n/a",IF(K$3&gt;(A5taxstdlife+$E130),(Input!$G$45-Input!$G$79)-SUM($G130:J130),(Input!$G$45-Input!$G$79)/A5taxstdlife))</f>
        <v>5.5413111111111114E-2</v>
      </c>
      <c r="L130" s="70">
        <f>IF(A5taxstdlife="n/a","n/a",IF(L$3&gt;(A5taxstdlife+$E130),(Input!$G$45-Input!$G$79)-SUM($G130:K130),(Input!$G$45-Input!$G$79)/A5taxstdlife))</f>
        <v>5.5413111111111114E-2</v>
      </c>
      <c r="M130" s="70">
        <f>IF(A5taxstdlife="n/a","n/a",IF(M$3&gt;(A5taxstdlife+$E130),(Input!$G$45-Input!$G$79)-SUM($G130:L130),(Input!$G$45-Input!$G$79)/A5taxstdlife))</f>
        <v>5.5413111111111114E-2</v>
      </c>
      <c r="N130" s="70">
        <f>IF(A5taxstdlife="n/a","n/a",IF(N$3&gt;(A5taxstdlife+$E130),(Input!$G$45-Input!$G$79)-SUM($G130:M130),(Input!$G$45-Input!$G$79)/A5taxstdlife))</f>
        <v>5.5413111111111114E-2</v>
      </c>
      <c r="O130" s="70">
        <f>IF(A5taxstdlife="n/a","n/a",IF(O$3&gt;(A5taxstdlife+$E130),(Input!$G$45-Input!$G$79)-SUM($G130:N130),(Input!$G$45-Input!$G$79)/A5taxstdlife))</f>
        <v>5.5413111111111114E-2</v>
      </c>
      <c r="P130" s="70">
        <f>IF(A5taxstdlife="n/a","n/a",IF(P$3&gt;(A5taxstdlife+$E130),(Input!$G$45-Input!$G$79)-SUM($G130:O130),(Input!$G$45-Input!$G$79)/A5taxstdlife))</f>
        <v>5.5413111111111114E-2</v>
      </c>
      <c r="Q130" s="70">
        <f>IF(A5taxstdlife="n/a","n/a",IF(Q$3&gt;(A5taxstdlife+$E130),(Input!$G$45-Input!$G$79)-SUM($G130:P130),(Input!$G$45-Input!$G$79)/A5taxstdlife))</f>
        <v>5.5413111111111114E-2</v>
      </c>
      <c r="R130" s="70"/>
      <c r="S130" s="105"/>
      <c r="T130" s="105"/>
      <c r="U130" s="105"/>
      <c r="V130" s="105"/>
      <c r="W130" s="105"/>
      <c r="X130" s="105"/>
      <c r="Y130" s="105"/>
      <c r="Z130" s="105"/>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row>
    <row r="131" spans="1:256" s="192" customFormat="1" ht="12.75" hidden="1" customHeight="1" outlineLevel="2">
      <c r="A131" s="9"/>
      <c r="B131" s="9"/>
      <c r="C131" s="26"/>
      <c r="D131" s="351"/>
      <c r="E131" s="88">
        <v>2</v>
      </c>
      <c r="F131" s="27"/>
      <c r="G131" s="214"/>
      <c r="H131" s="152"/>
      <c r="I131" s="70">
        <f>IF(A5taxstdlife="n/a","n/a",IF(I$3&gt;(A5taxstdlife+$E131),(Input!$H$45-Input!$H$79)-SUM($H131:H131),(Input!$H$45-Input!$H$79)/A5taxstdlife))</f>
        <v>0</v>
      </c>
      <c r="J131" s="70">
        <f>IF(A5taxstdlife="n/a","n/a",IF(J$3&gt;(A5taxstdlife+$E131),(Input!$H$45-Input!$H$79)-SUM($H131:I131),(Input!$H$45-Input!$H$79)/A5taxstdlife))</f>
        <v>0</v>
      </c>
      <c r="K131" s="70">
        <f>IF(A5taxstdlife="n/a","n/a",IF(K$3&gt;(A5taxstdlife+$E131),(Input!$H$45-Input!$H$79)-SUM($H131:J131),(Input!$H$45-Input!$H$79)/A5taxstdlife))</f>
        <v>0</v>
      </c>
      <c r="L131" s="70">
        <f>IF(A5taxstdlife="n/a","n/a",IF(L$3&gt;(A5taxstdlife+$E131),(Input!$H$45-Input!$H$79)-SUM($H131:K131),(Input!$H$45-Input!$H$79)/A5taxstdlife))</f>
        <v>0</v>
      </c>
      <c r="M131" s="70">
        <f>IF(A5taxstdlife="n/a","n/a",IF(M$3&gt;(A5taxstdlife+$E131),(Input!$H$45-Input!$H$79)-SUM($H131:L131),(Input!$H$45-Input!$H$79)/A5taxstdlife))</f>
        <v>0</v>
      </c>
      <c r="N131" s="70">
        <f>IF(A5taxstdlife="n/a","n/a",IF(N$3&gt;(A5taxstdlife+$E131),(Input!$H$45-Input!$H$79)-SUM($H131:M131),(Input!$H$45-Input!$H$79)/A5taxstdlife))</f>
        <v>0</v>
      </c>
      <c r="O131" s="70">
        <f>IF(A5taxstdlife="n/a","n/a",IF(O$3&gt;(A5taxstdlife+$E131),(Input!$H$45-Input!$H$79)-SUM($H131:N131),(Input!$H$45-Input!$H$79)/A5taxstdlife))</f>
        <v>0</v>
      </c>
      <c r="P131" s="70">
        <f>IF(A5taxstdlife="n/a","n/a",IF(P$3&gt;(A5taxstdlife+$E131),(Input!$H$45-Input!$H$79)-SUM($H131:O131),(Input!$H$45-Input!$H$79)/A5taxstdlife))</f>
        <v>0</v>
      </c>
      <c r="Q131" s="70">
        <f>IF(A5taxstdlife="n/a","n/a",IF(Q$3&gt;(A5taxstdlife+$E131),(Input!$H$45-Input!$H$79)-SUM($H131:P131),(Input!$H$45-Input!$H$79)/A5taxstdlife))</f>
        <v>0</v>
      </c>
      <c r="R131" s="70"/>
      <c r="S131" s="105"/>
      <c r="T131" s="105"/>
      <c r="U131" s="105"/>
      <c r="V131" s="105"/>
      <c r="W131" s="105"/>
      <c r="X131" s="105"/>
      <c r="Y131" s="105"/>
      <c r="Z131" s="105"/>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c r="BH131" s="222"/>
      <c r="BI131" s="222"/>
    </row>
    <row r="132" spans="1:256" s="192" customFormat="1" ht="12.75" hidden="1" customHeight="1" outlineLevel="2">
      <c r="A132" s="9"/>
      <c r="B132" s="9"/>
      <c r="C132" s="26"/>
      <c r="D132" s="351"/>
      <c r="E132" s="88">
        <v>3</v>
      </c>
      <c r="F132" s="27"/>
      <c r="G132" s="214"/>
      <c r="H132" s="153"/>
      <c r="I132" s="152"/>
      <c r="J132" s="70">
        <f>IF(A5taxstdlife="n/a","n/a",IF(J$3&gt;(A5taxstdlife+$E132),(Input!$I$45-Input!$I$79)-SUM($I132:I132),(Input!$I$45-Input!$I$79)/A5taxstdlife))</f>
        <v>0</v>
      </c>
      <c r="K132" s="70">
        <f>IF(A5taxstdlife="n/a","n/a",IF(K$3&gt;(A5taxstdlife+$E132),(Input!$I$45-Input!$I$79)-SUM($I132:J132),(Input!$I$45-Input!$I$79)/A5taxstdlife))</f>
        <v>0</v>
      </c>
      <c r="L132" s="70">
        <f>IF(A5taxstdlife="n/a","n/a",IF(L$3&gt;(A5taxstdlife+$E132),(Input!$I$45-Input!$I$79)-SUM($I132:K132),(Input!$I$45-Input!$I$79)/A5taxstdlife))</f>
        <v>0</v>
      </c>
      <c r="M132" s="70">
        <f>IF(A5taxstdlife="n/a","n/a",IF(M$3&gt;(A5taxstdlife+$E132),(Input!$I$45-Input!$I$79)-SUM($I132:L132),(Input!$I$45-Input!$I$79)/A5taxstdlife))</f>
        <v>0</v>
      </c>
      <c r="N132" s="70">
        <f>IF(A5taxstdlife="n/a","n/a",IF(N$3&gt;(A5taxstdlife+$E132),(Input!$I$45-Input!$I$79)-SUM($I132:M132),(Input!$I$45-Input!$I$79)/A5taxstdlife))</f>
        <v>0</v>
      </c>
      <c r="O132" s="70">
        <f>IF(A5taxstdlife="n/a","n/a",IF(O$3&gt;(A5taxstdlife+$E132),(Input!$I$45-Input!$I$79)-SUM($I132:N132),(Input!$I$45-Input!$I$79)/A5taxstdlife))</f>
        <v>0</v>
      </c>
      <c r="P132" s="70">
        <f>IF(A5taxstdlife="n/a","n/a",IF(P$3&gt;(A5taxstdlife+$E132),(Input!$I$45-Input!$I$79)-SUM($I132:O132),(Input!$I$45-Input!$I$79)/A5taxstdlife))</f>
        <v>0</v>
      </c>
      <c r="Q132" s="70">
        <f>IF(A5taxstdlife="n/a","n/a",IF(Q$3&gt;(A5taxstdlife+$E132),(Input!$I$45-Input!$I$79)-SUM($I132:P132),(Input!$I$45-Input!$I$79)/A5taxstdlife))</f>
        <v>0</v>
      </c>
      <c r="R132" s="70"/>
      <c r="S132" s="105"/>
      <c r="T132" s="105"/>
      <c r="U132" s="105"/>
      <c r="V132" s="105"/>
      <c r="W132" s="105"/>
      <c r="X132" s="105"/>
      <c r="Y132" s="105"/>
      <c r="Z132" s="105"/>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row>
    <row r="133" spans="1:256" s="192" customFormat="1" ht="12.75" hidden="1" customHeight="1" outlineLevel="2">
      <c r="A133" s="9"/>
      <c r="B133" s="9"/>
      <c r="C133" s="26"/>
      <c r="D133" s="351"/>
      <c r="E133" s="88">
        <v>4</v>
      </c>
      <c r="F133" s="27"/>
      <c r="G133" s="214"/>
      <c r="H133" s="153"/>
      <c r="I133" s="153"/>
      <c r="J133" s="152"/>
      <c r="K133" s="70">
        <f>IF(A5taxstdlife="n/a","n/a",IF(K$3&gt;(A5taxstdlife+$E133),(Input!$J$45-Input!$J$79)-SUM($J133:J133),(Input!$J$45-Input!$J$79)/A5taxstdlife))</f>
        <v>0</v>
      </c>
      <c r="L133" s="70">
        <f>IF(A5taxstdlife="n/a","n/a",IF(L$3&gt;(A5taxstdlife+$E133),(Input!$J$45-Input!$J$79)-SUM($J133:K133),(Input!$J$45-Input!$J$79)/A5taxstdlife))</f>
        <v>0</v>
      </c>
      <c r="M133" s="70">
        <f>IF(A5taxstdlife="n/a","n/a",IF(M$3&gt;(A5taxstdlife+$E133),(Input!$J$45-Input!$J$79)-SUM($J133:L133),(Input!$J$45-Input!$J$79)/A5taxstdlife))</f>
        <v>0</v>
      </c>
      <c r="N133" s="70">
        <f>IF(A5taxstdlife="n/a","n/a",IF(N$3&gt;(A5taxstdlife+$E133),(Input!$J$45-Input!$J$79)-SUM($J133:M133),(Input!$J$45-Input!$J$79)/A5taxstdlife))</f>
        <v>0</v>
      </c>
      <c r="O133" s="70">
        <f>IF(A5taxstdlife="n/a","n/a",IF(O$3&gt;(A5taxstdlife+$E133),(Input!$J$45-Input!$J$79)-SUM($J133:N133),(Input!$J$45-Input!$J$79)/A5taxstdlife))</f>
        <v>0</v>
      </c>
      <c r="P133" s="70">
        <f>IF(A5taxstdlife="n/a","n/a",IF(P$3&gt;(A5taxstdlife+$E133),(Input!$J$45-Input!$J$79)-SUM($J133:O133),(Input!$J$45-Input!$J$79)/A5taxstdlife))</f>
        <v>0</v>
      </c>
      <c r="Q133" s="70">
        <f>IF(A5taxstdlife="n/a","n/a",IF(Q$3&gt;(A5taxstdlife+$E133),(Input!$J$45-Input!$J$79)-SUM($J133:P133),(Input!$J$45-Input!$J$79)/A5taxstdlife))</f>
        <v>0</v>
      </c>
      <c r="R133" s="70"/>
      <c r="S133" s="105"/>
      <c r="T133" s="105"/>
      <c r="U133" s="105"/>
      <c r="V133" s="105"/>
      <c r="W133" s="105"/>
      <c r="X133" s="105"/>
      <c r="Y133" s="105"/>
      <c r="Z133" s="105"/>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c r="BH133" s="222"/>
      <c r="BI133" s="222"/>
    </row>
    <row r="134" spans="1:256" s="192" customFormat="1" ht="12.75" hidden="1" customHeight="1" outlineLevel="2">
      <c r="A134" s="9"/>
      <c r="B134" s="9"/>
      <c r="C134" s="26"/>
      <c r="D134" s="351"/>
      <c r="E134" s="88">
        <v>5</v>
      </c>
      <c r="F134" s="27"/>
      <c r="G134" s="214"/>
      <c r="H134" s="153"/>
      <c r="I134" s="153"/>
      <c r="J134" s="153"/>
      <c r="K134" s="152"/>
      <c r="L134" s="70">
        <f>IF(A5taxstdlife="n/a","n/a",IF(L$3&gt;(A5taxstdlife+$E134),(Input!$K$45-Input!$K$79)-SUM($K134:K134),(Input!$K$45-Input!$K$79)/A5taxstdlife))</f>
        <v>0</v>
      </c>
      <c r="M134" s="70">
        <f>IF(A5taxstdlife="n/a","n/a",IF(M$3&gt;(A5taxstdlife+$E134),(Input!$K$45-Input!$K$79)-SUM($K134:L134),(Input!$K$45-Input!$K$79)/A5taxstdlife))</f>
        <v>0</v>
      </c>
      <c r="N134" s="70">
        <f>IF(A5taxstdlife="n/a","n/a",IF(N$3&gt;(A5taxstdlife+$E134),(Input!$K$45-Input!$K$79)-SUM($K134:M134),(Input!$K$45-Input!$K$79)/A5taxstdlife))</f>
        <v>0</v>
      </c>
      <c r="O134" s="70">
        <f>IF(A5taxstdlife="n/a","n/a",IF(O$3&gt;(A5taxstdlife+$E134),(Input!$K$45-Input!$K$79)-SUM($K134:N134),(Input!$K$45-Input!$K$79)/A5taxstdlife))</f>
        <v>0</v>
      </c>
      <c r="P134" s="70">
        <f>IF(A5taxstdlife="n/a","n/a",IF(P$3&gt;(A5taxstdlife+$E134),(Input!$K$45-Input!$K$79)-SUM($K134:O134),(Input!$K$45-Input!$K$79)/A5taxstdlife))</f>
        <v>0</v>
      </c>
      <c r="Q134" s="70">
        <f>IF(A5taxstdlife="n/a","n/a",IF(Q$3&gt;(A5taxstdlife+$E134),(Input!$K$45-Input!$K$79)-SUM($K134:P134),(Input!$K$45-Input!$K$79)/A5taxstdlife))</f>
        <v>0</v>
      </c>
      <c r="R134" s="70"/>
      <c r="S134" s="105"/>
      <c r="T134" s="105"/>
      <c r="U134" s="105"/>
      <c r="V134" s="105"/>
      <c r="W134" s="105"/>
      <c r="X134" s="105"/>
      <c r="Y134" s="105"/>
      <c r="Z134" s="105"/>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c r="BH134" s="222"/>
      <c r="BI134" s="222"/>
    </row>
    <row r="135" spans="1:256" s="192" customFormat="1" ht="12.75" hidden="1" customHeight="1" outlineLevel="2">
      <c r="A135" s="9"/>
      <c r="B135" s="9"/>
      <c r="C135" s="26"/>
      <c r="D135" s="351"/>
      <c r="E135" s="88">
        <v>6</v>
      </c>
      <c r="F135" s="27"/>
      <c r="G135" s="214"/>
      <c r="H135" s="153"/>
      <c r="I135" s="153"/>
      <c r="J135" s="153"/>
      <c r="K135" s="153"/>
      <c r="L135" s="152"/>
      <c r="M135" s="70">
        <f>IF(A5taxstdlife="n/a","n/a",IF(M$3&gt;(A5taxstdlife+$E135),(Input!$L$45-Input!$L$79)-SUM($L135:L135),(Input!$L$45-Input!$L$79)/A5taxstdlife))</f>
        <v>0</v>
      </c>
      <c r="N135" s="70">
        <f>IF(A5taxstdlife="n/a","n/a",IF(N$3&gt;(A5taxstdlife+$E135),(Input!$L$45-Input!$L$79)-SUM($L135:M135),(Input!$L$45-Input!$L$79)/A5taxstdlife))</f>
        <v>0</v>
      </c>
      <c r="O135" s="70">
        <f>IF(A5taxstdlife="n/a","n/a",IF(O$3&gt;(A5taxstdlife+$E135),(Input!$L$45-Input!$L$79)-SUM($L135:N135),(Input!$L$45-Input!$L$79)/A5taxstdlife))</f>
        <v>0</v>
      </c>
      <c r="P135" s="70">
        <f>IF(A5taxstdlife="n/a","n/a",IF(P$3&gt;(A5taxstdlife+$E135),(Input!$L$45-Input!$L$79)-SUM($L135:O135),(Input!$L$45-Input!$L$79)/A5taxstdlife))</f>
        <v>0</v>
      </c>
      <c r="Q135" s="70">
        <f>IF(A5taxstdlife="n/a","n/a",IF(Q$3&gt;(A5taxstdlife+$E135),(Input!$L$45-Input!$L$79)-SUM($L135:P135),(Input!$L$45-Input!$L$79)/A5taxstdlife))</f>
        <v>0</v>
      </c>
      <c r="R135" s="70"/>
      <c r="S135" s="105"/>
      <c r="T135" s="105"/>
      <c r="U135" s="105"/>
      <c r="V135" s="105"/>
      <c r="W135" s="105"/>
      <c r="X135" s="105"/>
      <c r="Y135" s="105"/>
      <c r="Z135" s="105"/>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c r="BH135" s="222"/>
      <c r="BI135" s="222"/>
    </row>
    <row r="136" spans="1:256" s="192" customFormat="1" ht="12.75" hidden="1" customHeight="1" outlineLevel="2">
      <c r="A136" s="9"/>
      <c r="B136" s="9"/>
      <c r="C136" s="26"/>
      <c r="D136" s="351"/>
      <c r="E136" s="88">
        <v>7</v>
      </c>
      <c r="F136" s="27"/>
      <c r="G136" s="214"/>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row>
    <row r="137" spans="1:256" s="192" customFormat="1" ht="12.75" hidden="1" customHeight="1" outlineLevel="2">
      <c r="A137" s="9"/>
      <c r="B137" s="9"/>
      <c r="C137" s="26"/>
      <c r="D137" s="351"/>
      <c r="E137" s="88">
        <v>8</v>
      </c>
      <c r="F137" s="27"/>
      <c r="G137" s="214"/>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c r="BH137" s="222"/>
      <c r="BI137" s="222"/>
    </row>
    <row r="138" spans="1:256" s="192" customFormat="1" ht="12.75" hidden="1" customHeight="1" outlineLevel="2">
      <c r="A138" s="9"/>
      <c r="B138" s="9"/>
      <c r="C138" s="26"/>
      <c r="D138" s="351"/>
      <c r="E138" s="88">
        <v>9</v>
      </c>
      <c r="F138" s="27"/>
      <c r="G138" s="214"/>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c r="BH138" s="222"/>
      <c r="BI138" s="222"/>
    </row>
    <row r="139" spans="1:256" s="192" customFormat="1" ht="12.75" hidden="1" customHeight="1" outlineLevel="2">
      <c r="A139" s="9"/>
      <c r="B139" s="9"/>
      <c r="C139" s="26"/>
      <c r="D139" s="351"/>
      <c r="E139" s="88">
        <v>10</v>
      </c>
      <c r="F139" s="27"/>
      <c r="G139" s="214"/>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c r="BG139" s="222"/>
      <c r="BH139" s="222"/>
      <c r="BI139" s="222"/>
    </row>
    <row r="140" spans="1:256" s="192" customFormat="1" ht="12.75" hidden="1" customHeight="1" outlineLevel="2">
      <c r="A140" s="9"/>
      <c r="B140" s="9"/>
      <c r="C140" s="26"/>
      <c r="D140" s="351"/>
      <c r="E140" s="89">
        <v>11</v>
      </c>
      <c r="F140" s="27"/>
      <c r="G140" s="214"/>
      <c r="H140" s="153"/>
      <c r="I140" s="153"/>
      <c r="J140" s="153"/>
      <c r="K140" s="153"/>
      <c r="L140" s="153"/>
      <c r="M140" s="153"/>
      <c r="N140" s="153"/>
      <c r="O140" s="153"/>
      <c r="P140" s="194"/>
      <c r="Q140" s="152"/>
      <c r="R140" s="70"/>
      <c r="S140" s="105"/>
      <c r="T140" s="105"/>
      <c r="U140" s="105"/>
      <c r="V140" s="105"/>
      <c r="W140" s="105"/>
      <c r="X140" s="105"/>
      <c r="Y140" s="105"/>
      <c r="Z140" s="105"/>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222"/>
      <c r="BE140" s="222"/>
      <c r="BF140" s="222"/>
      <c r="BG140" s="222"/>
      <c r="BH140" s="222"/>
      <c r="BI140" s="222"/>
    </row>
    <row r="141" spans="1:256" s="192" customFormat="1" hidden="1" outlineLevel="1">
      <c r="A141" s="9"/>
      <c r="B141" s="9"/>
      <c r="C141" s="26" t="str">
        <f>Asset5</f>
        <v xml:space="preserve">Distribution Equipment  </v>
      </c>
      <c r="D141" s="9"/>
      <c r="E141" s="9"/>
      <c r="F141" s="23"/>
      <c r="G141" s="215">
        <f t="shared" ref="G141:L141" si="38">-SUM(G128:G140)</f>
        <v>-0.30757005160839368</v>
      </c>
      <c r="H141" s="169">
        <f t="shared" si="38"/>
        <v>-0.36298316271950481</v>
      </c>
      <c r="I141" s="169">
        <f t="shared" si="38"/>
        <v>-0.36298316271950481</v>
      </c>
      <c r="J141" s="169">
        <f t="shared" si="38"/>
        <v>-0.36298316271950481</v>
      </c>
      <c r="K141" s="169">
        <f t="shared" si="38"/>
        <v>-0.36298316271950481</v>
      </c>
      <c r="L141" s="169">
        <f t="shared" si="38"/>
        <v>-0.36298316271950481</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row>
    <row r="142" spans="1:256" s="5" customFormat="1" ht="12.75" hidden="1" customHeight="1" outlineLevel="2">
      <c r="A142" s="9"/>
      <c r="B142" s="32" t="str">
        <f>Asset6</f>
        <v>Substation Bays</v>
      </c>
      <c r="C142" s="33"/>
      <c r="D142" s="34" t="s">
        <v>69</v>
      </c>
      <c r="E142" s="33"/>
      <c r="F142" s="35"/>
      <c r="G142" s="211">
        <f>IF(G$3&gt;A6taxremlife,A6taxvalue-SUM($F142:F142),IF(A6taxremlife="N/A","n/a",A6taxvalue/A6taxremlife))</f>
        <v>9.1737413847317786</v>
      </c>
      <c r="H142" s="69">
        <f>IF(H$3&gt;A6taxremlife,A6taxvalue-SUM($F142:G142),IF(A6taxremlife="N/A","n/a",A6taxvalue/A6taxremlife))</f>
        <v>9.1737413847317786</v>
      </c>
      <c r="I142" s="69">
        <f>IF(I$3&gt;A6taxremlife,A6taxvalue-SUM($F142:H142),IF(A6taxremlife="N/A","n/a",A6taxvalue/A6taxremlife))</f>
        <v>9.1737413847317786</v>
      </c>
      <c r="J142" s="69">
        <f>IF(J$3&gt;A6taxremlife,A6taxvalue-SUM($F142:I142),IF(A6taxremlife="N/A","n/a",A6taxvalue/A6taxremlife))</f>
        <v>9.1737413847317786</v>
      </c>
      <c r="K142" s="69">
        <f>IF(K$3&gt;A6taxremlife,A6taxvalue-SUM($F142:J142),IF(A6taxremlife="N/A","n/a",A6taxvalue/A6taxremlife))</f>
        <v>9.1737413847317786</v>
      </c>
      <c r="L142" s="69">
        <f>IF(L$3&gt;A6taxremlife,A6taxvalue-SUM($F142:K142),IF(A6taxremlife="N/A","n/a",A6taxvalue/A6taxremlife))</f>
        <v>9.1737413847317786</v>
      </c>
      <c r="M142" s="69">
        <f>IF(M$3&gt;A6taxremlife,A6taxvalue-SUM($F142:L142),IF(A6taxremlife="N/A","n/a",A6taxvalue/A6taxremlife))</f>
        <v>9.1737413847317786</v>
      </c>
      <c r="N142" s="69">
        <f>IF(N$3&gt;A6taxremlife,A6taxvalue-SUM($F142:M142),IF(A6taxremlife="N/A","n/a",A6taxvalue/A6taxremlife))</f>
        <v>9.1737413847317786</v>
      </c>
      <c r="O142" s="69">
        <f>IF(O$3&gt;A6taxremlife,A6taxvalue-SUM($F142:N142),IF(A6taxremlife="N/A","n/a",A6taxvalue/A6taxremlife))</f>
        <v>9.1737413847317786</v>
      </c>
      <c r="P142" s="69">
        <f>IF(P$3&gt;A6taxremlife,A6taxvalue-SUM($F142:O142),IF(A6taxremlife="N/A","n/a",A6taxvalue/A6taxremlife))</f>
        <v>9.1737413847317786</v>
      </c>
      <c r="Q142" s="69">
        <f>IF(Q$3&gt;A6taxremlife,A6taxvalue-SUM($F142:P142),IF(A6taxremlife="N/A","n/a",A6taxvalue/A6taxremlife))</f>
        <v>9.1737413847317786</v>
      </c>
      <c r="R142" s="69"/>
      <c r="S142" s="105"/>
      <c r="T142" s="105"/>
      <c r="U142" s="105"/>
      <c r="V142" s="105"/>
      <c r="W142" s="105"/>
      <c r="X142" s="105"/>
      <c r="Y142" s="105"/>
      <c r="Z142" s="105"/>
      <c r="AA142" s="222"/>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222"/>
      <c r="BE142" s="222"/>
      <c r="BF142" s="222"/>
      <c r="BG142" s="222"/>
      <c r="BH142" s="222"/>
      <c r="BI142" s="222"/>
      <c r="BJ142" s="192"/>
      <c r="BK142" s="192"/>
      <c r="BL142" s="192"/>
      <c r="BM142" s="192"/>
      <c r="BN142" s="192"/>
      <c r="BO142" s="19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50" t="s">
        <v>87</v>
      </c>
      <c r="E143" s="88">
        <v>0</v>
      </c>
      <c r="F143" s="27"/>
      <c r="G143" s="212"/>
      <c r="H143" s="70"/>
      <c r="I143" s="70"/>
      <c r="J143" s="70"/>
      <c r="K143" s="70"/>
      <c r="L143" s="70"/>
      <c r="M143" s="70"/>
      <c r="N143" s="70"/>
      <c r="O143" s="70"/>
      <c r="P143" s="70"/>
      <c r="Q143" s="70"/>
      <c r="R143" s="70"/>
      <c r="S143" s="105"/>
      <c r="T143" s="105"/>
      <c r="U143" s="105"/>
      <c r="V143" s="105"/>
      <c r="W143" s="105"/>
      <c r="X143" s="105"/>
      <c r="Y143" s="105"/>
      <c r="Z143" s="105"/>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c r="BH143" s="222"/>
      <c r="BI143" s="222"/>
      <c r="BJ143" s="192"/>
      <c r="BK143" s="192"/>
      <c r="BL143" s="192"/>
      <c r="BM143" s="192"/>
      <c r="BN143" s="192"/>
      <c r="BO143" s="192"/>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51"/>
      <c r="E144" s="88">
        <v>1</v>
      </c>
      <c r="F144" s="27"/>
      <c r="G144" s="213"/>
      <c r="H144" s="70">
        <f>IF(A6taxstdlife="n/a","n/a",IF(H$3&gt;(A6taxstdlife+$E144),(Input!$G$46-Input!$G$80)-SUM($G144:G144),(Input!$G$46-Input!$G$80)/A6taxstdlife))</f>
        <v>2.675484875</v>
      </c>
      <c r="I144" s="70">
        <f>IF(A6taxstdlife="n/a","n/a",IF(I$3&gt;(A6taxstdlife+$E144),(Input!$G$46-Input!$G$80)-SUM($G144:H144),(Input!$G$46-Input!$G$80)/A6taxstdlife))</f>
        <v>2.675484875</v>
      </c>
      <c r="J144" s="70">
        <f>IF(A6taxstdlife="n/a","n/a",IF(J$3&gt;(A6taxstdlife+$E144),(Input!$G$46-Input!$G$80)-SUM($G144:I144),(Input!$G$46-Input!$G$80)/A6taxstdlife))</f>
        <v>2.675484875</v>
      </c>
      <c r="K144" s="70">
        <f>IF(A6taxstdlife="n/a","n/a",IF(K$3&gt;(A6taxstdlife+$E144),(Input!$G$46-Input!$G$80)-SUM($G144:J144),(Input!$G$46-Input!$G$80)/A6taxstdlife))</f>
        <v>2.675484875</v>
      </c>
      <c r="L144" s="70">
        <f>IF(A6taxstdlife="n/a","n/a",IF(L$3&gt;(A6taxstdlife+$E144),(Input!$G$46-Input!$G$80)-SUM($G144:K144),(Input!$G$46-Input!$G$80)/A6taxstdlife))</f>
        <v>2.675484875</v>
      </c>
      <c r="M144" s="70">
        <f>IF(A6taxstdlife="n/a","n/a",IF(M$3&gt;(A6taxstdlife+$E144),(Input!$G$46-Input!$G$80)-SUM($G144:L144),(Input!$G$46-Input!$G$80)/A6taxstdlife))</f>
        <v>2.675484875</v>
      </c>
      <c r="N144" s="70">
        <f>IF(A6taxstdlife="n/a","n/a",IF(N$3&gt;(A6taxstdlife+$E144),(Input!$G$46-Input!$G$80)-SUM($G144:M144),(Input!$G$46-Input!$G$80)/A6taxstdlife))</f>
        <v>2.675484875</v>
      </c>
      <c r="O144" s="70">
        <f>IF(A6taxstdlife="n/a","n/a",IF(O$3&gt;(A6taxstdlife+$E144),(Input!$G$46-Input!$G$80)-SUM($G144:N144),(Input!$G$46-Input!$G$80)/A6taxstdlife))</f>
        <v>2.675484875</v>
      </c>
      <c r="P144" s="70">
        <f>IF(A6taxstdlife="n/a","n/a",IF(P$3&gt;(A6taxstdlife+$E144),(Input!$G$46-Input!$G$80)-SUM($G144:O144),(Input!$G$46-Input!$G$80)/A6taxstdlife))</f>
        <v>2.675484875</v>
      </c>
      <c r="Q144" s="70">
        <f>IF(A6taxstdlife="n/a","n/a",IF(Q$3&gt;(A6taxstdlife+$E144),(Input!$G$46-Input!$G$80)-SUM($G144:P144),(Input!$G$46-Input!$G$80)/A6taxstdlife))</f>
        <v>2.675484875</v>
      </c>
      <c r="R144" s="70"/>
      <c r="S144" s="105"/>
      <c r="T144" s="105"/>
      <c r="U144" s="105"/>
      <c r="V144" s="105"/>
      <c r="W144" s="105"/>
      <c r="X144" s="105"/>
      <c r="Y144" s="105"/>
      <c r="Z144" s="105"/>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192"/>
      <c r="BK144" s="192"/>
      <c r="BL144" s="192"/>
      <c r="BM144" s="192"/>
      <c r="BN144" s="192"/>
      <c r="BO144" s="192"/>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51"/>
      <c r="E145" s="88">
        <v>2</v>
      </c>
      <c r="F145" s="27"/>
      <c r="G145" s="214"/>
      <c r="H145" s="152"/>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2"/>
      <c r="BJ145" s="192"/>
      <c r="BK145" s="192"/>
      <c r="BL145" s="192"/>
      <c r="BM145" s="192"/>
      <c r="BN145" s="192"/>
      <c r="BO145" s="192"/>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51"/>
      <c r="E146" s="88">
        <v>3</v>
      </c>
      <c r="F146" s="27"/>
      <c r="G146" s="214"/>
      <c r="H146" s="153"/>
      <c r="I146" s="152"/>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c r="BH146" s="222"/>
      <c r="BI146" s="222"/>
      <c r="BJ146" s="192"/>
      <c r="BK146" s="192"/>
      <c r="BL146" s="192"/>
      <c r="BM146" s="192"/>
      <c r="BN146" s="192"/>
      <c r="BO146" s="192"/>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51"/>
      <c r="E147" s="88">
        <v>4</v>
      </c>
      <c r="F147" s="27"/>
      <c r="G147" s="214"/>
      <c r="H147" s="153"/>
      <c r="I147" s="153"/>
      <c r="J147" s="152"/>
      <c r="K147" s="70">
        <f>IF(A6taxstdlife="n/a","n/a",IF(K$3&gt;(A6taxstdlife+$E147),(Input!$J$46-Input!$J$80)-SUM($J147:J147),(Input!$J$46-Input!$J$80)/A6taxstdlife))</f>
        <v>0</v>
      </c>
      <c r="L147" s="70">
        <f>IF(A6taxstdlife="n/a","n/a",IF(L$3&gt;(A6taxstdlife+$E147),(Input!$J$46-Input!$J$80)-SUM($J147:K147),(Input!$J$46-Input!$J$80)/A6taxstdlife))</f>
        <v>0</v>
      </c>
      <c r="M147" s="70">
        <f>IF(A6taxstdlife="n/a","n/a",IF(M$3&gt;(A6taxstdlife+$E147),(Input!$J$46-Input!$J$80)-SUM($J147:L147),(Input!$J$46-Input!$J$80)/A6taxstdlife))</f>
        <v>0</v>
      </c>
      <c r="N147" s="70">
        <f>IF(A6taxstdlife="n/a","n/a",IF(N$3&gt;(A6taxstdlife+$E147),(Input!$J$46-Input!$J$80)-SUM($J147:M147),(Input!$J$46-Input!$J$80)/A6taxstdlife))</f>
        <v>0</v>
      </c>
      <c r="O147" s="70">
        <f>IF(A6taxstdlife="n/a","n/a",IF(O$3&gt;(A6taxstdlife+$E147),(Input!$J$46-Input!$J$80)-SUM($J147:N147),(Input!$J$46-Input!$J$80)/A6taxstdlife))</f>
        <v>0</v>
      </c>
      <c r="P147" s="70">
        <f>IF(A6taxstdlife="n/a","n/a",IF(P$3&gt;(A6taxstdlife+$E147),(Input!$J$46-Input!$J$80)-SUM($J147:O147),(Input!$J$46-Input!$J$80)/A6taxstdlife))</f>
        <v>0</v>
      </c>
      <c r="Q147" s="70">
        <f>IF(A6taxstdlife="n/a","n/a",IF(Q$3&gt;(A6taxstdlife+$E147),(Input!$J$46-Input!$J$80)-SUM($J147:P147),(Input!$J$46-Input!$J$80)/A6taxstdlife))</f>
        <v>0</v>
      </c>
      <c r="R147" s="70"/>
      <c r="S147" s="105"/>
      <c r="T147" s="105"/>
      <c r="U147" s="105"/>
      <c r="V147" s="105"/>
      <c r="W147" s="105"/>
      <c r="X147" s="105"/>
      <c r="Y147" s="105"/>
      <c r="Z147" s="105"/>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c r="BH147" s="222"/>
      <c r="BI147" s="222"/>
      <c r="BJ147" s="192"/>
      <c r="BK147" s="192"/>
      <c r="BL147" s="192"/>
      <c r="BM147" s="192"/>
      <c r="BN147" s="192"/>
      <c r="BO147" s="192"/>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51"/>
      <c r="E148" s="88">
        <v>5</v>
      </c>
      <c r="F148" s="27"/>
      <c r="G148" s="214"/>
      <c r="H148" s="153"/>
      <c r="I148" s="153"/>
      <c r="J148" s="153"/>
      <c r="K148" s="152"/>
      <c r="L148" s="70">
        <f>IF(A6taxstdlife="n/a","n/a",IF(L$3&gt;(A6taxstdlife+$E148),(Input!$K$46-Input!$K$80)-SUM($K148:K148),(Input!$K$46-Input!$K$80)/A6taxstdlife))</f>
        <v>0</v>
      </c>
      <c r="M148" s="70">
        <f>IF(A6taxstdlife="n/a","n/a",IF(M$3&gt;(A6taxstdlife+$E148),(Input!$K$46-Input!$K$80)-SUM($K148:L148),(Input!$K$46-Input!$K$80)/A6taxstdlife))</f>
        <v>0</v>
      </c>
      <c r="N148" s="70">
        <f>IF(A6taxstdlife="n/a","n/a",IF(N$3&gt;(A6taxstdlife+$E148),(Input!$K$46-Input!$K$80)-SUM($K148:M148),(Input!$K$46-Input!$K$80)/A6taxstdlife))</f>
        <v>0</v>
      </c>
      <c r="O148" s="70">
        <f>IF(A6taxstdlife="n/a","n/a",IF(O$3&gt;(A6taxstdlife+$E148),(Input!$K$46-Input!$K$80)-SUM($K148:N148),(Input!$K$46-Input!$K$80)/A6taxstdlife))</f>
        <v>0</v>
      </c>
      <c r="P148" s="70">
        <f>IF(A6taxstdlife="n/a","n/a",IF(P$3&gt;(A6taxstdlife+$E148),(Input!$K$46-Input!$K$80)-SUM($K148:O148),(Input!$K$46-Input!$K$80)/A6taxstdlife))</f>
        <v>0</v>
      </c>
      <c r="Q148" s="70">
        <f>IF(A6taxstdlife="n/a","n/a",IF(Q$3&gt;(A6taxstdlife+$E148),(Input!$K$46-Input!$K$80)-SUM($K148:P148),(Input!$K$46-Input!$K$80)/A6taxstdlife))</f>
        <v>0</v>
      </c>
      <c r="R148" s="70"/>
      <c r="S148" s="105"/>
      <c r="T148" s="105"/>
      <c r="U148" s="105"/>
      <c r="V148" s="105"/>
      <c r="W148" s="105"/>
      <c r="X148" s="105"/>
      <c r="Y148" s="105"/>
      <c r="Z148" s="105"/>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c r="BH148" s="222"/>
      <c r="BI148" s="222"/>
      <c r="BJ148" s="192"/>
      <c r="BK148" s="192"/>
      <c r="BL148" s="192"/>
      <c r="BM148" s="192"/>
      <c r="BN148" s="192"/>
      <c r="BO148" s="192"/>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51"/>
      <c r="E149" s="88">
        <v>6</v>
      </c>
      <c r="F149" s="27"/>
      <c r="G149" s="214"/>
      <c r="H149" s="153"/>
      <c r="I149" s="153"/>
      <c r="J149" s="153"/>
      <c r="K149" s="153"/>
      <c r="L149" s="152"/>
      <c r="M149" s="70">
        <f>IF(A6taxstdlife="n/a","n/a",IF(M$3&gt;(A6taxstdlife+$E149),(Input!$L$46-Input!$L$80)-SUM($L149:L149),(Input!$L$46-Input!$L$80)/A6taxstdlife))</f>
        <v>0</v>
      </c>
      <c r="N149" s="70">
        <f>IF(A6taxstdlife="n/a","n/a",IF(N$3&gt;(A6taxstdlife+$E149),(Input!$L$46-Input!$L$80)-SUM($L149:M149),(Input!$L$46-Input!$L$80)/A6taxstdlife))</f>
        <v>0</v>
      </c>
      <c r="O149" s="70">
        <f>IF(A6taxstdlife="n/a","n/a",IF(O$3&gt;(A6taxstdlife+$E149),(Input!$L$46-Input!$L$80)-SUM($L149:N149),(Input!$L$46-Input!$L$80)/A6taxstdlife))</f>
        <v>0</v>
      </c>
      <c r="P149" s="70">
        <f>IF(A6taxstdlife="n/a","n/a",IF(P$3&gt;(A6taxstdlife+$E149),(Input!$L$46-Input!$L$80)-SUM($L149:O149),(Input!$L$46-Input!$L$80)/A6taxstdlife))</f>
        <v>0</v>
      </c>
      <c r="Q149" s="70">
        <f>IF(A6taxstdlife="n/a","n/a",IF(Q$3&gt;(A6taxstdlife+$E149),(Input!$L$46-Input!$L$80)-SUM($L149:P149),(Input!$L$46-Input!$L$80)/A6taxstdlife))</f>
        <v>0</v>
      </c>
      <c r="R149" s="70"/>
      <c r="S149" s="105"/>
      <c r="T149" s="105"/>
      <c r="U149" s="105"/>
      <c r="V149" s="105"/>
      <c r="W149" s="105"/>
      <c r="X149" s="105"/>
      <c r="Y149" s="105"/>
      <c r="Z149" s="105"/>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c r="BH149" s="222"/>
      <c r="BI149" s="222"/>
      <c r="BJ149" s="192"/>
      <c r="BK149" s="192"/>
      <c r="BL149" s="192"/>
      <c r="BM149" s="192"/>
      <c r="BN149" s="192"/>
      <c r="BO149" s="192"/>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51"/>
      <c r="E150" s="88">
        <v>7</v>
      </c>
      <c r="F150" s="27"/>
      <c r="G150" s="214"/>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c r="BH150" s="222"/>
      <c r="BI150" s="222"/>
      <c r="BJ150" s="192"/>
      <c r="BK150" s="192"/>
      <c r="BL150" s="192"/>
      <c r="BM150" s="192"/>
      <c r="BN150" s="192"/>
      <c r="BO150" s="192"/>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51"/>
      <c r="E151" s="88">
        <v>8</v>
      </c>
      <c r="F151" s="27"/>
      <c r="G151" s="214"/>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c r="BH151" s="222"/>
      <c r="BI151" s="222"/>
      <c r="BJ151" s="192"/>
      <c r="BK151" s="192"/>
      <c r="BL151" s="192"/>
      <c r="BM151" s="192"/>
      <c r="BN151" s="192"/>
      <c r="BO151" s="192"/>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51"/>
      <c r="E152" s="88">
        <v>9</v>
      </c>
      <c r="F152" s="27"/>
      <c r="G152" s="214"/>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192"/>
      <c r="BK152" s="192"/>
      <c r="BL152" s="192"/>
      <c r="BM152" s="192"/>
      <c r="BN152" s="192"/>
      <c r="BO152" s="19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51"/>
      <c r="E153" s="88">
        <v>10</v>
      </c>
      <c r="F153" s="27"/>
      <c r="G153" s="214"/>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192"/>
      <c r="BK153" s="192"/>
      <c r="BL153" s="192"/>
      <c r="BM153" s="192"/>
      <c r="BN153" s="192"/>
      <c r="BO153" s="192"/>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51"/>
      <c r="E154" s="89">
        <v>11</v>
      </c>
      <c r="F154" s="27"/>
      <c r="G154" s="214"/>
      <c r="H154" s="153"/>
      <c r="I154" s="153"/>
      <c r="J154" s="153"/>
      <c r="K154" s="153"/>
      <c r="L154" s="153"/>
      <c r="M154" s="153"/>
      <c r="N154" s="153"/>
      <c r="O154" s="153"/>
      <c r="P154" s="194"/>
      <c r="Q154" s="152"/>
      <c r="R154" s="70"/>
      <c r="S154" s="105"/>
      <c r="T154" s="105"/>
      <c r="U154" s="105"/>
      <c r="V154" s="105"/>
      <c r="W154" s="105"/>
      <c r="X154" s="105"/>
      <c r="Y154" s="105"/>
      <c r="Z154" s="105"/>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192"/>
      <c r="BK154" s="192"/>
      <c r="BL154" s="192"/>
      <c r="BM154" s="192"/>
      <c r="BN154" s="192"/>
      <c r="BO154" s="192"/>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Substation Bays</v>
      </c>
      <c r="D155" s="9"/>
      <c r="E155" s="9"/>
      <c r="F155" s="23"/>
      <c r="G155" s="215">
        <f t="shared" ref="G155:L155" si="39">-SUM(G142:G154)</f>
        <v>-9.1737413847317786</v>
      </c>
      <c r="H155" s="169">
        <f t="shared" si="39"/>
        <v>-11.849226259731779</v>
      </c>
      <c r="I155" s="169">
        <f t="shared" si="39"/>
        <v>-11.849226259731779</v>
      </c>
      <c r="J155" s="169">
        <f t="shared" si="39"/>
        <v>-11.849226259731779</v>
      </c>
      <c r="K155" s="169">
        <f t="shared" si="39"/>
        <v>-11.849226259731779</v>
      </c>
      <c r="L155" s="169">
        <f t="shared" si="39"/>
        <v>-11.849226259731779</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192"/>
      <c r="BK155" s="192"/>
      <c r="BL155" s="192"/>
      <c r="BM155" s="192"/>
      <c r="BN155" s="192"/>
      <c r="BO155" s="192"/>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Substation Establishment</v>
      </c>
      <c r="C156" s="33"/>
      <c r="D156" s="34" t="s">
        <v>69</v>
      </c>
      <c r="E156" s="33"/>
      <c r="F156" s="35"/>
      <c r="G156" s="211">
        <f>IF(G$3&gt;A7taxremlife,A7taxvalue-SUM($F156:F156),IF(A7taxremlife="N/A","n/a",A7taxvalue/A7taxremlife))</f>
        <v>3.1045220034596928</v>
      </c>
      <c r="H156" s="69">
        <f>IF(H$3&gt;A7taxremlife,A7taxvalue-SUM($F156:G156),IF(A7taxremlife="N/A","n/a",A7taxvalue/A7taxremlife))</f>
        <v>3.1045220034596928</v>
      </c>
      <c r="I156" s="69">
        <f>IF(I$3&gt;A7taxremlife,A7taxvalue-SUM($F156:H156),IF(A7taxremlife="N/A","n/a",A7taxvalue/A7taxremlife))</f>
        <v>3.1045220034596928</v>
      </c>
      <c r="J156" s="69">
        <f>IF(J$3&gt;A7taxremlife,A7taxvalue-SUM($F156:I156),IF(A7taxremlife="N/A","n/a",A7taxvalue/A7taxremlife))</f>
        <v>3.1045220034596928</v>
      </c>
      <c r="K156" s="69">
        <f>IF(K$3&gt;A7taxremlife,A7taxvalue-SUM($F156:J156),IF(A7taxremlife="N/A","n/a",A7taxvalue/A7taxremlife))</f>
        <v>3.1045220034596928</v>
      </c>
      <c r="L156" s="69">
        <f>IF(L$3&gt;A7taxremlife,A7taxvalue-SUM($F156:K156),IF(A7taxremlife="N/A","n/a",A7taxvalue/A7taxremlife))</f>
        <v>3.1045220034596928</v>
      </c>
      <c r="M156" s="69">
        <f>IF(M$3&gt;A7taxremlife,A7taxvalue-SUM($F156:L156),IF(A7taxremlife="N/A","n/a",A7taxvalue/A7taxremlife))</f>
        <v>3.1045220034596928</v>
      </c>
      <c r="N156" s="69">
        <f>IF(N$3&gt;A7taxremlife,A7taxvalue-SUM($F156:M156),IF(A7taxremlife="N/A","n/a",A7taxvalue/A7taxremlife))</f>
        <v>3.1045220034596928</v>
      </c>
      <c r="O156" s="69">
        <f>IF(O$3&gt;A7taxremlife,A7taxvalue-SUM($F156:N156),IF(A7taxremlife="N/A","n/a",A7taxvalue/A7taxremlife))</f>
        <v>3.1045220034596928</v>
      </c>
      <c r="P156" s="69">
        <f>IF(P$3&gt;A7taxremlife,A7taxvalue-SUM($F156:O156),IF(A7taxremlife="N/A","n/a",A7taxvalue/A7taxremlife))</f>
        <v>3.1045220034596928</v>
      </c>
      <c r="Q156" s="69">
        <f>IF(Q$3&gt;A7taxremlife,A7taxvalue-SUM($F156:P156),IF(A7taxremlife="N/A","n/a",A7taxvalue/A7taxremlife))</f>
        <v>3.1045220034596928</v>
      </c>
      <c r="R156" s="69"/>
      <c r="S156" s="105"/>
      <c r="T156" s="105"/>
      <c r="U156" s="105"/>
      <c r="V156" s="105"/>
      <c r="W156" s="105"/>
      <c r="X156" s="105"/>
      <c r="Y156" s="105"/>
      <c r="Z156" s="105"/>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c r="BH156" s="222"/>
      <c r="BI156" s="222"/>
      <c r="BJ156" s="192"/>
      <c r="BK156" s="192"/>
      <c r="BL156" s="192"/>
      <c r="BM156" s="192"/>
      <c r="BN156" s="192"/>
      <c r="BO156" s="192"/>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50" t="s">
        <v>87</v>
      </c>
      <c r="E157" s="88">
        <v>0</v>
      </c>
      <c r="F157" s="27"/>
      <c r="G157" s="212"/>
      <c r="H157" s="70"/>
      <c r="I157" s="70"/>
      <c r="J157" s="70"/>
      <c r="K157" s="70"/>
      <c r="L157" s="70"/>
      <c r="M157" s="70"/>
      <c r="N157" s="70"/>
      <c r="O157" s="70"/>
      <c r="P157" s="70"/>
      <c r="Q157" s="70"/>
      <c r="R157" s="70"/>
      <c r="S157" s="105"/>
      <c r="T157" s="105"/>
      <c r="U157" s="105"/>
      <c r="V157" s="105"/>
      <c r="W157" s="105"/>
      <c r="X157" s="105"/>
      <c r="Y157" s="105"/>
      <c r="Z157" s="105"/>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c r="BH157" s="222"/>
      <c r="BI157" s="222"/>
      <c r="BJ157" s="192"/>
      <c r="BK157" s="192"/>
      <c r="BL157" s="192"/>
      <c r="BM157" s="192"/>
      <c r="BN157" s="192"/>
      <c r="BO157" s="192"/>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51"/>
      <c r="E158" s="88">
        <v>1</v>
      </c>
      <c r="F158" s="27"/>
      <c r="G158" s="213"/>
      <c r="H158" s="70">
        <f>IF(A7taxstdlife="n/a","n/a",IF(H$3&gt;(A7taxstdlife+$E158),(Input!$G$47-Input!$G$81)-SUM($G158:G158),(Input!$G$47-Input!$G$81)/A7taxstdlife))</f>
        <v>0.43680979999999997</v>
      </c>
      <c r="I158" s="70">
        <f>IF(A7taxstdlife="n/a","n/a",IF(I$3&gt;(A7taxstdlife+$E158),(Input!$G$47-Input!$G$81)-SUM($G158:H158),(Input!$G$47-Input!$G$81)/A7taxstdlife))</f>
        <v>0.43680979999999997</v>
      </c>
      <c r="J158" s="70">
        <f>IF(A7taxstdlife="n/a","n/a",IF(J$3&gt;(A7taxstdlife+$E158),(Input!$G$47-Input!$G$81)-SUM($G158:I158),(Input!$G$47-Input!$G$81)/A7taxstdlife))</f>
        <v>0.43680979999999997</v>
      </c>
      <c r="K158" s="70">
        <f>IF(A7taxstdlife="n/a","n/a",IF(K$3&gt;(A7taxstdlife+$E158),(Input!$G$47-Input!$G$81)-SUM($G158:J158),(Input!$G$47-Input!$G$81)/A7taxstdlife))</f>
        <v>0.43680979999999997</v>
      </c>
      <c r="L158" s="70">
        <f>IF(A7taxstdlife="n/a","n/a",IF(L$3&gt;(A7taxstdlife+$E158),(Input!$G$47-Input!$G$81)-SUM($G158:K158),(Input!$G$47-Input!$G$81)/A7taxstdlife))</f>
        <v>0.43680979999999997</v>
      </c>
      <c r="M158" s="70">
        <f>IF(A7taxstdlife="n/a","n/a",IF(M$3&gt;(A7taxstdlife+$E158),(Input!$G$47-Input!$G$81)-SUM($G158:L158),(Input!$G$47-Input!$G$81)/A7taxstdlife))</f>
        <v>0.43680979999999997</v>
      </c>
      <c r="N158" s="70">
        <f>IF(A7taxstdlife="n/a","n/a",IF(N$3&gt;(A7taxstdlife+$E158),(Input!$G$47-Input!$G$81)-SUM($G158:M158),(Input!$G$47-Input!$G$81)/A7taxstdlife))</f>
        <v>0.43680979999999997</v>
      </c>
      <c r="O158" s="70">
        <f>IF(A7taxstdlife="n/a","n/a",IF(O$3&gt;(A7taxstdlife+$E158),(Input!$G$47-Input!$G$81)-SUM($G158:N158),(Input!$G$47-Input!$G$81)/A7taxstdlife))</f>
        <v>0.43680979999999997</v>
      </c>
      <c r="P158" s="70">
        <f>IF(A7taxstdlife="n/a","n/a",IF(P$3&gt;(A7taxstdlife+$E158),(Input!$G$47-Input!$G$81)-SUM($G158:O158),(Input!$G$47-Input!$G$81)/A7taxstdlife))</f>
        <v>0.43680979999999997</v>
      </c>
      <c r="Q158" s="70">
        <f>IF(A7taxstdlife="n/a","n/a",IF(Q$3&gt;(A7taxstdlife+$E158),(Input!$G$47-Input!$G$81)-SUM($G158:P158),(Input!$G$47-Input!$G$81)/A7taxstdlife))</f>
        <v>0.43680979999999997</v>
      </c>
      <c r="R158" s="70"/>
      <c r="S158" s="105"/>
      <c r="T158" s="105"/>
      <c r="U158" s="105"/>
      <c r="V158" s="105"/>
      <c r="W158" s="105"/>
      <c r="X158" s="105"/>
      <c r="Y158" s="105"/>
      <c r="Z158" s="105"/>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192"/>
      <c r="BK158" s="192"/>
      <c r="BL158" s="192"/>
      <c r="BM158" s="192"/>
      <c r="BN158" s="192"/>
      <c r="BO158" s="192"/>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51"/>
      <c r="E159" s="88">
        <v>2</v>
      </c>
      <c r="F159" s="27"/>
      <c r="G159" s="214"/>
      <c r="H159" s="152"/>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c r="BH159" s="222"/>
      <c r="BI159" s="222"/>
      <c r="BJ159" s="192"/>
      <c r="BK159" s="192"/>
      <c r="BL159" s="192"/>
      <c r="BM159" s="192"/>
      <c r="BN159" s="192"/>
      <c r="BO159" s="192"/>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51"/>
      <c r="E160" s="88">
        <v>3</v>
      </c>
      <c r="F160" s="27"/>
      <c r="G160" s="214"/>
      <c r="H160" s="153"/>
      <c r="I160" s="152"/>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192"/>
      <c r="BK160" s="192"/>
      <c r="BL160" s="192"/>
      <c r="BM160" s="192"/>
      <c r="BN160" s="192"/>
      <c r="BO160" s="192"/>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51"/>
      <c r="E161" s="88">
        <v>4</v>
      </c>
      <c r="F161" s="27"/>
      <c r="G161" s="214"/>
      <c r="H161" s="153"/>
      <c r="I161" s="153"/>
      <c r="J161" s="152"/>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5"/>
      <c r="T161" s="105"/>
      <c r="U161" s="105"/>
      <c r="V161" s="105"/>
      <c r="W161" s="105"/>
      <c r="X161" s="105"/>
      <c r="Y161" s="105"/>
      <c r="Z161" s="105"/>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c r="BH161" s="222"/>
      <c r="BI161" s="222"/>
      <c r="BJ161" s="192"/>
      <c r="BK161" s="192"/>
      <c r="BL161" s="192"/>
      <c r="BM161" s="192"/>
      <c r="BN161" s="192"/>
      <c r="BO161" s="192"/>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51"/>
      <c r="E162" s="88">
        <v>5</v>
      </c>
      <c r="F162" s="27"/>
      <c r="G162" s="214"/>
      <c r="H162" s="153"/>
      <c r="I162" s="153"/>
      <c r="J162" s="153"/>
      <c r="K162" s="152"/>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5"/>
      <c r="T162" s="105"/>
      <c r="U162" s="105"/>
      <c r="V162" s="105"/>
      <c r="W162" s="105"/>
      <c r="X162" s="105"/>
      <c r="Y162" s="105"/>
      <c r="Z162" s="105"/>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c r="BH162" s="222"/>
      <c r="BI162" s="222"/>
      <c r="BJ162" s="192"/>
      <c r="BK162" s="192"/>
      <c r="BL162" s="192"/>
      <c r="BM162" s="192"/>
      <c r="BN162" s="192"/>
      <c r="BO162" s="19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51"/>
      <c r="E163" s="88">
        <v>6</v>
      </c>
      <c r="F163" s="27"/>
      <c r="G163" s="214"/>
      <c r="H163" s="153"/>
      <c r="I163" s="153"/>
      <c r="J163" s="153"/>
      <c r="K163" s="153"/>
      <c r="L163" s="152"/>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5"/>
      <c r="T163" s="105"/>
      <c r="U163" s="105"/>
      <c r="V163" s="105"/>
      <c r="W163" s="105"/>
      <c r="X163" s="105"/>
      <c r="Y163" s="105"/>
      <c r="Z163" s="105"/>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192"/>
      <c r="BK163" s="192"/>
      <c r="BL163" s="192"/>
      <c r="BM163" s="192"/>
      <c r="BN163" s="192"/>
      <c r="BO163" s="192"/>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51"/>
      <c r="E164" s="88">
        <v>7</v>
      </c>
      <c r="F164" s="27"/>
      <c r="G164" s="214"/>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192"/>
      <c r="BK164" s="192"/>
      <c r="BL164" s="192"/>
      <c r="BM164" s="192"/>
      <c r="BN164" s="192"/>
      <c r="BO164" s="192"/>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51"/>
      <c r="E165" s="88">
        <v>8</v>
      </c>
      <c r="F165" s="27"/>
      <c r="G165" s="214"/>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192"/>
      <c r="BK165" s="192"/>
      <c r="BL165" s="192"/>
      <c r="BM165" s="192"/>
      <c r="BN165" s="192"/>
      <c r="BO165" s="192"/>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51"/>
      <c r="E166" s="88">
        <v>9</v>
      </c>
      <c r="F166" s="27"/>
      <c r="G166" s="214"/>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192"/>
      <c r="BK166" s="192"/>
      <c r="BL166" s="192"/>
      <c r="BM166" s="192"/>
      <c r="BN166" s="192"/>
      <c r="BO166" s="192"/>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51"/>
      <c r="E167" s="88">
        <v>10</v>
      </c>
      <c r="F167" s="27"/>
      <c r="G167" s="214"/>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192"/>
      <c r="BK167" s="192"/>
      <c r="BL167" s="192"/>
      <c r="BM167" s="192"/>
      <c r="BN167" s="192"/>
      <c r="BO167" s="192"/>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51"/>
      <c r="E168" s="89">
        <v>11</v>
      </c>
      <c r="F168" s="27"/>
      <c r="G168" s="214"/>
      <c r="H168" s="153"/>
      <c r="I168" s="153"/>
      <c r="J168" s="153"/>
      <c r="K168" s="153"/>
      <c r="L168" s="153"/>
      <c r="M168" s="153"/>
      <c r="N168" s="153"/>
      <c r="O168" s="153"/>
      <c r="P168" s="194"/>
      <c r="Q168" s="152"/>
      <c r="R168" s="70"/>
      <c r="S168" s="105"/>
      <c r="T168" s="105"/>
      <c r="U168" s="105"/>
      <c r="V168" s="105"/>
      <c r="W168" s="105"/>
      <c r="X168" s="105"/>
      <c r="Y168" s="105"/>
      <c r="Z168" s="105"/>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c r="BG168" s="222"/>
      <c r="BH168" s="222"/>
      <c r="BI168" s="222"/>
      <c r="BJ168" s="192"/>
      <c r="BK168" s="192"/>
      <c r="BL168" s="192"/>
      <c r="BM168" s="192"/>
      <c r="BN168" s="192"/>
      <c r="BO168" s="192"/>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Substation Establishment</v>
      </c>
      <c r="D169" s="9"/>
      <c r="E169" s="9"/>
      <c r="F169" s="23"/>
      <c r="G169" s="215">
        <f t="shared" ref="G169:L169" si="40">-SUM(G156:G168)</f>
        <v>-3.1045220034596928</v>
      </c>
      <c r="H169" s="169">
        <f t="shared" si="40"/>
        <v>-3.5413318034596926</v>
      </c>
      <c r="I169" s="169">
        <f t="shared" si="40"/>
        <v>-3.5413318034596926</v>
      </c>
      <c r="J169" s="169">
        <f t="shared" si="40"/>
        <v>-3.5413318034596926</v>
      </c>
      <c r="K169" s="169">
        <f t="shared" si="40"/>
        <v>-3.5413318034596926</v>
      </c>
      <c r="L169" s="169">
        <f t="shared" si="40"/>
        <v>-3.5413318034596926</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192"/>
      <c r="BK169" s="192"/>
      <c r="BL169" s="192"/>
      <c r="BM169" s="192"/>
      <c r="BN169" s="192"/>
      <c r="BO169" s="192"/>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Distribution Substation Switchgear</v>
      </c>
      <c r="C170" s="33"/>
      <c r="D170" s="34" t="s">
        <v>69</v>
      </c>
      <c r="E170" s="33"/>
      <c r="F170" s="35"/>
      <c r="G170" s="211">
        <f>IF(G$3&gt;A8taxremlife,A8taxvalue-SUM($F170:F170),IF(A8taxremlife="N/A","n/a",A8taxvalue/A8taxremlife))</f>
        <v>1.7963655753052463</v>
      </c>
      <c r="H170" s="69">
        <f>IF(H$3&gt;A8taxremlife,A8taxvalue-SUM($F170:G170),IF(A8taxremlife="N/A","n/a",A8taxvalue/A8taxremlife))</f>
        <v>1.7963655753052463</v>
      </c>
      <c r="I170" s="69">
        <f>IF(I$3&gt;A8taxremlife,A8taxvalue-SUM($F170:H170),IF(A8taxremlife="N/A","n/a",A8taxvalue/A8taxremlife))</f>
        <v>1.7963655753052463</v>
      </c>
      <c r="J170" s="69">
        <f>IF(J$3&gt;A8taxremlife,A8taxvalue-SUM($F170:I170),IF(A8taxremlife="N/A","n/a",A8taxvalue/A8taxremlife))</f>
        <v>1.7963655753052463</v>
      </c>
      <c r="K170" s="69">
        <f>IF(K$3&gt;A8taxremlife,A8taxvalue-SUM($F170:J170),IF(A8taxremlife="N/A","n/a",A8taxvalue/A8taxremlife))</f>
        <v>1.7963655753052463</v>
      </c>
      <c r="L170" s="69">
        <f>IF(L$3&gt;A8taxremlife,A8taxvalue-SUM($F170:K170),IF(A8taxremlife="N/A","n/a",A8taxvalue/A8taxremlife))</f>
        <v>1.7963655753052463</v>
      </c>
      <c r="M170" s="69">
        <f>IF(M$3&gt;A8taxremlife,A8taxvalue-SUM($F170:L170),IF(A8taxremlife="N/A","n/a",A8taxvalue/A8taxremlife))</f>
        <v>1.7963655753052463</v>
      </c>
      <c r="N170" s="69">
        <f>IF(N$3&gt;A8taxremlife,A8taxvalue-SUM($F170:M170),IF(A8taxremlife="N/A","n/a",A8taxvalue/A8taxremlife))</f>
        <v>1.7963655753052463</v>
      </c>
      <c r="O170" s="69">
        <f>IF(O$3&gt;A8taxremlife,A8taxvalue-SUM($F170:N170),IF(A8taxremlife="N/A","n/a",A8taxvalue/A8taxremlife))</f>
        <v>1.7963655753052463</v>
      </c>
      <c r="P170" s="69">
        <f>IF(P$3&gt;A8taxremlife,A8taxvalue-SUM($F170:O170),IF(A8taxremlife="N/A","n/a",A8taxvalue/A8taxremlife))</f>
        <v>1.7963655753052463</v>
      </c>
      <c r="Q170" s="69">
        <f>IF(Q$3&gt;A8taxremlife,A8taxvalue-SUM($F170:P170),IF(A8taxremlife="N/A","n/a",A8taxvalue/A8taxremlife))</f>
        <v>1.7963655753052463</v>
      </c>
      <c r="R170" s="69"/>
      <c r="S170" s="105"/>
      <c r="T170" s="105"/>
      <c r="U170" s="105"/>
      <c r="V170" s="105"/>
      <c r="W170" s="105"/>
      <c r="X170" s="105"/>
      <c r="Y170" s="105"/>
      <c r="Z170" s="105"/>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222"/>
      <c r="BE170" s="222"/>
      <c r="BF170" s="222"/>
      <c r="BG170" s="222"/>
      <c r="BH170" s="222"/>
      <c r="BI170" s="222"/>
      <c r="BJ170" s="192"/>
      <c r="BK170" s="192"/>
      <c r="BL170" s="192"/>
      <c r="BM170" s="192"/>
      <c r="BN170" s="192"/>
      <c r="BO170" s="192"/>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50" t="s">
        <v>87</v>
      </c>
      <c r="E171" s="88">
        <v>0</v>
      </c>
      <c r="F171" s="27"/>
      <c r="G171" s="212"/>
      <c r="H171" s="70"/>
      <c r="I171" s="70"/>
      <c r="J171" s="70"/>
      <c r="K171" s="70"/>
      <c r="L171" s="70"/>
      <c r="M171" s="70"/>
      <c r="N171" s="70"/>
      <c r="O171" s="70"/>
      <c r="P171" s="70"/>
      <c r="Q171" s="70"/>
      <c r="R171" s="70"/>
      <c r="S171" s="105"/>
      <c r="T171" s="105"/>
      <c r="U171" s="105"/>
      <c r="V171" s="105"/>
      <c r="W171" s="105"/>
      <c r="X171" s="105"/>
      <c r="Y171" s="105"/>
      <c r="Z171" s="105"/>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222"/>
      <c r="BE171" s="222"/>
      <c r="BF171" s="222"/>
      <c r="BG171" s="222"/>
      <c r="BH171" s="222"/>
      <c r="BI171" s="222"/>
      <c r="BJ171" s="192"/>
      <c r="BK171" s="192"/>
      <c r="BL171" s="192"/>
      <c r="BM171" s="192"/>
      <c r="BN171" s="192"/>
      <c r="BO171" s="192"/>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51"/>
      <c r="E172" s="88">
        <v>1</v>
      </c>
      <c r="F172" s="27"/>
      <c r="G172" s="213"/>
      <c r="H172" s="70">
        <f>IF(A8taxstdlife="n/a","n/a",IF(H$3&gt;(A8taxstdlife+$E172),(Input!$G$48-Input!$G$82)-SUM($G172:G172),(Input!$G$48-Input!$G$82)/A8taxstdlife))</f>
        <v>0.56468309999999999</v>
      </c>
      <c r="I172" s="70">
        <f>IF(A8taxstdlife="n/a","n/a",IF(I$3&gt;(A8taxstdlife+$E172),(Input!$G$48-Input!$G$82)-SUM($G172:H172),(Input!$G$48-Input!$G$82)/A8taxstdlife))</f>
        <v>0.56468309999999999</v>
      </c>
      <c r="J172" s="70">
        <f>IF(A8taxstdlife="n/a","n/a",IF(J$3&gt;(A8taxstdlife+$E172),(Input!$G$48-Input!$G$82)-SUM($G172:I172),(Input!$G$48-Input!$G$82)/A8taxstdlife))</f>
        <v>0.56468309999999999</v>
      </c>
      <c r="K172" s="70">
        <f>IF(A8taxstdlife="n/a","n/a",IF(K$3&gt;(A8taxstdlife+$E172),(Input!$G$48-Input!$G$82)-SUM($G172:J172),(Input!$G$48-Input!$G$82)/A8taxstdlife))</f>
        <v>0.56468309999999999</v>
      </c>
      <c r="L172" s="70">
        <f>IF(A8taxstdlife="n/a","n/a",IF(L$3&gt;(A8taxstdlife+$E172),(Input!$G$48-Input!$G$82)-SUM($G172:K172),(Input!$G$48-Input!$G$82)/A8taxstdlife))</f>
        <v>0.56468309999999999</v>
      </c>
      <c r="M172" s="70">
        <f>IF(A8taxstdlife="n/a","n/a",IF(M$3&gt;(A8taxstdlife+$E172),(Input!$G$48-Input!$G$82)-SUM($G172:L172),(Input!$G$48-Input!$G$82)/A8taxstdlife))</f>
        <v>0.56468309999999999</v>
      </c>
      <c r="N172" s="70">
        <f>IF(A8taxstdlife="n/a","n/a",IF(N$3&gt;(A8taxstdlife+$E172),(Input!$G$48-Input!$G$82)-SUM($G172:M172),(Input!$G$48-Input!$G$82)/A8taxstdlife))</f>
        <v>0.56468309999999999</v>
      </c>
      <c r="O172" s="70">
        <f>IF(A8taxstdlife="n/a","n/a",IF(O$3&gt;(A8taxstdlife+$E172),(Input!$G$48-Input!$G$82)-SUM($G172:N172),(Input!$G$48-Input!$G$82)/A8taxstdlife))</f>
        <v>0.56468309999999999</v>
      </c>
      <c r="P172" s="70">
        <f>IF(A8taxstdlife="n/a","n/a",IF(P$3&gt;(A8taxstdlife+$E172),(Input!$G$48-Input!$G$82)-SUM($G172:O172),(Input!$G$48-Input!$G$82)/A8taxstdlife))</f>
        <v>0.56468309999999999</v>
      </c>
      <c r="Q172" s="70">
        <f>IF(A8taxstdlife="n/a","n/a",IF(Q$3&gt;(A8taxstdlife+$E172),(Input!$G$48-Input!$G$82)-SUM($G172:P172),(Input!$G$48-Input!$G$82)/A8taxstdlife))</f>
        <v>0.56468309999999999</v>
      </c>
      <c r="R172" s="70"/>
      <c r="S172" s="105"/>
      <c r="T172" s="105"/>
      <c r="U172" s="105"/>
      <c r="V172" s="105"/>
      <c r="W172" s="105"/>
      <c r="X172" s="105"/>
      <c r="Y172" s="105"/>
      <c r="Z172" s="105"/>
      <c r="AA172" s="222"/>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222"/>
      <c r="BE172" s="222"/>
      <c r="BF172" s="222"/>
      <c r="BG172" s="222"/>
      <c r="BH172" s="222"/>
      <c r="BI172" s="222"/>
      <c r="BJ172" s="192"/>
      <c r="BK172" s="192"/>
      <c r="BL172" s="192"/>
      <c r="BM172" s="192"/>
      <c r="BN172" s="192"/>
      <c r="BO172" s="19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51"/>
      <c r="E173" s="88">
        <v>2</v>
      </c>
      <c r="F173" s="27"/>
      <c r="G173" s="214"/>
      <c r="H173" s="152"/>
      <c r="I173" s="70">
        <f>IF(A8taxstdlife="n/a","n/a",IF(I$3&gt;(A8taxstdlife+$E173),(Input!$H$48-Input!$H$82)-SUM($H173:H173),(Input!$H$48-Input!$H$82)/A8taxstdlife))</f>
        <v>0</v>
      </c>
      <c r="J173" s="70">
        <f>IF(A8taxstdlife="n/a","n/a",IF(J$3&gt;(A8taxstdlife+$E173),(Input!$H$48-Input!$H$82)-SUM($H173:I173),(Input!$H$48-Input!$H$82)/A8taxstdlife))</f>
        <v>0</v>
      </c>
      <c r="K173" s="70">
        <f>IF(A8taxstdlife="n/a","n/a",IF(K$3&gt;(A8taxstdlife+$E173),(Input!$H$48-Input!$H$82)-SUM($H173:J173),(Input!$H$48-Input!$H$82)/A8taxstdlife))</f>
        <v>0</v>
      </c>
      <c r="L173" s="70">
        <f>IF(A8taxstdlife="n/a","n/a",IF(L$3&gt;(A8taxstdlife+$E173),(Input!$H$48-Input!$H$82)-SUM($H173:K173),(Input!$H$48-Input!$H$82)/A8taxstdlife))</f>
        <v>0</v>
      </c>
      <c r="M173" s="70">
        <f>IF(A8taxstdlife="n/a","n/a",IF(M$3&gt;(A8taxstdlife+$E173),(Input!$H$48-Input!$H$82)-SUM($H173:L173),(Input!$H$48-Input!$H$82)/A8taxstdlife))</f>
        <v>0</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2"/>
      <c r="AB173" s="222"/>
      <c r="AC173" s="222"/>
      <c r="AD173" s="222"/>
      <c r="AE173" s="222"/>
      <c r="AF173" s="222"/>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c r="BB173" s="222"/>
      <c r="BC173" s="222"/>
      <c r="BD173" s="222"/>
      <c r="BE173" s="222"/>
      <c r="BF173" s="222"/>
      <c r="BG173" s="222"/>
      <c r="BH173" s="222"/>
      <c r="BI173" s="222"/>
      <c r="BJ173" s="192"/>
      <c r="BK173" s="192"/>
      <c r="BL173" s="192"/>
      <c r="BM173" s="192"/>
      <c r="BN173" s="192"/>
      <c r="BO173" s="192"/>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51"/>
      <c r="E174" s="88">
        <v>3</v>
      </c>
      <c r="F174" s="27"/>
      <c r="G174" s="214"/>
      <c r="H174" s="153"/>
      <c r="I174" s="152"/>
      <c r="J174" s="70">
        <f>IF(A8taxstdlife="n/a","n/a",IF(J$3&gt;(A8taxstdlife+$E174),(Input!$I$48-Input!$I$82)-SUM($I174:I174),(Input!$I$48-Input!$I$82)/A8taxstdlife))</f>
        <v>0</v>
      </c>
      <c r="K174" s="70">
        <f>IF(A8taxstdlife="n/a","n/a",IF(K$3&gt;(A8taxstdlife+$E174),(Input!$I$48-Input!$I$82)-SUM($I174:J174),(Input!$I$48-Input!$I$82)/A8taxstdlife))</f>
        <v>0</v>
      </c>
      <c r="L174" s="70">
        <f>IF(A8taxstdlife="n/a","n/a",IF(L$3&gt;(A8taxstdlife+$E174),(Input!$I$48-Input!$I$82)-SUM($I174:K174),(Input!$I$48-Input!$I$82)/A8taxstdlife))</f>
        <v>0</v>
      </c>
      <c r="M174" s="70">
        <f>IF(A8taxstdlife="n/a","n/a",IF(M$3&gt;(A8taxstdlife+$E174),(Input!$I$48-Input!$I$82)-SUM($I174:L174),(Input!$I$48-Input!$I$82)/A8taxstdlife))</f>
        <v>0</v>
      </c>
      <c r="N174" s="70">
        <f>IF(A8taxstdlife="n/a","n/a",IF(N$3&gt;(A8taxstdlife+$E174),(Input!$I$48-Input!$I$82)-SUM($I174:M174),(Input!$I$48-Input!$I$82)/A8taxstdlife))</f>
        <v>0</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2"/>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222"/>
      <c r="BE174" s="222"/>
      <c r="BF174" s="222"/>
      <c r="BG174" s="222"/>
      <c r="BH174" s="222"/>
      <c r="BI174" s="222"/>
      <c r="BJ174" s="192"/>
      <c r="BK174" s="192"/>
      <c r="BL174" s="192"/>
      <c r="BM174" s="192"/>
      <c r="BN174" s="192"/>
      <c r="BO174" s="192"/>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51"/>
      <c r="E175" s="88">
        <v>4</v>
      </c>
      <c r="F175" s="27"/>
      <c r="G175" s="214"/>
      <c r="H175" s="153"/>
      <c r="I175" s="153"/>
      <c r="J175" s="152"/>
      <c r="K175" s="70">
        <f>IF(A8taxstdlife="n/a","n/a",IF(K$3&gt;(A8taxstdlife+$E175),(Input!$J$48-Input!$J$82)-SUM($J175:J175),(Input!$J$48-Input!$J$82)/A8taxstdlife))</f>
        <v>0</v>
      </c>
      <c r="L175" s="70">
        <f>IF(A8taxstdlife="n/a","n/a",IF(L$3&gt;(A8taxstdlife+$E175),(Input!$J$48-Input!$J$82)-SUM($J175:K175),(Input!$J$48-Input!$J$82)/A8taxstdlife))</f>
        <v>0</v>
      </c>
      <c r="M175" s="70">
        <f>IF(A8taxstdlife="n/a","n/a",IF(M$3&gt;(A8taxstdlife+$E175),(Input!$J$48-Input!$J$82)-SUM($J175:L175),(Input!$J$48-Input!$J$82)/A8taxstdlife))</f>
        <v>0</v>
      </c>
      <c r="N175" s="70">
        <f>IF(A8taxstdlife="n/a","n/a",IF(N$3&gt;(A8taxstdlife+$E175),(Input!$J$48-Input!$J$82)-SUM($J175:M175),(Input!$J$48-Input!$J$82)/A8taxstdlife))</f>
        <v>0</v>
      </c>
      <c r="O175" s="70">
        <f>IF(A8taxstdlife="n/a","n/a",IF(O$3&gt;(A8taxstdlife+$E175),(Input!$J$48-Input!$J$82)-SUM($J175:N175),(Input!$J$48-Input!$J$82)/A8taxstdlife))</f>
        <v>0</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222"/>
      <c r="BE175" s="222"/>
      <c r="BF175" s="222"/>
      <c r="BG175" s="222"/>
      <c r="BH175" s="222"/>
      <c r="BI175" s="222"/>
      <c r="BJ175" s="192"/>
      <c r="BK175" s="192"/>
      <c r="BL175" s="192"/>
      <c r="BM175" s="192"/>
      <c r="BN175" s="192"/>
      <c r="BO175" s="192"/>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51"/>
      <c r="E176" s="88">
        <v>5</v>
      </c>
      <c r="F176" s="27"/>
      <c r="G176" s="214"/>
      <c r="H176" s="153"/>
      <c r="I176" s="153"/>
      <c r="J176" s="153"/>
      <c r="K176" s="152"/>
      <c r="L176" s="70">
        <f>IF(A8taxstdlife="n/a","n/a",IF(L$3&gt;(A8taxstdlife+$E176),(Input!$K$48-Input!$K$82)-SUM($K176:K176),(Input!$K$48-Input!$K$82)/A8taxstdlife))</f>
        <v>0</v>
      </c>
      <c r="M176" s="70">
        <f>IF(A8taxstdlife="n/a","n/a",IF(M$3&gt;(A8taxstdlife+$E176),(Input!$K$48-Input!$K$82)-SUM($K176:L176),(Input!$K$48-Input!$K$82)/A8taxstdlife))</f>
        <v>0</v>
      </c>
      <c r="N176" s="70">
        <f>IF(A8taxstdlife="n/a","n/a",IF(N$3&gt;(A8taxstdlife+$E176),(Input!$K$48-Input!$K$82)-SUM($K176:M176),(Input!$K$48-Input!$K$82)/A8taxstdlife))</f>
        <v>0</v>
      </c>
      <c r="O176" s="70">
        <f>IF(A8taxstdlife="n/a","n/a",IF(O$3&gt;(A8taxstdlife+$E176),(Input!$K$48-Input!$K$82)-SUM($K176:N176),(Input!$K$48-Input!$K$82)/A8taxstdlife))</f>
        <v>0</v>
      </c>
      <c r="P176" s="70">
        <f>IF(A8taxstdlife="n/a","n/a",IF(P$3&gt;(A8taxstdlife+$E176),(Input!$K$48-Input!$K$82)-SUM($K176:O176),(Input!$K$48-Input!$K$82)/A8taxstdlife))</f>
        <v>0</v>
      </c>
      <c r="Q176" s="70">
        <f>IF(A8taxstdlife="n/a","n/a",IF(Q$3&gt;(A8taxstdlife+$E176),(Input!$K$48-Input!$K$82)-SUM($K176:P176),(Input!$K$48-Input!$K$82)/A8taxstdlife))</f>
        <v>0</v>
      </c>
      <c r="R176" s="70"/>
      <c r="S176" s="105"/>
      <c r="T176" s="105"/>
      <c r="U176" s="105"/>
      <c r="V176" s="105"/>
      <c r="W176" s="105"/>
      <c r="X176" s="105"/>
      <c r="Y176" s="105"/>
      <c r="Z176" s="105"/>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192"/>
      <c r="BK176" s="192"/>
      <c r="BL176" s="192"/>
      <c r="BM176" s="192"/>
      <c r="BN176" s="192"/>
      <c r="BO176" s="192"/>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51"/>
      <c r="E177" s="88">
        <v>6</v>
      </c>
      <c r="F177" s="27"/>
      <c r="G177" s="214"/>
      <c r="H177" s="153"/>
      <c r="I177" s="153"/>
      <c r="J177" s="153"/>
      <c r="K177" s="153"/>
      <c r="L177" s="152"/>
      <c r="M177" s="70">
        <f>IF(A8taxstdlife="n/a","n/a",IF(M$3&gt;(A8taxstdlife+$E177),(Input!$L$48-Input!$L$82)-SUM($L177:L177),(Input!$L$48-Input!$L$82)/A8taxstdlife))</f>
        <v>0</v>
      </c>
      <c r="N177" s="70">
        <f>IF(A8taxstdlife="n/a","n/a",IF(N$3&gt;(A8taxstdlife+$E177),(Input!$L$48-Input!$L$82)-SUM($L177:M177),(Input!$L$48-Input!$L$82)/A8taxstdlife))</f>
        <v>0</v>
      </c>
      <c r="O177" s="70">
        <f>IF(A8taxstdlife="n/a","n/a",IF(O$3&gt;(A8taxstdlife+$E177),(Input!$L$48-Input!$L$82)-SUM($L177:N177),(Input!$L$48-Input!$L$82)/A8taxstdlife))</f>
        <v>0</v>
      </c>
      <c r="P177" s="70">
        <f>IF(A8taxstdlife="n/a","n/a",IF(P$3&gt;(A8taxstdlife+$E177),(Input!$L$48-Input!$L$82)-SUM($L177:O177),(Input!$L$48-Input!$L$82)/A8taxstdlife))</f>
        <v>0</v>
      </c>
      <c r="Q177" s="70">
        <f>IF(A8taxstdlife="n/a","n/a",IF(Q$3&gt;(A8taxstdlife+$E177),(Input!$L$48-Input!$L$82)-SUM($L177:P177),(Input!$L$48-Input!$L$82)/A8taxstdlife))</f>
        <v>0</v>
      </c>
      <c r="R177" s="70"/>
      <c r="S177" s="105"/>
      <c r="T177" s="105"/>
      <c r="U177" s="105"/>
      <c r="V177" s="105"/>
      <c r="W177" s="105"/>
      <c r="X177" s="105"/>
      <c r="Y177" s="105"/>
      <c r="Z177" s="105"/>
      <c r="AA177" s="222"/>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222"/>
      <c r="BE177" s="222"/>
      <c r="BF177" s="222"/>
      <c r="BG177" s="222"/>
      <c r="BH177" s="222"/>
      <c r="BI177" s="222"/>
      <c r="BJ177" s="192"/>
      <c r="BK177" s="192"/>
      <c r="BL177" s="192"/>
      <c r="BM177" s="192"/>
      <c r="BN177" s="192"/>
      <c r="BO177" s="192"/>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51"/>
      <c r="E178" s="88">
        <v>7</v>
      </c>
      <c r="F178" s="27"/>
      <c r="G178" s="214"/>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192"/>
      <c r="BK178" s="192"/>
      <c r="BL178" s="192"/>
      <c r="BM178" s="192"/>
      <c r="BN178" s="192"/>
      <c r="BO178" s="192"/>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51"/>
      <c r="E179" s="88">
        <v>8</v>
      </c>
      <c r="F179" s="27"/>
      <c r="G179" s="214"/>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222"/>
      <c r="BE179" s="222"/>
      <c r="BF179" s="222"/>
      <c r="BG179" s="222"/>
      <c r="BH179" s="222"/>
      <c r="BI179" s="222"/>
      <c r="BJ179" s="192"/>
      <c r="BK179" s="192"/>
      <c r="BL179" s="192"/>
      <c r="BM179" s="192"/>
      <c r="BN179" s="192"/>
      <c r="BO179" s="192"/>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51"/>
      <c r="E180" s="88">
        <v>9</v>
      </c>
      <c r="F180" s="27"/>
      <c r="G180" s="214"/>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222"/>
      <c r="BE180" s="222"/>
      <c r="BF180" s="222"/>
      <c r="BG180" s="222"/>
      <c r="BH180" s="222"/>
      <c r="BI180" s="222"/>
      <c r="BJ180" s="192"/>
      <c r="BK180" s="192"/>
      <c r="BL180" s="192"/>
      <c r="BM180" s="192"/>
      <c r="BN180" s="192"/>
      <c r="BO180" s="192"/>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51"/>
      <c r="E181" s="88">
        <v>10</v>
      </c>
      <c r="F181" s="27"/>
      <c r="G181" s="214"/>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2"/>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222"/>
      <c r="BE181" s="222"/>
      <c r="BF181" s="222"/>
      <c r="BG181" s="222"/>
      <c r="BH181" s="222"/>
      <c r="BI181" s="222"/>
      <c r="BJ181" s="192"/>
      <c r="BK181" s="192"/>
      <c r="BL181" s="192"/>
      <c r="BM181" s="192"/>
      <c r="BN181" s="192"/>
      <c r="BO181" s="192"/>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51"/>
      <c r="E182" s="89">
        <v>11</v>
      </c>
      <c r="F182" s="27"/>
      <c r="G182" s="214"/>
      <c r="H182" s="153"/>
      <c r="I182" s="153"/>
      <c r="J182" s="153"/>
      <c r="K182" s="153"/>
      <c r="L182" s="153"/>
      <c r="M182" s="153"/>
      <c r="N182" s="153"/>
      <c r="O182" s="153"/>
      <c r="P182" s="194"/>
      <c r="Q182" s="152"/>
      <c r="R182" s="70"/>
      <c r="S182" s="105"/>
      <c r="T182" s="105"/>
      <c r="U182" s="105"/>
      <c r="V182" s="105"/>
      <c r="W182" s="105"/>
      <c r="X182" s="105"/>
      <c r="Y182" s="105"/>
      <c r="Z182" s="105"/>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c r="BG182" s="222"/>
      <c r="BH182" s="222"/>
      <c r="BI182" s="222"/>
      <c r="BJ182" s="192"/>
      <c r="BK182" s="192"/>
      <c r="BL182" s="192"/>
      <c r="BM182" s="192"/>
      <c r="BN182" s="192"/>
      <c r="BO182" s="19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Distribution Substation Switchgear</v>
      </c>
      <c r="D183" s="9"/>
      <c r="E183" s="9"/>
      <c r="F183" s="23"/>
      <c r="G183" s="215">
        <f t="shared" ref="G183:L183" si="41">-SUM(G170:G182)</f>
        <v>-1.7963655753052463</v>
      </c>
      <c r="H183" s="169">
        <f t="shared" si="41"/>
        <v>-2.3610486753052462</v>
      </c>
      <c r="I183" s="169">
        <f t="shared" si="41"/>
        <v>-2.3610486753052462</v>
      </c>
      <c r="J183" s="169">
        <f t="shared" si="41"/>
        <v>-2.3610486753052462</v>
      </c>
      <c r="K183" s="169">
        <f t="shared" si="41"/>
        <v>-2.3610486753052462</v>
      </c>
      <c r="L183" s="169">
        <f t="shared" si="41"/>
        <v>-2.3610486753052462</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192"/>
      <c r="BK183" s="192"/>
      <c r="BL183" s="192"/>
      <c r="BM183" s="192"/>
      <c r="BN183" s="192"/>
      <c r="BO183" s="192"/>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Zone Transformers</v>
      </c>
      <c r="C184" s="33"/>
      <c r="D184" s="34" t="s">
        <v>69</v>
      </c>
      <c r="E184" s="33"/>
      <c r="F184" s="35"/>
      <c r="G184" s="211">
        <f>IF(G$3&gt;A9taxremlife,A9taxvalue-SUM($F184:F184),IF(A9taxremlife="N/A","n/a",A9taxvalue/A9taxremlife))</f>
        <v>8.8766060766795221</v>
      </c>
      <c r="H184" s="69">
        <f>IF(H$3&gt;A9taxremlife,A9taxvalue-SUM($F184:G184),IF(A9taxremlife="N/A","n/a",A9taxvalue/A9taxremlife))</f>
        <v>8.8766060766795221</v>
      </c>
      <c r="I184" s="69">
        <f>IF(I$3&gt;A9taxremlife,A9taxvalue-SUM($F184:H184),IF(A9taxremlife="N/A","n/a",A9taxvalue/A9taxremlife))</f>
        <v>8.8766060766795221</v>
      </c>
      <c r="J184" s="69">
        <f>IF(J$3&gt;A9taxremlife,A9taxvalue-SUM($F184:I184),IF(A9taxremlife="N/A","n/a",A9taxvalue/A9taxremlife))</f>
        <v>8.8766060766795221</v>
      </c>
      <c r="K184" s="69">
        <f>IF(K$3&gt;A9taxremlife,A9taxvalue-SUM($F184:J184),IF(A9taxremlife="N/A","n/a",A9taxvalue/A9taxremlife))</f>
        <v>8.8766060766795221</v>
      </c>
      <c r="L184" s="69">
        <f>IF(L$3&gt;A9taxremlife,A9taxvalue-SUM($F184:K184),IF(A9taxremlife="N/A","n/a",A9taxvalue/A9taxremlife))</f>
        <v>8.8766060766795221</v>
      </c>
      <c r="M184" s="69">
        <f>IF(M$3&gt;A9taxremlife,A9taxvalue-SUM($F184:L184),IF(A9taxremlife="N/A","n/a",A9taxvalue/A9taxremlife))</f>
        <v>8.8766060766795221</v>
      </c>
      <c r="N184" s="69">
        <f>IF(N$3&gt;A9taxremlife,A9taxvalue-SUM($F184:M184),IF(A9taxremlife="N/A","n/a",A9taxvalue/A9taxremlife))</f>
        <v>8.8766060766795221</v>
      </c>
      <c r="O184" s="69">
        <f>IF(O$3&gt;A9taxremlife,A9taxvalue-SUM($F184:N184),IF(A9taxremlife="N/A","n/a",A9taxvalue/A9taxremlife))</f>
        <v>8.8766060766795221</v>
      </c>
      <c r="P184" s="69">
        <f>IF(P$3&gt;A9taxremlife,A9taxvalue-SUM($F184:O184),IF(A9taxremlife="N/A","n/a",A9taxvalue/A9taxremlife))</f>
        <v>8.8766060766795221</v>
      </c>
      <c r="Q184" s="69">
        <f>IF(Q$3&gt;A9taxremlife,A9taxvalue-SUM($F184:P184),IF(A9taxremlife="N/A","n/a",A9taxvalue/A9taxremlife))</f>
        <v>8.8766060766795221</v>
      </c>
      <c r="R184" s="69"/>
      <c r="S184" s="105"/>
      <c r="T184" s="105"/>
      <c r="U184" s="105"/>
      <c r="V184" s="105"/>
      <c r="W184" s="105"/>
      <c r="X184" s="105"/>
      <c r="Y184" s="105"/>
      <c r="Z184" s="105"/>
      <c r="AA184" s="222"/>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222"/>
      <c r="BE184" s="222"/>
      <c r="BF184" s="222"/>
      <c r="BG184" s="222"/>
      <c r="BH184" s="222"/>
      <c r="BI184" s="222"/>
      <c r="BJ184" s="192"/>
      <c r="BK184" s="192"/>
      <c r="BL184" s="192"/>
      <c r="BM184" s="192"/>
      <c r="BN184" s="192"/>
      <c r="BO184" s="192"/>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50" t="s">
        <v>87</v>
      </c>
      <c r="E185" s="88">
        <v>0</v>
      </c>
      <c r="F185" s="27"/>
      <c r="G185" s="212"/>
      <c r="H185" s="70"/>
      <c r="I185" s="70"/>
      <c r="J185" s="70"/>
      <c r="K185" s="70"/>
      <c r="L185" s="70"/>
      <c r="M185" s="70"/>
      <c r="N185" s="70"/>
      <c r="O185" s="70"/>
      <c r="P185" s="70"/>
      <c r="Q185" s="70"/>
      <c r="R185" s="70"/>
      <c r="S185" s="105"/>
      <c r="T185" s="105"/>
      <c r="U185" s="105"/>
      <c r="V185" s="105"/>
      <c r="W185" s="105"/>
      <c r="X185" s="105"/>
      <c r="Y185" s="105"/>
      <c r="Z185" s="105"/>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222"/>
      <c r="BE185" s="222"/>
      <c r="BF185" s="222"/>
      <c r="BG185" s="222"/>
      <c r="BH185" s="222"/>
      <c r="BI185" s="222"/>
      <c r="BJ185" s="192"/>
      <c r="BK185" s="192"/>
      <c r="BL185" s="192"/>
      <c r="BM185" s="192"/>
      <c r="BN185" s="192"/>
      <c r="BO185" s="192"/>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51"/>
      <c r="E186" s="88">
        <v>1</v>
      </c>
      <c r="F186" s="27"/>
      <c r="G186" s="213"/>
      <c r="H186" s="70">
        <f>IF(A9taxstdlife="n/a","n/a",IF(H$3&gt;(A9taxstdlife+$E186),(Input!$G$49-Input!$G$83)-SUM($G186:G186),(Input!$G$49-Input!$G$83)/A9taxstdlife))</f>
        <v>1.06692655</v>
      </c>
      <c r="I186" s="70">
        <f>IF(A9taxstdlife="n/a","n/a",IF(I$3&gt;(A9taxstdlife+$E186),(Input!$G$49-Input!$G$83)-SUM($G186:H186),(Input!$G$49-Input!$G$83)/A9taxstdlife))</f>
        <v>1.06692655</v>
      </c>
      <c r="J186" s="70">
        <f>IF(A9taxstdlife="n/a","n/a",IF(J$3&gt;(A9taxstdlife+$E186),(Input!$G$49-Input!$G$83)-SUM($G186:I186),(Input!$G$49-Input!$G$83)/A9taxstdlife))</f>
        <v>1.06692655</v>
      </c>
      <c r="K186" s="70">
        <f>IF(A9taxstdlife="n/a","n/a",IF(K$3&gt;(A9taxstdlife+$E186),(Input!$G$49-Input!$G$83)-SUM($G186:J186),(Input!$G$49-Input!$G$83)/A9taxstdlife))</f>
        <v>1.06692655</v>
      </c>
      <c r="L186" s="70">
        <f>IF(A9taxstdlife="n/a","n/a",IF(L$3&gt;(A9taxstdlife+$E186),(Input!$G$49-Input!$G$83)-SUM($G186:K186),(Input!$G$49-Input!$G$83)/A9taxstdlife))</f>
        <v>1.06692655</v>
      </c>
      <c r="M186" s="70">
        <f>IF(A9taxstdlife="n/a","n/a",IF(M$3&gt;(A9taxstdlife+$E186),(Input!$G$49-Input!$G$83)-SUM($G186:L186),(Input!$G$49-Input!$G$83)/A9taxstdlife))</f>
        <v>1.06692655</v>
      </c>
      <c r="N186" s="70">
        <f>IF(A9taxstdlife="n/a","n/a",IF(N$3&gt;(A9taxstdlife+$E186),(Input!$G$49-Input!$G$83)-SUM($G186:M186),(Input!$G$49-Input!$G$83)/A9taxstdlife))</f>
        <v>1.06692655</v>
      </c>
      <c r="O186" s="70">
        <f>IF(A9taxstdlife="n/a","n/a",IF(O$3&gt;(A9taxstdlife+$E186),(Input!$G$49-Input!$G$83)-SUM($G186:N186),(Input!$G$49-Input!$G$83)/A9taxstdlife))</f>
        <v>1.06692655</v>
      </c>
      <c r="P186" s="70">
        <f>IF(A9taxstdlife="n/a","n/a",IF(P$3&gt;(A9taxstdlife+$E186),(Input!$G$49-Input!$G$83)-SUM($G186:O186),(Input!$G$49-Input!$G$83)/A9taxstdlife))</f>
        <v>1.06692655</v>
      </c>
      <c r="Q186" s="70">
        <f>IF(A9taxstdlife="n/a","n/a",IF(Q$3&gt;(A9taxstdlife+$E186),(Input!$G$49-Input!$G$83)-SUM($G186:P186),(Input!$G$49-Input!$G$83)/A9taxstdlife))</f>
        <v>1.06692655</v>
      </c>
      <c r="R186" s="70"/>
      <c r="S186" s="105"/>
      <c r="T186" s="105"/>
      <c r="U186" s="105"/>
      <c r="V186" s="105"/>
      <c r="W186" s="105"/>
      <c r="X186" s="105"/>
      <c r="Y186" s="105"/>
      <c r="Z186" s="105"/>
      <c r="AA186" s="222"/>
      <c r="AB186" s="222"/>
      <c r="AC186" s="222"/>
      <c r="AD186" s="222"/>
      <c r="AE186" s="222"/>
      <c r="AF186" s="222"/>
      <c r="AG186" s="222"/>
      <c r="AH186" s="222"/>
      <c r="AI186" s="222"/>
      <c r="AJ186" s="222"/>
      <c r="AK186" s="222"/>
      <c r="AL186" s="222"/>
      <c r="AM186" s="222"/>
      <c r="AN186" s="222"/>
      <c r="AO186" s="222"/>
      <c r="AP186" s="222"/>
      <c r="AQ186" s="222"/>
      <c r="AR186" s="222"/>
      <c r="AS186" s="222"/>
      <c r="AT186" s="222"/>
      <c r="AU186" s="222"/>
      <c r="AV186" s="222"/>
      <c r="AW186" s="222"/>
      <c r="AX186" s="222"/>
      <c r="AY186" s="222"/>
      <c r="AZ186" s="222"/>
      <c r="BA186" s="222"/>
      <c r="BB186" s="222"/>
      <c r="BC186" s="222"/>
      <c r="BD186" s="222"/>
      <c r="BE186" s="222"/>
      <c r="BF186" s="222"/>
      <c r="BG186" s="222"/>
      <c r="BH186" s="222"/>
      <c r="BI186" s="222"/>
      <c r="BJ186" s="192"/>
      <c r="BK186" s="192"/>
      <c r="BL186" s="192"/>
      <c r="BM186" s="192"/>
      <c r="BN186" s="192"/>
      <c r="BO186" s="192"/>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51"/>
      <c r="E187" s="88">
        <v>2</v>
      </c>
      <c r="F187" s="27"/>
      <c r="G187" s="214"/>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2"/>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222"/>
      <c r="BE187" s="222"/>
      <c r="BF187" s="222"/>
      <c r="BG187" s="222"/>
      <c r="BH187" s="222"/>
      <c r="BI187" s="222"/>
      <c r="BJ187" s="192"/>
      <c r="BK187" s="192"/>
      <c r="BL187" s="192"/>
      <c r="BM187" s="192"/>
      <c r="BN187" s="192"/>
      <c r="BO187" s="192"/>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51"/>
      <c r="E188" s="88">
        <v>3</v>
      </c>
      <c r="F188" s="27"/>
      <c r="G188" s="214"/>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222"/>
      <c r="BE188" s="222"/>
      <c r="BF188" s="222"/>
      <c r="BG188" s="222"/>
      <c r="BH188" s="222"/>
      <c r="BI188" s="222"/>
      <c r="BJ188" s="192"/>
      <c r="BK188" s="192"/>
      <c r="BL188" s="192"/>
      <c r="BM188" s="192"/>
      <c r="BN188" s="192"/>
      <c r="BO188" s="192"/>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51"/>
      <c r="E189" s="88">
        <v>4</v>
      </c>
      <c r="F189" s="27"/>
      <c r="G189" s="214"/>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222"/>
      <c r="BE189" s="222"/>
      <c r="BF189" s="222"/>
      <c r="BG189" s="222"/>
      <c r="BH189" s="222"/>
      <c r="BI189" s="222"/>
      <c r="BJ189" s="192"/>
      <c r="BK189" s="192"/>
      <c r="BL189" s="192"/>
      <c r="BM189" s="192"/>
      <c r="BN189" s="192"/>
      <c r="BO189" s="192"/>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51"/>
      <c r="E190" s="88">
        <v>5</v>
      </c>
      <c r="F190" s="27"/>
      <c r="G190" s="214"/>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222"/>
      <c r="BE190" s="222"/>
      <c r="BF190" s="222"/>
      <c r="BG190" s="222"/>
      <c r="BH190" s="222"/>
      <c r="BI190" s="222"/>
      <c r="BJ190" s="224"/>
      <c r="BK190" s="192"/>
      <c r="BL190" s="192"/>
      <c r="BM190" s="192"/>
      <c r="BN190" s="192"/>
      <c r="BO190" s="192"/>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51"/>
      <c r="E191" s="88">
        <v>6</v>
      </c>
      <c r="F191" s="27"/>
      <c r="G191" s="214"/>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222"/>
      <c r="BE191" s="222"/>
      <c r="BF191" s="222"/>
      <c r="BG191" s="222"/>
      <c r="BH191" s="222"/>
      <c r="BI191" s="222"/>
      <c r="BJ191" s="192"/>
      <c r="BK191" s="192"/>
      <c r="BL191" s="192"/>
      <c r="BM191" s="192"/>
      <c r="BN191" s="192"/>
      <c r="BO191" s="192"/>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51"/>
      <c r="E192" s="88">
        <v>7</v>
      </c>
      <c r="F192" s="27"/>
      <c r="G192" s="214"/>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222"/>
      <c r="BE192" s="222"/>
      <c r="BF192" s="222"/>
      <c r="BG192" s="222"/>
      <c r="BH192" s="222"/>
      <c r="BI192" s="222"/>
      <c r="BJ192" s="192"/>
      <c r="BK192" s="192"/>
      <c r="BL192" s="192"/>
      <c r="BM192" s="192"/>
      <c r="BN192" s="192"/>
      <c r="BO192" s="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51"/>
      <c r="E193" s="88">
        <v>8</v>
      </c>
      <c r="F193" s="27"/>
      <c r="G193" s="214"/>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2"/>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222"/>
      <c r="BE193" s="222"/>
      <c r="BF193" s="222"/>
      <c r="BG193" s="222"/>
      <c r="BH193" s="222"/>
      <c r="BI193" s="222"/>
      <c r="BJ193" s="192"/>
      <c r="BK193" s="192"/>
      <c r="BL193" s="192"/>
      <c r="BM193" s="192"/>
      <c r="BN193" s="192"/>
      <c r="BO193" s="192"/>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51"/>
      <c r="E194" s="88">
        <v>9</v>
      </c>
      <c r="F194" s="27"/>
      <c r="G194" s="214"/>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c r="BE194" s="222"/>
      <c r="BF194" s="222"/>
      <c r="BG194" s="222"/>
      <c r="BH194" s="222"/>
      <c r="BI194" s="222"/>
      <c r="BJ194" s="192"/>
      <c r="BK194" s="192"/>
      <c r="BL194" s="192"/>
      <c r="BM194" s="192"/>
      <c r="BN194" s="192"/>
      <c r="BO194" s="192"/>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51"/>
      <c r="E195" s="88">
        <v>10</v>
      </c>
      <c r="F195" s="27"/>
      <c r="G195" s="214"/>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c r="BE195" s="222"/>
      <c r="BF195" s="222"/>
      <c r="BG195" s="222"/>
      <c r="BH195" s="222"/>
      <c r="BI195" s="222"/>
      <c r="BJ195" s="192"/>
      <c r="BK195" s="192"/>
      <c r="BL195" s="192"/>
      <c r="BM195" s="192"/>
      <c r="BN195" s="192"/>
      <c r="BO195" s="192"/>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51"/>
      <c r="E196" s="89">
        <v>11</v>
      </c>
      <c r="F196" s="27"/>
      <c r="G196" s="214"/>
      <c r="H196" s="153"/>
      <c r="I196" s="153"/>
      <c r="J196" s="153"/>
      <c r="K196" s="153"/>
      <c r="L196" s="153"/>
      <c r="M196" s="153"/>
      <c r="N196" s="153"/>
      <c r="O196" s="153"/>
      <c r="P196" s="194"/>
      <c r="Q196" s="152"/>
      <c r="R196" s="70"/>
      <c r="S196" s="105"/>
      <c r="T196" s="105"/>
      <c r="U196" s="105"/>
      <c r="V196" s="105"/>
      <c r="W196" s="105"/>
      <c r="X196" s="105"/>
      <c r="Y196" s="105"/>
      <c r="Z196" s="105"/>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192"/>
      <c r="BK196" s="192"/>
      <c r="BL196" s="192"/>
      <c r="BM196" s="192"/>
      <c r="BN196" s="192"/>
      <c r="BO196" s="192"/>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Zone Transformers</v>
      </c>
      <c r="D197" s="9"/>
      <c r="E197" s="9"/>
      <c r="F197" s="23"/>
      <c r="G197" s="215">
        <f t="shared" ref="G197:L197" si="42">-SUM(G184:G196)</f>
        <v>-8.8766060766795221</v>
      </c>
      <c r="H197" s="169">
        <f t="shared" si="42"/>
        <v>-9.9435326266795219</v>
      </c>
      <c r="I197" s="169">
        <f t="shared" si="42"/>
        <v>-9.9435326266795219</v>
      </c>
      <c r="J197" s="169">
        <f t="shared" si="42"/>
        <v>-9.9435326266795219</v>
      </c>
      <c r="K197" s="169">
        <f t="shared" si="42"/>
        <v>-9.9435326266795219</v>
      </c>
      <c r="L197" s="169">
        <f t="shared" si="42"/>
        <v>-9.9435326266795219</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192"/>
      <c r="BK197" s="192"/>
      <c r="BL197" s="192"/>
      <c r="BM197" s="192"/>
      <c r="BN197" s="192"/>
      <c r="BO197" s="192"/>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Distribution Transformers</v>
      </c>
      <c r="C198" s="33"/>
      <c r="D198" s="34" t="s">
        <v>69</v>
      </c>
      <c r="E198" s="33"/>
      <c r="F198" s="35"/>
      <c r="G198" s="211">
        <f>IF(G$3&gt;A10taxremlife,A10taxvalue-SUM($F198:F198),IF(A10taxremlife="N/A","n/a",A10taxvalue/A10taxremlife))</f>
        <v>27.193260554935218</v>
      </c>
      <c r="H198" s="69">
        <f>IF(H$3&gt;A10taxremlife,A10taxvalue-SUM($F198:G198),IF(A10taxremlife="N/A","n/a",A10taxvalue/A10taxremlife))</f>
        <v>27.193260554935218</v>
      </c>
      <c r="I198" s="69">
        <f>IF(I$3&gt;A10taxremlife,A10taxvalue-SUM($F198:H198),IF(A10taxremlife="N/A","n/a",A10taxvalue/A10taxremlife))</f>
        <v>27.193260554935218</v>
      </c>
      <c r="J198" s="69">
        <f>IF(J$3&gt;A10taxremlife,A10taxvalue-SUM($F198:I198),IF(A10taxremlife="N/A","n/a",A10taxvalue/A10taxremlife))</f>
        <v>27.193260554935218</v>
      </c>
      <c r="K198" s="69">
        <f>IF(K$3&gt;A10taxremlife,A10taxvalue-SUM($F198:J198),IF(A10taxremlife="N/A","n/a",A10taxvalue/A10taxremlife))</f>
        <v>27.193260554935218</v>
      </c>
      <c r="L198" s="69">
        <f>IF(L$3&gt;A10taxremlife,A10taxvalue-SUM($F198:K198),IF(A10taxremlife="N/A","n/a",A10taxvalue/A10taxremlife))</f>
        <v>27.193260554935218</v>
      </c>
      <c r="M198" s="69">
        <f>IF(M$3&gt;A10taxremlife,A10taxvalue-SUM($F198:L198),IF(A10taxremlife="N/A","n/a",A10taxvalue/A10taxremlife))</f>
        <v>27.193260554935218</v>
      </c>
      <c r="N198" s="69">
        <f>IF(N$3&gt;A10taxremlife,A10taxvalue-SUM($F198:M198),IF(A10taxremlife="N/A","n/a",A10taxvalue/A10taxremlife))</f>
        <v>27.193260554935218</v>
      </c>
      <c r="O198" s="69">
        <f>IF(O$3&gt;A10taxremlife,A10taxvalue-SUM($F198:N198),IF(A10taxremlife="N/A","n/a",A10taxvalue/A10taxremlife))</f>
        <v>27.193260554935218</v>
      </c>
      <c r="P198" s="69">
        <f>IF(P$3&gt;A10taxremlife,A10taxvalue-SUM($F198:O198),IF(A10taxremlife="N/A","n/a",A10taxvalue/A10taxremlife))</f>
        <v>27.193260554935218</v>
      </c>
      <c r="Q198" s="69">
        <f>IF(Q$3&gt;A10taxremlife,A10taxvalue-SUM($F198:P198),IF(A10taxremlife="N/A","n/a",A10taxvalue/A10taxremlife))</f>
        <v>27.193260554935218</v>
      </c>
      <c r="R198" s="69"/>
      <c r="S198" s="105"/>
      <c r="T198" s="105"/>
      <c r="U198" s="105"/>
      <c r="V198" s="105"/>
      <c r="W198" s="105"/>
      <c r="X198" s="105"/>
      <c r="Y198" s="105"/>
      <c r="Z198" s="105"/>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c r="BH198" s="222"/>
      <c r="BI198" s="222"/>
      <c r="BJ198" s="192"/>
      <c r="BK198" s="192"/>
      <c r="BL198" s="192"/>
      <c r="BM198" s="192"/>
      <c r="BN198" s="192"/>
      <c r="BO198" s="192"/>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50" t="s">
        <v>87</v>
      </c>
      <c r="E199" s="88">
        <v>0</v>
      </c>
      <c r="F199" s="27"/>
      <c r="G199" s="212"/>
      <c r="H199" s="70"/>
      <c r="I199" s="70"/>
      <c r="J199" s="70"/>
      <c r="K199" s="70"/>
      <c r="L199" s="70"/>
      <c r="M199" s="70"/>
      <c r="N199" s="70"/>
      <c r="O199" s="70"/>
      <c r="P199" s="70"/>
      <c r="Q199" s="70"/>
      <c r="R199" s="70"/>
      <c r="S199" s="105"/>
      <c r="T199" s="105"/>
      <c r="U199" s="105"/>
      <c r="V199" s="105"/>
      <c r="W199" s="105"/>
      <c r="X199" s="105"/>
      <c r="Y199" s="105"/>
      <c r="Z199" s="105"/>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c r="BH199" s="222"/>
      <c r="BI199" s="222"/>
      <c r="BJ199" s="192"/>
      <c r="BK199" s="192"/>
      <c r="BL199" s="192"/>
      <c r="BM199" s="192"/>
      <c r="BN199" s="192"/>
      <c r="BO199" s="192"/>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51"/>
      <c r="E200" s="88">
        <v>1</v>
      </c>
      <c r="F200" s="27"/>
      <c r="G200" s="213"/>
      <c r="H200" s="70">
        <f>IF(A10taxstdlife="n/a","n/a",IF(H$3&gt;(A10taxstdlife+$E200),(Input!$G$50-Input!$G$84)-SUM($G200:G200),(Input!$G$50-Input!$G$84)/A10taxstdlife))</f>
        <v>2.0287931000000001</v>
      </c>
      <c r="I200" s="70">
        <f>IF(A10taxstdlife="n/a","n/a",IF(I$3&gt;(A10taxstdlife+$E200),(Input!$G$50-Input!$G$84)-SUM($G200:H200),(Input!$G$50-Input!$G$84)/A10taxstdlife))</f>
        <v>2.0287931000000001</v>
      </c>
      <c r="J200" s="70">
        <f>IF(A10taxstdlife="n/a","n/a",IF(J$3&gt;(A10taxstdlife+$E200),(Input!$G$50-Input!$G$84)-SUM($G200:I200),(Input!$G$50-Input!$G$84)/A10taxstdlife))</f>
        <v>2.0287931000000001</v>
      </c>
      <c r="K200" s="70">
        <f>IF(A10taxstdlife="n/a","n/a",IF(K$3&gt;(A10taxstdlife+$E200),(Input!$G$50-Input!$G$84)-SUM($G200:J200),(Input!$G$50-Input!$G$84)/A10taxstdlife))</f>
        <v>2.0287931000000001</v>
      </c>
      <c r="L200" s="70">
        <f>IF(A10taxstdlife="n/a","n/a",IF(L$3&gt;(A10taxstdlife+$E200),(Input!$G$50-Input!$G$84)-SUM($G200:K200),(Input!$G$50-Input!$G$84)/A10taxstdlife))</f>
        <v>2.0287931000000001</v>
      </c>
      <c r="M200" s="70">
        <f>IF(A10taxstdlife="n/a","n/a",IF(M$3&gt;(A10taxstdlife+$E200),(Input!$G$50-Input!$G$84)-SUM($G200:L200),(Input!$G$50-Input!$G$84)/A10taxstdlife))</f>
        <v>2.0287931000000001</v>
      </c>
      <c r="N200" s="70">
        <f>IF(A10taxstdlife="n/a","n/a",IF(N$3&gt;(A10taxstdlife+$E200),(Input!$G$50-Input!$G$84)-SUM($G200:M200),(Input!$G$50-Input!$G$84)/A10taxstdlife))</f>
        <v>2.0287931000000001</v>
      </c>
      <c r="O200" s="70">
        <f>IF(A10taxstdlife="n/a","n/a",IF(O$3&gt;(A10taxstdlife+$E200),(Input!$G$50-Input!$G$84)-SUM($G200:N200),(Input!$G$50-Input!$G$84)/A10taxstdlife))</f>
        <v>2.0287931000000001</v>
      </c>
      <c r="P200" s="70">
        <f>IF(A10taxstdlife="n/a","n/a",IF(P$3&gt;(A10taxstdlife+$E200),(Input!$G$50-Input!$G$84)-SUM($G200:O200),(Input!$G$50-Input!$G$84)/A10taxstdlife))</f>
        <v>2.0287931000000001</v>
      </c>
      <c r="Q200" s="70">
        <f>IF(A10taxstdlife="n/a","n/a",IF(Q$3&gt;(A10taxstdlife+$E200),(Input!$G$50-Input!$G$84)-SUM($G200:P200),(Input!$G$50-Input!$G$84)/A10taxstdlife))</f>
        <v>2.0287931000000001</v>
      </c>
      <c r="R200" s="70"/>
      <c r="S200" s="105"/>
      <c r="T200" s="105"/>
      <c r="U200" s="105"/>
      <c r="V200" s="105"/>
      <c r="W200" s="105"/>
      <c r="X200" s="105"/>
      <c r="Y200" s="105"/>
      <c r="Z200" s="105"/>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c r="BH200" s="222"/>
      <c r="BI200" s="222"/>
      <c r="BJ200" s="192"/>
      <c r="BK200" s="192"/>
      <c r="BL200" s="192"/>
      <c r="BM200" s="192"/>
      <c r="BN200" s="192"/>
      <c r="BO200" s="192"/>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51"/>
      <c r="E201" s="88">
        <v>2</v>
      </c>
      <c r="F201" s="27"/>
      <c r="G201" s="214"/>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192"/>
      <c r="BK201" s="192"/>
      <c r="BL201" s="192"/>
      <c r="BM201" s="192"/>
      <c r="BN201" s="192"/>
      <c r="BO201" s="192"/>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51"/>
      <c r="E202" s="88">
        <v>3</v>
      </c>
      <c r="F202" s="27"/>
      <c r="G202" s="214"/>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c r="BH202" s="222"/>
      <c r="BI202" s="222"/>
      <c r="BJ202" s="192"/>
      <c r="BK202" s="192"/>
      <c r="BL202" s="192"/>
      <c r="BM202" s="192"/>
      <c r="BN202" s="192"/>
      <c r="BO202" s="19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51"/>
      <c r="E203" s="88">
        <v>4</v>
      </c>
      <c r="F203" s="27"/>
      <c r="G203" s="214"/>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192"/>
      <c r="BK203" s="192"/>
      <c r="BL203" s="192"/>
      <c r="BM203" s="192"/>
      <c r="BN203" s="192"/>
      <c r="BO203" s="192"/>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51"/>
      <c r="E204" s="88">
        <v>5</v>
      </c>
      <c r="F204" s="27"/>
      <c r="G204" s="214"/>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192"/>
      <c r="BK204" s="192"/>
      <c r="BL204" s="192"/>
      <c r="BM204" s="192"/>
      <c r="BN204" s="192"/>
      <c r="BO204" s="192"/>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51"/>
      <c r="E205" s="88">
        <v>6</v>
      </c>
      <c r="F205" s="27"/>
      <c r="G205" s="214"/>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c r="BH205" s="222"/>
      <c r="BI205" s="222"/>
      <c r="BJ205" s="192"/>
      <c r="BK205" s="192"/>
      <c r="BL205" s="192"/>
      <c r="BM205" s="192"/>
      <c r="BN205" s="192"/>
      <c r="BO205" s="192"/>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51"/>
      <c r="E206" s="88">
        <v>7</v>
      </c>
      <c r="F206" s="27"/>
      <c r="G206" s="214"/>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192"/>
      <c r="BK206" s="192"/>
      <c r="BL206" s="192"/>
      <c r="BM206" s="192"/>
      <c r="BN206" s="192"/>
      <c r="BO206" s="192"/>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51"/>
      <c r="E207" s="88">
        <v>8</v>
      </c>
      <c r="F207" s="27"/>
      <c r="G207" s="214"/>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c r="BH207" s="222"/>
      <c r="BI207" s="222"/>
      <c r="BJ207" s="192"/>
      <c r="BK207" s="192"/>
      <c r="BL207" s="192"/>
      <c r="BM207" s="192"/>
      <c r="BN207" s="192"/>
      <c r="BO207" s="192"/>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51"/>
      <c r="E208" s="88">
        <v>9</v>
      </c>
      <c r="F208" s="27"/>
      <c r="G208" s="214"/>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5"/>
      <c r="BK208" s="192"/>
      <c r="BL208" s="192"/>
      <c r="BM208" s="192"/>
      <c r="BN208" s="192"/>
      <c r="BO208" s="192"/>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51"/>
      <c r="E209" s="88">
        <v>10</v>
      </c>
      <c r="F209" s="27"/>
      <c r="G209" s="214"/>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2"/>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222"/>
      <c r="BE209" s="222"/>
      <c r="BF209" s="222"/>
      <c r="BG209" s="222"/>
      <c r="BH209" s="222"/>
      <c r="BI209" s="222"/>
      <c r="BJ209" s="192"/>
      <c r="BK209" s="192"/>
      <c r="BL209" s="192"/>
      <c r="BM209" s="192"/>
      <c r="BN209" s="192"/>
      <c r="BO209" s="192"/>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51"/>
      <c r="E210" s="89">
        <v>11</v>
      </c>
      <c r="F210" s="27"/>
      <c r="G210" s="214"/>
      <c r="H210" s="153"/>
      <c r="I210" s="153"/>
      <c r="J210" s="153"/>
      <c r="K210" s="153"/>
      <c r="L210" s="153"/>
      <c r="M210" s="153"/>
      <c r="N210" s="153"/>
      <c r="O210" s="153"/>
      <c r="P210" s="194"/>
      <c r="Q210" s="152"/>
      <c r="R210" s="70"/>
      <c r="S210" s="105"/>
      <c r="T210" s="105"/>
      <c r="U210" s="105"/>
      <c r="V210" s="105"/>
      <c r="W210" s="105"/>
      <c r="X210" s="105"/>
      <c r="Y210" s="105"/>
      <c r="Z210" s="105"/>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192"/>
      <c r="BK210" s="192"/>
      <c r="BL210" s="192"/>
      <c r="BM210" s="192"/>
      <c r="BN210" s="192"/>
      <c r="BO210" s="192"/>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Distribution Transformers</v>
      </c>
      <c r="D211" s="9"/>
      <c r="E211" s="9"/>
      <c r="F211" s="23"/>
      <c r="G211" s="215">
        <f t="shared" ref="G211" si="43">-SUM(G198:G210)</f>
        <v>-27.193260554935218</v>
      </c>
      <c r="H211" s="169">
        <f>-SUM(H198:H210)</f>
        <v>-29.22205365493522</v>
      </c>
      <c r="I211" s="169">
        <f>-SUM(I198:I210)</f>
        <v>-29.22205365493522</v>
      </c>
      <c r="J211" s="169">
        <f>-SUM(J198:J210)</f>
        <v>-29.22205365493522</v>
      </c>
      <c r="K211" s="169">
        <f>-SUM(K198:K210)</f>
        <v>-29.22205365493522</v>
      </c>
      <c r="L211" s="169">
        <f>-SUM(L198:L210)</f>
        <v>-29.22205365493522</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192"/>
      <c r="BK211" s="192"/>
      <c r="BL211" s="192"/>
      <c r="BM211" s="192"/>
      <c r="BN211" s="192"/>
      <c r="BO211" s="192"/>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Low Voltage Services</v>
      </c>
      <c r="C212" s="33"/>
      <c r="D212" s="34" t="s">
        <v>69</v>
      </c>
      <c r="E212" s="33"/>
      <c r="F212" s="35"/>
      <c r="G212" s="211">
        <f>IF(G$3&gt;A11taxremlife,A11taxvalue-SUM($F212:F212),IF(A11taxremlife="N/A","n/a",A11taxvalue/A11taxremlife))</f>
        <v>17.039291923079738</v>
      </c>
      <c r="H212" s="69">
        <f>IF(H$3&gt;A11taxremlife,A11taxvalue-SUM($F212:G212),IF(A11taxremlife="N/A","n/a",A11taxvalue/A11taxremlife))</f>
        <v>17.039291923079738</v>
      </c>
      <c r="I212" s="69">
        <f>IF(I$3&gt;A11taxremlife,A11taxvalue-SUM($F212:H212),IF(A11taxremlife="N/A","n/a",A11taxvalue/A11taxremlife))</f>
        <v>17.039291923079738</v>
      </c>
      <c r="J212" s="69">
        <f>IF(J$3&gt;A11taxremlife,A11taxvalue-SUM($F212:I212),IF(A11taxremlife="N/A","n/a",A11taxvalue/A11taxremlife))</f>
        <v>17.039291923079738</v>
      </c>
      <c r="K212" s="69">
        <f>IF(K$3&gt;A11taxremlife,A11taxvalue-SUM($F212:J212),IF(A11taxremlife="N/A","n/a",A11taxvalue/A11taxremlife))</f>
        <v>17.039291923079738</v>
      </c>
      <c r="L212" s="69">
        <f>IF(L$3&gt;A11taxremlife,A11taxvalue-SUM($F212:K212),IF(A11taxremlife="N/A","n/a",A11taxvalue/A11taxremlife))</f>
        <v>17.039291923079738</v>
      </c>
      <c r="M212" s="69">
        <f>IF(M$3&gt;A11taxremlife,A11taxvalue-SUM($F212:L212),IF(A11taxremlife="N/A","n/a",A11taxvalue/A11taxremlife))</f>
        <v>17.039291923079738</v>
      </c>
      <c r="N212" s="69">
        <f>IF(N$3&gt;A11taxremlife,A11taxvalue-SUM($F212:M212),IF(A11taxremlife="N/A","n/a",A11taxvalue/A11taxremlife))</f>
        <v>17.039291923079738</v>
      </c>
      <c r="O212" s="69">
        <f>IF(O$3&gt;A11taxremlife,A11taxvalue-SUM($F212:N212),IF(A11taxremlife="N/A","n/a",A11taxvalue/A11taxremlife))</f>
        <v>17.039291923079738</v>
      </c>
      <c r="P212" s="69">
        <f>IF(P$3&gt;A11taxremlife,A11taxvalue-SUM($F212:O212),IF(A11taxremlife="N/A","n/a",A11taxvalue/A11taxremlife))</f>
        <v>8.2208016922824072</v>
      </c>
      <c r="Q212" s="69">
        <f>IF(Q$3&gt;A11taxremlife,A11taxvalue-SUM($F212:P212),IF(A11taxremlife="N/A","n/a",A11taxvalue/A11taxremlife))</f>
        <v>0</v>
      </c>
      <c r="R212" s="69"/>
      <c r="S212" s="105"/>
      <c r="T212" s="105"/>
      <c r="U212" s="105"/>
      <c r="V212" s="105"/>
      <c r="W212" s="105"/>
      <c r="X212" s="105"/>
      <c r="Y212" s="105"/>
      <c r="Z212" s="105"/>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192"/>
      <c r="BK212" s="192"/>
      <c r="BL212" s="192"/>
      <c r="BM212" s="192"/>
      <c r="BN212" s="192"/>
      <c r="BO212" s="19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50" t="s">
        <v>87</v>
      </c>
      <c r="E213" s="88">
        <v>0</v>
      </c>
      <c r="F213" s="27"/>
      <c r="G213" s="212"/>
      <c r="H213" s="70"/>
      <c r="I213" s="70"/>
      <c r="J213" s="70"/>
      <c r="K213" s="70"/>
      <c r="L213" s="70"/>
      <c r="M213" s="70"/>
      <c r="N213" s="70"/>
      <c r="O213" s="70"/>
      <c r="P213" s="70"/>
      <c r="Q213" s="70"/>
      <c r="R213" s="70"/>
      <c r="S213" s="105"/>
      <c r="T213" s="105"/>
      <c r="U213" s="105"/>
      <c r="V213" s="105"/>
      <c r="W213" s="105"/>
      <c r="X213" s="105"/>
      <c r="Y213" s="105"/>
      <c r="Z213" s="105"/>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192"/>
      <c r="BK213" s="192"/>
      <c r="BL213" s="192"/>
      <c r="BM213" s="192"/>
      <c r="BN213" s="192"/>
      <c r="BO213" s="192"/>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51"/>
      <c r="E214" s="88">
        <v>1</v>
      </c>
      <c r="F214" s="27"/>
      <c r="G214" s="213"/>
      <c r="H214" s="70">
        <f>IF(A11taxstdlife="n/a","n/a",IF(H$3&gt;(A11taxstdlife+$E214),(Input!$G$51-Input!$G$85)-SUM($G214:G214),(Input!$G$51-Input!$G$85)/A11taxstdlife))</f>
        <v>0.33393307499999997</v>
      </c>
      <c r="I214" s="70">
        <f>IF(A11taxstdlife="n/a","n/a",IF(I$3&gt;(A11taxstdlife+$E214),(Input!$G$51-Input!$G$85)-SUM($G214:H214),(Input!$G$51-Input!$G$85)/A11taxstdlife))</f>
        <v>0.33393307499999997</v>
      </c>
      <c r="J214" s="70">
        <f>IF(A11taxstdlife="n/a","n/a",IF(J$3&gt;(A11taxstdlife+$E214),(Input!$G$51-Input!$G$85)-SUM($G214:I214),(Input!$G$51-Input!$G$85)/A11taxstdlife))</f>
        <v>0.33393307499999997</v>
      </c>
      <c r="K214" s="70">
        <f>IF(A11taxstdlife="n/a","n/a",IF(K$3&gt;(A11taxstdlife+$E214),(Input!$G$51-Input!$G$85)-SUM($G214:J214),(Input!$G$51-Input!$G$85)/A11taxstdlife))</f>
        <v>0.33393307499999997</v>
      </c>
      <c r="L214" s="70">
        <f>IF(A11taxstdlife="n/a","n/a",IF(L$3&gt;(A11taxstdlife+$E214),(Input!$G$51-Input!$G$85)-SUM($G214:K214),(Input!$G$51-Input!$G$85)/A11taxstdlife))</f>
        <v>0.33393307499999997</v>
      </c>
      <c r="M214" s="70">
        <f>IF(A11taxstdlife="n/a","n/a",IF(M$3&gt;(A11taxstdlife+$E214),(Input!$G$51-Input!$G$85)-SUM($G214:L214),(Input!$G$51-Input!$G$85)/A11taxstdlife))</f>
        <v>0.33393307499999997</v>
      </c>
      <c r="N214" s="70">
        <f>IF(A11taxstdlife="n/a","n/a",IF(N$3&gt;(A11taxstdlife+$E214),(Input!$G$51-Input!$G$85)-SUM($G214:M214),(Input!$G$51-Input!$G$85)/A11taxstdlife))</f>
        <v>0.33393307499999997</v>
      </c>
      <c r="O214" s="70">
        <f>IF(A11taxstdlife="n/a","n/a",IF(O$3&gt;(A11taxstdlife+$E214),(Input!$G$51-Input!$G$85)-SUM($G214:N214),(Input!$G$51-Input!$G$85)/A11taxstdlife))</f>
        <v>0.33393307499999997</v>
      </c>
      <c r="P214" s="70">
        <f>IF(A11taxstdlife="n/a","n/a",IF(P$3&gt;(A11taxstdlife+$E214),(Input!$G$51-Input!$G$85)-SUM($G214:O214),(Input!$G$51-Input!$G$85)/A11taxstdlife))</f>
        <v>0.33393307499999997</v>
      </c>
      <c r="Q214" s="70">
        <f>IF(A11taxstdlife="n/a","n/a",IF(Q$3&gt;(A11taxstdlife+$E214),(Input!$G$51-Input!$G$85)-SUM($G214:P214),(Input!$G$51-Input!$G$85)/A11taxstdlife))</f>
        <v>0.33393307499999997</v>
      </c>
      <c r="R214" s="70"/>
      <c r="S214" s="105"/>
      <c r="T214" s="105"/>
      <c r="U214" s="105"/>
      <c r="V214" s="105"/>
      <c r="W214" s="105"/>
      <c r="X214" s="105"/>
      <c r="Y214" s="105"/>
      <c r="Z214" s="105"/>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192"/>
      <c r="BK214" s="192"/>
      <c r="BL214" s="192"/>
      <c r="BM214" s="192"/>
      <c r="BN214" s="192"/>
      <c r="BO214" s="192"/>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51"/>
      <c r="E215" s="88">
        <v>2</v>
      </c>
      <c r="F215" s="27"/>
      <c r="G215" s="214"/>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192"/>
      <c r="BK215" s="192"/>
      <c r="BL215" s="192"/>
      <c r="BM215" s="192"/>
      <c r="BN215" s="192"/>
      <c r="BO215" s="192"/>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51"/>
      <c r="E216" s="88">
        <v>3</v>
      </c>
      <c r="F216" s="27"/>
      <c r="G216" s="214"/>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192"/>
      <c r="BK216" s="192"/>
      <c r="BL216" s="192"/>
      <c r="BM216" s="192"/>
      <c r="BN216" s="192"/>
      <c r="BO216" s="192"/>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51"/>
      <c r="E217" s="88">
        <v>4</v>
      </c>
      <c r="F217" s="27"/>
      <c r="G217" s="214"/>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2"/>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192"/>
      <c r="BK217" s="192"/>
      <c r="BL217" s="192"/>
      <c r="BM217" s="192"/>
      <c r="BN217" s="192"/>
      <c r="BO217" s="192"/>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51"/>
      <c r="E218" s="88">
        <v>5</v>
      </c>
      <c r="F218" s="27"/>
      <c r="G218" s="214"/>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192"/>
      <c r="BK218" s="192"/>
      <c r="BL218" s="192"/>
      <c r="BM218" s="192"/>
      <c r="BN218" s="192"/>
      <c r="BO218" s="192"/>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51"/>
      <c r="E219" s="88">
        <v>6</v>
      </c>
      <c r="F219" s="27"/>
      <c r="G219" s="214"/>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2"/>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222"/>
      <c r="BE219" s="222"/>
      <c r="BF219" s="222"/>
      <c r="BG219" s="222"/>
      <c r="BH219" s="222"/>
      <c r="BI219" s="222"/>
      <c r="BJ219" s="192"/>
      <c r="BK219" s="192"/>
      <c r="BL219" s="192"/>
      <c r="BM219" s="192"/>
      <c r="BN219" s="192"/>
      <c r="BO219" s="192"/>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51"/>
      <c r="E220" s="88">
        <v>7</v>
      </c>
      <c r="F220" s="27"/>
      <c r="G220" s="214"/>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2"/>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222"/>
      <c r="BE220" s="222"/>
      <c r="BF220" s="222"/>
      <c r="BG220" s="222"/>
      <c r="BH220" s="222"/>
      <c r="BI220" s="222"/>
      <c r="BJ220" s="192"/>
      <c r="BK220" s="192"/>
      <c r="BL220" s="192"/>
      <c r="BM220" s="192"/>
      <c r="BN220" s="192"/>
      <c r="BO220" s="192"/>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51"/>
      <c r="E221" s="88">
        <v>8</v>
      </c>
      <c r="F221" s="27"/>
      <c r="G221" s="214"/>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222"/>
      <c r="BH221" s="222"/>
      <c r="BI221" s="222"/>
      <c r="BJ221" s="192"/>
      <c r="BK221" s="192"/>
      <c r="BL221" s="192"/>
      <c r="BM221" s="192"/>
      <c r="BN221" s="192"/>
      <c r="BO221" s="192"/>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51"/>
      <c r="E222" s="88">
        <v>9</v>
      </c>
      <c r="F222" s="27"/>
      <c r="G222" s="214"/>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192"/>
      <c r="BK222" s="192"/>
      <c r="BL222" s="192"/>
      <c r="BM222" s="192"/>
      <c r="BN222" s="192"/>
      <c r="BO222" s="19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51"/>
      <c r="E223" s="88">
        <v>10</v>
      </c>
      <c r="F223" s="27"/>
      <c r="G223" s="214"/>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192"/>
      <c r="BK223" s="192"/>
      <c r="BL223" s="192"/>
      <c r="BM223" s="192"/>
      <c r="BN223" s="192"/>
      <c r="BO223" s="192"/>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51"/>
      <c r="E224" s="89">
        <v>11</v>
      </c>
      <c r="F224" s="27"/>
      <c r="G224" s="214"/>
      <c r="H224" s="153"/>
      <c r="I224" s="153"/>
      <c r="J224" s="153"/>
      <c r="K224" s="153"/>
      <c r="L224" s="153"/>
      <c r="M224" s="153"/>
      <c r="N224" s="153"/>
      <c r="O224" s="153"/>
      <c r="P224" s="194"/>
      <c r="Q224" s="152"/>
      <c r="R224" s="70"/>
      <c r="S224" s="105"/>
      <c r="T224" s="105"/>
      <c r="U224" s="105"/>
      <c r="V224" s="105"/>
      <c r="W224" s="105"/>
      <c r="X224" s="105"/>
      <c r="Y224" s="105"/>
      <c r="Z224" s="105"/>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192"/>
      <c r="BK224" s="192"/>
      <c r="BL224" s="192"/>
      <c r="BM224" s="192"/>
      <c r="BN224" s="192"/>
      <c r="BO224" s="192"/>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Low Voltage Services</v>
      </c>
      <c r="D225" s="9"/>
      <c r="E225" s="9"/>
      <c r="F225" s="23"/>
      <c r="G225" s="215">
        <f t="shared" ref="G225:L225" si="44">-SUM(G212:G224)</f>
        <v>-17.039291923079738</v>
      </c>
      <c r="H225" s="169">
        <f t="shared" si="44"/>
        <v>-17.373224998079738</v>
      </c>
      <c r="I225" s="169">
        <f t="shared" si="44"/>
        <v>-17.373224998079738</v>
      </c>
      <c r="J225" s="169">
        <f t="shared" si="44"/>
        <v>-17.373224998079738</v>
      </c>
      <c r="K225" s="169">
        <f t="shared" si="44"/>
        <v>-17.373224998079738</v>
      </c>
      <c r="L225" s="169">
        <f t="shared" si="44"/>
        <v>-17.373224998079738</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192"/>
      <c r="BK225" s="192"/>
      <c r="BL225" s="192"/>
      <c r="BM225" s="192"/>
      <c r="BN225" s="192"/>
      <c r="BO225" s="192"/>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Metering</v>
      </c>
      <c r="C226" s="33"/>
      <c r="D226" s="34" t="s">
        <v>69</v>
      </c>
      <c r="E226" s="33"/>
      <c r="F226" s="35"/>
      <c r="G226" s="211">
        <f>IF(G$3&gt;A12taxremlife,A12taxvalue-SUM($F226:F226),IF(A12taxremlife="N/A","n/a",A12taxvalue/A12taxremlife))</f>
        <v>1.4140664371745566</v>
      </c>
      <c r="H226" s="69">
        <f>IF(H$3&gt;A12taxremlife,A12taxvalue-SUM($F226:G226),IF(A12taxremlife="N/A","n/a",A12taxvalue/A12taxremlife))</f>
        <v>1.4140664371745566</v>
      </c>
      <c r="I226" s="69">
        <f>IF(I$3&gt;A12taxremlife,A12taxvalue-SUM($F226:H226),IF(A12taxremlife="N/A","n/a",A12taxvalue/A12taxremlife))</f>
        <v>1.4140664371745566</v>
      </c>
      <c r="J226" s="69">
        <f>IF(J$3&gt;A12taxremlife,A12taxvalue-SUM($F226:I226),IF(A12taxremlife="N/A","n/a",A12taxvalue/A12taxremlife))</f>
        <v>1.4140664371745566</v>
      </c>
      <c r="K226" s="69">
        <f>IF(K$3&gt;A12taxremlife,A12taxvalue-SUM($F226:J226),IF(A12taxremlife="N/A","n/a",A12taxvalue/A12taxremlife))</f>
        <v>1.4140664371745566</v>
      </c>
      <c r="L226" s="69">
        <f>IF(L$3&gt;A12taxremlife,A12taxvalue-SUM($F226:K226),IF(A12taxremlife="N/A","n/a",A12taxvalue/A12taxremlife))</f>
        <v>1.4140664371745566</v>
      </c>
      <c r="M226" s="69">
        <f>IF(M$3&gt;A12taxremlife,A12taxvalue-SUM($F226:L226),IF(A12taxremlife="N/A","n/a",A12taxvalue/A12taxremlife))</f>
        <v>1.4140664371745566</v>
      </c>
      <c r="N226" s="69">
        <f>IF(N$3&gt;A12taxremlife,A12taxvalue-SUM($F226:M226),IF(A12taxremlife="N/A","n/a",A12taxvalue/A12taxremlife))</f>
        <v>1.4140664371745566</v>
      </c>
      <c r="O226" s="69">
        <f>IF(O$3&gt;A12taxremlife,A12taxvalue-SUM($F226:N226),IF(A12taxremlife="N/A","n/a",A12taxvalue/A12taxremlife))</f>
        <v>1.4140664371745566</v>
      </c>
      <c r="P226" s="69">
        <f>IF(P$3&gt;A12taxremlife,A12taxvalue-SUM($F226:O226),IF(A12taxremlife="N/A","n/a",A12taxvalue/A12taxremlife))</f>
        <v>1.4140664371745566</v>
      </c>
      <c r="Q226" s="69">
        <f>IF(Q$3&gt;A12taxremlife,A12taxvalue-SUM($F226:P226),IF(A12taxremlife="N/A","n/a",A12taxvalue/A12taxremlife))</f>
        <v>1.4140664371745566</v>
      </c>
      <c r="R226" s="69"/>
      <c r="S226" s="105"/>
      <c r="T226" s="105"/>
      <c r="U226" s="105"/>
      <c r="V226" s="105"/>
      <c r="W226" s="105"/>
      <c r="X226" s="105"/>
      <c r="Y226" s="105"/>
      <c r="Z226" s="105"/>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192"/>
      <c r="BK226" s="192"/>
      <c r="BL226" s="192"/>
      <c r="BM226" s="192"/>
      <c r="BN226" s="192"/>
      <c r="BO226" s="192"/>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50" t="s">
        <v>87</v>
      </c>
      <c r="E227" s="88">
        <v>0</v>
      </c>
      <c r="F227" s="27"/>
      <c r="G227" s="212"/>
      <c r="H227" s="70"/>
      <c r="I227" s="70"/>
      <c r="J227" s="70"/>
      <c r="K227" s="70"/>
      <c r="L227" s="70"/>
      <c r="M227" s="70"/>
      <c r="N227" s="70"/>
      <c r="O227" s="70"/>
      <c r="P227" s="70"/>
      <c r="Q227" s="70"/>
      <c r="R227" s="70"/>
      <c r="S227" s="105"/>
      <c r="T227" s="105"/>
      <c r="U227" s="105"/>
      <c r="V227" s="105"/>
      <c r="W227" s="105"/>
      <c r="X227" s="105"/>
      <c r="Y227" s="105"/>
      <c r="Z227" s="105"/>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192"/>
      <c r="BK227" s="192"/>
      <c r="BL227" s="192"/>
      <c r="BM227" s="192"/>
      <c r="BN227" s="192"/>
      <c r="BO227" s="192"/>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51"/>
      <c r="E228" s="88">
        <v>1</v>
      </c>
      <c r="F228" s="27"/>
      <c r="G228" s="213"/>
      <c r="H228" s="70">
        <f>IF(A12taxstdlife="n/a","n/a",IF(H$3&gt;(A12taxstdlife+$E228),(Input!$G$52-Input!$G$86)-SUM($G228:G228),(Input!$G$52-Input!$G$86)/A12taxstdlife))</f>
        <v>1.4193257600000002</v>
      </c>
      <c r="I228" s="70">
        <f>IF(A12taxstdlife="n/a","n/a",IF(I$3&gt;(A12taxstdlife+$E228),(Input!$G$52-Input!$G$86)-SUM($G228:H228),(Input!$G$52-Input!$G$86)/A12taxstdlife))</f>
        <v>1.4193257600000002</v>
      </c>
      <c r="J228" s="70">
        <f>IF(A12taxstdlife="n/a","n/a",IF(J$3&gt;(A12taxstdlife+$E228),(Input!$G$52-Input!$G$86)-SUM($G228:I228),(Input!$G$52-Input!$G$86)/A12taxstdlife))</f>
        <v>1.4193257600000002</v>
      </c>
      <c r="K228" s="70">
        <f>IF(A12taxstdlife="n/a","n/a",IF(K$3&gt;(A12taxstdlife+$E228),(Input!$G$52-Input!$G$86)-SUM($G228:J228),(Input!$G$52-Input!$G$86)/A12taxstdlife))</f>
        <v>1.4193257600000002</v>
      </c>
      <c r="L228" s="70">
        <f>IF(A12taxstdlife="n/a","n/a",IF(L$3&gt;(A12taxstdlife+$E228),(Input!$G$52-Input!$G$86)-SUM($G228:K228),(Input!$G$52-Input!$G$86)/A12taxstdlife))</f>
        <v>1.4193257600000002</v>
      </c>
      <c r="M228" s="70">
        <f>IF(A12taxstdlife="n/a","n/a",IF(M$3&gt;(A12taxstdlife+$E228),(Input!$G$52-Input!$G$86)-SUM($G228:L228),(Input!$G$52-Input!$G$86)/A12taxstdlife))</f>
        <v>1.4193257600000002</v>
      </c>
      <c r="N228" s="70">
        <f>IF(A12taxstdlife="n/a","n/a",IF(N$3&gt;(A12taxstdlife+$E228),(Input!$G$52-Input!$G$86)-SUM($G228:M228),(Input!$G$52-Input!$G$86)/A12taxstdlife))</f>
        <v>1.4193257600000002</v>
      </c>
      <c r="O228" s="70">
        <f>IF(A12taxstdlife="n/a","n/a",IF(O$3&gt;(A12taxstdlife+$E228),(Input!$G$52-Input!$G$86)-SUM($G228:N228),(Input!$G$52-Input!$G$86)/A12taxstdlife))</f>
        <v>1.4193257600000002</v>
      </c>
      <c r="P228" s="70">
        <f>IF(A12taxstdlife="n/a","n/a",IF(P$3&gt;(A12taxstdlife+$E228),(Input!$G$52-Input!$G$86)-SUM($G228:O228),(Input!$G$52-Input!$G$86)/A12taxstdlife))</f>
        <v>1.4193257600000002</v>
      </c>
      <c r="Q228" s="70">
        <f>IF(A12taxstdlife="n/a","n/a",IF(Q$3&gt;(A12taxstdlife+$E228),(Input!$G$52-Input!$G$86)-SUM($G228:P228),(Input!$G$52-Input!$G$86)/A12taxstdlife))</f>
        <v>1.4193257600000002</v>
      </c>
      <c r="R228" s="70"/>
      <c r="S228" s="105"/>
      <c r="T228" s="105"/>
      <c r="U228" s="105"/>
      <c r="V228" s="105"/>
      <c r="W228" s="105"/>
      <c r="X228" s="105"/>
      <c r="Y228" s="105"/>
      <c r="Z228" s="105"/>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192"/>
      <c r="BK228" s="192"/>
      <c r="BL228" s="192"/>
      <c r="BM228" s="192"/>
      <c r="BN228" s="192"/>
      <c r="BO228" s="192"/>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51"/>
      <c r="E229" s="88">
        <v>2</v>
      </c>
      <c r="F229" s="27"/>
      <c r="G229" s="214"/>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192"/>
      <c r="BK229" s="192"/>
      <c r="BL229" s="192"/>
      <c r="BM229" s="192"/>
      <c r="BN229" s="192"/>
      <c r="BO229" s="192"/>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51"/>
      <c r="E230" s="88">
        <v>3</v>
      </c>
      <c r="F230" s="27"/>
      <c r="G230" s="214"/>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192"/>
      <c r="BK230" s="192"/>
      <c r="BL230" s="192"/>
      <c r="BM230" s="192"/>
      <c r="BN230" s="192"/>
      <c r="BO230" s="192"/>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51"/>
      <c r="E231" s="88">
        <v>4</v>
      </c>
      <c r="F231" s="27"/>
      <c r="G231" s="214"/>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192"/>
      <c r="BK231" s="192"/>
      <c r="BL231" s="192"/>
      <c r="BM231" s="192"/>
      <c r="BN231" s="192"/>
      <c r="BO231" s="192"/>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51"/>
      <c r="E232" s="88">
        <v>5</v>
      </c>
      <c r="F232" s="27"/>
      <c r="G232" s="214"/>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2"/>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192"/>
      <c r="BK232" s="192"/>
      <c r="BL232" s="192"/>
      <c r="BM232" s="192"/>
      <c r="BN232" s="192"/>
      <c r="BO232" s="19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51"/>
      <c r="E233" s="88">
        <v>6</v>
      </c>
      <c r="F233" s="27"/>
      <c r="G233" s="214"/>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2"/>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192"/>
      <c r="BK233" s="192"/>
      <c r="BL233" s="192"/>
      <c r="BM233" s="192"/>
      <c r="BN233" s="192"/>
      <c r="BO233" s="192"/>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51"/>
      <c r="E234" s="88">
        <v>7</v>
      </c>
      <c r="F234" s="27"/>
      <c r="G234" s="214"/>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2"/>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192"/>
      <c r="BK234" s="192"/>
      <c r="BL234" s="192"/>
      <c r="BM234" s="192"/>
      <c r="BN234" s="192"/>
      <c r="BO234" s="192"/>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51"/>
      <c r="E235" s="88">
        <v>8</v>
      </c>
      <c r="F235" s="27"/>
      <c r="G235" s="214"/>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192"/>
      <c r="BK235" s="192"/>
      <c r="BL235" s="192"/>
      <c r="BM235" s="192"/>
      <c r="BN235" s="192"/>
      <c r="BO235" s="192"/>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51"/>
      <c r="E236" s="88">
        <v>9</v>
      </c>
      <c r="F236" s="27"/>
      <c r="G236" s="214"/>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192"/>
      <c r="BK236" s="192"/>
      <c r="BL236" s="192"/>
      <c r="BM236" s="192"/>
      <c r="BN236" s="192"/>
      <c r="BO236" s="192"/>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51"/>
      <c r="E237" s="88">
        <v>10</v>
      </c>
      <c r="F237" s="27"/>
      <c r="G237" s="214"/>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2"/>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192"/>
      <c r="BK237" s="192"/>
      <c r="BL237" s="192"/>
      <c r="BM237" s="192"/>
      <c r="BN237" s="192"/>
      <c r="BO237" s="192"/>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51"/>
      <c r="E238" s="89">
        <v>11</v>
      </c>
      <c r="F238" s="27"/>
      <c r="G238" s="214"/>
      <c r="H238" s="153"/>
      <c r="I238" s="153"/>
      <c r="J238" s="153"/>
      <c r="K238" s="153"/>
      <c r="L238" s="153"/>
      <c r="M238" s="153"/>
      <c r="N238" s="153"/>
      <c r="O238" s="153"/>
      <c r="P238" s="194"/>
      <c r="Q238" s="152"/>
      <c r="R238" s="70"/>
      <c r="S238" s="105"/>
      <c r="T238" s="105"/>
      <c r="U238" s="105"/>
      <c r="V238" s="105"/>
      <c r="W238" s="105"/>
      <c r="X238" s="105"/>
      <c r="Y238" s="105"/>
      <c r="Z238" s="105"/>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192"/>
      <c r="BK238" s="192"/>
      <c r="BL238" s="192"/>
      <c r="BM238" s="192"/>
      <c r="BN238" s="192"/>
      <c r="BO238" s="192"/>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t="str">
        <f>Asset12</f>
        <v>Metering</v>
      </c>
      <c r="D239" s="9"/>
      <c r="E239" s="9"/>
      <c r="F239" s="23"/>
      <c r="G239" s="215">
        <f t="shared" ref="G239:L239" si="45">-SUM(G226:G238)</f>
        <v>-1.4140664371745566</v>
      </c>
      <c r="H239" s="169">
        <f t="shared" si="45"/>
        <v>-2.8333921971745566</v>
      </c>
      <c r="I239" s="169">
        <f t="shared" si="45"/>
        <v>-2.8333921971745566</v>
      </c>
      <c r="J239" s="169">
        <f t="shared" si="45"/>
        <v>-2.8333921971745566</v>
      </c>
      <c r="K239" s="169">
        <f t="shared" si="45"/>
        <v>-2.8333921971745566</v>
      </c>
      <c r="L239" s="169">
        <f t="shared" si="45"/>
        <v>-2.8333921971745566</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192"/>
      <c r="BK239" s="192"/>
      <c r="BL239" s="192"/>
      <c r="BM239" s="192"/>
      <c r="BN239" s="192"/>
      <c r="BO239" s="192"/>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 xml:space="preserve">Communications – Pilot Wires </v>
      </c>
      <c r="C240" s="33"/>
      <c r="D240" s="34" t="s">
        <v>69</v>
      </c>
      <c r="E240" s="33"/>
      <c r="F240" s="35"/>
      <c r="G240" s="211">
        <f>IF(G$3&gt;A13taxremlife,A13taxvalue-SUM($F240:F240),IF(A13taxremlife="N/A","n/a",A13taxvalue/A13taxremlife))</f>
        <v>1.3555215307730728</v>
      </c>
      <c r="H240" s="69">
        <f>IF(H$3&gt;A13taxremlife,A13taxvalue-SUM($F240:G240),IF(A13taxremlife="N/A","n/a",A13taxvalue/A13taxremlife))</f>
        <v>1.3555215307730728</v>
      </c>
      <c r="I240" s="69">
        <f>IF(I$3&gt;A13taxremlife,A13taxvalue-SUM($F240:H240),IF(A13taxremlife="N/A","n/a",A13taxvalue/A13taxremlife))</f>
        <v>1.3555215307730728</v>
      </c>
      <c r="J240" s="69">
        <f>IF(J$3&gt;A13taxremlife,A13taxvalue-SUM($F240:I240),IF(A13taxremlife="N/A","n/a",A13taxvalue/A13taxremlife))</f>
        <v>1.3555215307730728</v>
      </c>
      <c r="K240" s="69">
        <f>IF(K$3&gt;A13taxremlife,A13taxvalue-SUM($F240:J240),IF(A13taxremlife="N/A","n/a",A13taxvalue/A13taxremlife))</f>
        <v>1.3555215307730728</v>
      </c>
      <c r="L240" s="69">
        <f>IF(L$3&gt;A13taxremlife,A13taxvalue-SUM($F240:K240),IF(A13taxremlife="N/A","n/a",A13taxvalue/A13taxremlife))</f>
        <v>1.3555215307730728</v>
      </c>
      <c r="M240" s="69">
        <f>IF(M$3&gt;A13taxremlife,A13taxvalue-SUM($F240:L240),IF(A13taxremlife="N/A","n/a",A13taxvalue/A13taxremlife))</f>
        <v>1.3555215307730728</v>
      </c>
      <c r="N240" s="69">
        <f>IF(N$3&gt;A13taxremlife,A13taxvalue-SUM($F240:M240),IF(A13taxremlife="N/A","n/a",A13taxvalue/A13taxremlife))</f>
        <v>1.3555215307730728</v>
      </c>
      <c r="O240" s="69">
        <f>IF(O$3&gt;A13taxremlife,A13taxvalue-SUM($F240:N240),IF(A13taxremlife="N/A","n/a",A13taxvalue/A13taxremlife))</f>
        <v>1.3555215307730728</v>
      </c>
      <c r="P240" s="69">
        <f>IF(P$3&gt;A13taxremlife,A13taxvalue-SUM($F240:O240),IF(A13taxremlife="N/A","n/a",A13taxvalue/A13taxremlife))</f>
        <v>0.88862322304234453</v>
      </c>
      <c r="Q240" s="69">
        <f>IF(Q$3&gt;A13taxremlife,A13taxvalue-SUM($F240:P240),IF(A13taxremlife="N/A","n/a",A13taxvalue/A13taxremlife))</f>
        <v>0</v>
      </c>
      <c r="R240" s="69"/>
      <c r="S240" s="105"/>
      <c r="T240" s="105"/>
      <c r="U240" s="105"/>
      <c r="V240" s="105"/>
      <c r="W240" s="105"/>
      <c r="X240" s="105"/>
      <c r="Y240" s="105"/>
      <c r="Z240" s="105"/>
      <c r="AA240" s="222"/>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192"/>
      <c r="BK240" s="192"/>
      <c r="BL240" s="192"/>
      <c r="BM240" s="192"/>
      <c r="BN240" s="192"/>
      <c r="BO240" s="192"/>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50" t="s">
        <v>87</v>
      </c>
      <c r="E241" s="88">
        <v>0</v>
      </c>
      <c r="F241" s="27"/>
      <c r="G241" s="212"/>
      <c r="H241" s="70"/>
      <c r="I241" s="70"/>
      <c r="J241" s="70"/>
      <c r="K241" s="70"/>
      <c r="L241" s="70"/>
      <c r="M241" s="70"/>
      <c r="N241" s="70"/>
      <c r="O241" s="70"/>
      <c r="P241" s="70"/>
      <c r="Q241" s="70"/>
      <c r="R241" s="70"/>
      <c r="S241" s="105"/>
      <c r="T241" s="105"/>
      <c r="U241" s="105"/>
      <c r="V241" s="105"/>
      <c r="W241" s="105"/>
      <c r="X241" s="105"/>
      <c r="Y241" s="105"/>
      <c r="Z241" s="105"/>
      <c r="AA241" s="222"/>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192"/>
      <c r="BK241" s="192"/>
      <c r="BL241" s="192"/>
      <c r="BM241" s="192"/>
      <c r="BN241" s="192"/>
      <c r="BO241" s="192"/>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51"/>
      <c r="E242" s="88">
        <v>1</v>
      </c>
      <c r="F242" s="27"/>
      <c r="G242" s="213"/>
      <c r="H242" s="70">
        <f>IF(A13taxstdlife="n/a","n/a",IF(H$3&gt;(A13taxstdlife+$E242),(Input!$G$53-Input!$G$87)-SUM($G242:G242),(Input!$G$53-Input!$G$87)/A13taxstdlife))</f>
        <v>0.82752890000000012</v>
      </c>
      <c r="I242" s="70">
        <f>IF(A13taxstdlife="n/a","n/a",IF(I$3&gt;(A13taxstdlife+$E242),(Input!$G$53-Input!$G$87)-SUM($G242:H242),(Input!$G$53-Input!$G$87)/A13taxstdlife))</f>
        <v>0.82752890000000012</v>
      </c>
      <c r="J242" s="70">
        <f>IF(A13taxstdlife="n/a","n/a",IF(J$3&gt;(A13taxstdlife+$E242),(Input!$G$53-Input!$G$87)-SUM($G242:I242),(Input!$G$53-Input!$G$87)/A13taxstdlife))</f>
        <v>0.82752890000000012</v>
      </c>
      <c r="K242" s="70">
        <f>IF(A13taxstdlife="n/a","n/a",IF(K$3&gt;(A13taxstdlife+$E242),(Input!$G$53-Input!$G$87)-SUM($G242:J242),(Input!$G$53-Input!$G$87)/A13taxstdlife))</f>
        <v>0.82752890000000012</v>
      </c>
      <c r="L242" s="70">
        <f>IF(A13taxstdlife="n/a","n/a",IF(L$3&gt;(A13taxstdlife+$E242),(Input!$G$53-Input!$G$87)-SUM($G242:K242),(Input!$G$53-Input!$G$87)/A13taxstdlife))</f>
        <v>0.82752890000000012</v>
      </c>
      <c r="M242" s="70">
        <f>IF(A13taxstdlife="n/a","n/a",IF(M$3&gt;(A13taxstdlife+$E242),(Input!$G$53-Input!$G$87)-SUM($G242:L242),(Input!$G$53-Input!$G$87)/A13taxstdlife))</f>
        <v>0.82752890000000012</v>
      </c>
      <c r="N242" s="70">
        <f>IF(A13taxstdlife="n/a","n/a",IF(N$3&gt;(A13taxstdlife+$E242),(Input!$G$53-Input!$G$87)-SUM($G242:M242),(Input!$G$53-Input!$G$87)/A13taxstdlife))</f>
        <v>0.82752890000000012</v>
      </c>
      <c r="O242" s="70">
        <f>IF(A13taxstdlife="n/a","n/a",IF(O$3&gt;(A13taxstdlife+$E242),(Input!$G$53-Input!$G$87)-SUM($G242:N242),(Input!$G$53-Input!$G$87)/A13taxstdlife))</f>
        <v>0.82752890000000012</v>
      </c>
      <c r="P242" s="70">
        <f>IF(A13taxstdlife="n/a","n/a",IF(P$3&gt;(A13taxstdlife+$E242),(Input!$G$53-Input!$G$87)-SUM($G242:O242),(Input!$G$53-Input!$G$87)/A13taxstdlife))</f>
        <v>0.82752890000000012</v>
      </c>
      <c r="Q242" s="70">
        <f>IF(A13taxstdlife="n/a","n/a",IF(Q$3&gt;(A13taxstdlife+$E242),(Input!$G$53-Input!$G$87)-SUM($G242:P242),(Input!$G$53-Input!$G$87)/A13taxstdlife))</f>
        <v>0.82752890000000012</v>
      </c>
      <c r="R242" s="70"/>
      <c r="S242" s="105"/>
      <c r="T242" s="105"/>
      <c r="U242" s="105"/>
      <c r="V242" s="105"/>
      <c r="W242" s="105"/>
      <c r="X242" s="105"/>
      <c r="Y242" s="105"/>
      <c r="Z242" s="105"/>
      <c r="AA242" s="222"/>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222"/>
      <c r="BE242" s="222"/>
      <c r="BF242" s="222"/>
      <c r="BG242" s="222"/>
      <c r="BH242" s="222"/>
      <c r="BI242" s="222"/>
      <c r="BJ242" s="192"/>
      <c r="BK242" s="192"/>
      <c r="BL242" s="192"/>
      <c r="BM242" s="192"/>
      <c r="BN242" s="192"/>
      <c r="BO242" s="19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51"/>
      <c r="E243" s="88">
        <v>2</v>
      </c>
      <c r="F243" s="27"/>
      <c r="G243" s="214"/>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2"/>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192"/>
      <c r="BK243" s="192"/>
      <c r="BL243" s="192"/>
      <c r="BM243" s="192"/>
      <c r="BN243" s="192"/>
      <c r="BO243" s="192"/>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51"/>
      <c r="E244" s="88">
        <v>3</v>
      </c>
      <c r="F244" s="27"/>
      <c r="G244" s="214"/>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192"/>
      <c r="BK244" s="192"/>
      <c r="BL244" s="192"/>
      <c r="BM244" s="192"/>
      <c r="BN244" s="192"/>
      <c r="BO244" s="192"/>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51"/>
      <c r="E245" s="88">
        <v>4</v>
      </c>
      <c r="F245" s="27"/>
      <c r="G245" s="214"/>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192"/>
      <c r="BK245" s="192"/>
      <c r="BL245" s="192"/>
      <c r="BM245" s="192"/>
      <c r="BN245" s="192"/>
      <c r="BO245" s="192"/>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51"/>
      <c r="E246" s="88">
        <v>5</v>
      </c>
      <c r="F246" s="27"/>
      <c r="G246" s="214"/>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192"/>
      <c r="BK246" s="192"/>
      <c r="BL246" s="192"/>
      <c r="BM246" s="192"/>
      <c r="BN246" s="192"/>
      <c r="BO246" s="192"/>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51"/>
      <c r="E247" s="88">
        <v>6</v>
      </c>
      <c r="F247" s="27"/>
      <c r="G247" s="214"/>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192"/>
      <c r="BK247" s="192"/>
      <c r="BL247" s="192"/>
      <c r="BM247" s="192"/>
      <c r="BN247" s="192"/>
      <c r="BO247" s="192"/>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51"/>
      <c r="E248" s="88">
        <v>7</v>
      </c>
      <c r="F248" s="27"/>
      <c r="G248" s="214"/>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192"/>
      <c r="BK248" s="192"/>
      <c r="BL248" s="192"/>
      <c r="BM248" s="192"/>
      <c r="BN248" s="192"/>
      <c r="BO248" s="192"/>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51"/>
      <c r="E249" s="88">
        <v>8</v>
      </c>
      <c r="F249" s="27"/>
      <c r="G249" s="214"/>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2"/>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192"/>
      <c r="BK249" s="192"/>
      <c r="BL249" s="192"/>
      <c r="BM249" s="192"/>
      <c r="BN249" s="192"/>
      <c r="BO249" s="192"/>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51"/>
      <c r="E250" s="88">
        <v>9</v>
      </c>
      <c r="F250" s="27"/>
      <c r="G250" s="214"/>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192"/>
      <c r="BK250" s="192"/>
      <c r="BL250" s="192"/>
      <c r="BM250" s="192"/>
      <c r="BN250" s="192"/>
      <c r="BO250" s="192"/>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51"/>
      <c r="E251" s="88">
        <v>10</v>
      </c>
      <c r="F251" s="27"/>
      <c r="G251" s="214"/>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192"/>
      <c r="BK251" s="192"/>
      <c r="BL251" s="192"/>
      <c r="BM251" s="192"/>
      <c r="BN251" s="192"/>
      <c r="BO251" s="192"/>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51"/>
      <c r="E252" s="89">
        <v>11</v>
      </c>
      <c r="F252" s="27"/>
      <c r="G252" s="214"/>
      <c r="H252" s="153"/>
      <c r="I252" s="153"/>
      <c r="J252" s="153"/>
      <c r="K252" s="153"/>
      <c r="L252" s="153"/>
      <c r="M252" s="153"/>
      <c r="N252" s="153"/>
      <c r="O252" s="153"/>
      <c r="P252" s="194"/>
      <c r="Q252" s="152"/>
      <c r="R252" s="70"/>
      <c r="S252" s="105"/>
      <c r="T252" s="105"/>
      <c r="U252" s="105"/>
      <c r="V252" s="105"/>
      <c r="W252" s="105"/>
      <c r="X252" s="105"/>
      <c r="Y252" s="105"/>
      <c r="Z252" s="105"/>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192"/>
      <c r="BK252" s="192"/>
      <c r="BL252" s="192"/>
      <c r="BM252" s="192"/>
      <c r="BN252" s="192"/>
      <c r="BO252" s="19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 xml:space="preserve">Communications – Pilot Wires </v>
      </c>
      <c r="D253" s="9"/>
      <c r="E253" s="9"/>
      <c r="F253" s="23"/>
      <c r="G253" s="215">
        <f t="shared" ref="G253:L253" si="46">-SUM(G240:G252)</f>
        <v>-1.3555215307730728</v>
      </c>
      <c r="H253" s="169">
        <f t="shared" si="46"/>
        <v>-2.1830504307730729</v>
      </c>
      <c r="I253" s="169">
        <f t="shared" si="46"/>
        <v>-2.1830504307730729</v>
      </c>
      <c r="J253" s="169">
        <f t="shared" si="46"/>
        <v>-2.1830504307730729</v>
      </c>
      <c r="K253" s="169">
        <f t="shared" si="46"/>
        <v>-2.1830504307730729</v>
      </c>
      <c r="L253" s="169">
        <f t="shared" si="46"/>
        <v>-2.1830504307730729</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192"/>
      <c r="BK253" s="192"/>
      <c r="BL253" s="192"/>
      <c r="BM253" s="192"/>
      <c r="BN253" s="192"/>
      <c r="BO253" s="192"/>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Generation Assets</v>
      </c>
      <c r="C254" s="33"/>
      <c r="D254" s="34" t="s">
        <v>69</v>
      </c>
      <c r="E254" s="33"/>
      <c r="F254" s="35"/>
      <c r="G254" s="211">
        <f>IF(G$3&gt;A14taxremlife,A14taxvalue-SUM($F254:F254),IF(A14taxremlife="N/A","n/a",A14taxvalue/A14taxremlife))</f>
        <v>0.3836932918708546</v>
      </c>
      <c r="H254" s="69">
        <f>IF(H$3&gt;A14taxremlife,A14taxvalue-SUM($F254:G254),IF(A14taxremlife="N/A","n/a",A14taxvalue/A14taxremlife))</f>
        <v>0.3836932918708546</v>
      </c>
      <c r="I254" s="69">
        <f>IF(I$3&gt;A14taxremlife,A14taxvalue-SUM($F254:H254),IF(A14taxremlife="N/A","n/a",A14taxvalue/A14taxremlife))</f>
        <v>0.3836932918708546</v>
      </c>
      <c r="J254" s="69">
        <f>IF(J$3&gt;A14taxremlife,A14taxvalue-SUM($F254:I254),IF(A14taxremlife="N/A","n/a",A14taxvalue/A14taxremlife))</f>
        <v>0.3836932918708546</v>
      </c>
      <c r="K254" s="69">
        <f>IF(K$3&gt;A14taxremlife,A14taxvalue-SUM($F254:J254),IF(A14taxremlife="N/A","n/a",A14taxvalue/A14taxremlife))</f>
        <v>0.3836932918708546</v>
      </c>
      <c r="L254" s="69">
        <f>IF(L$3&gt;A14taxremlife,A14taxvalue-SUM($F254:K254),IF(A14taxremlife="N/A","n/a",A14taxvalue/A14taxremlife))</f>
        <v>0.3836932918708546</v>
      </c>
      <c r="M254" s="69">
        <f>IF(M$3&gt;A14taxremlife,A14taxvalue-SUM($F254:L254),IF(A14taxremlife="N/A","n/a",A14taxvalue/A14taxremlife))</f>
        <v>0.22995024877487236</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192"/>
      <c r="BK254" s="192"/>
      <c r="BL254" s="192"/>
      <c r="BM254" s="192"/>
      <c r="BN254" s="192"/>
      <c r="BO254" s="192"/>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50" t="s">
        <v>87</v>
      </c>
      <c r="E255" s="88">
        <v>0</v>
      </c>
      <c r="F255" s="27"/>
      <c r="G255" s="212"/>
      <c r="H255" s="70"/>
      <c r="I255" s="70"/>
      <c r="J255" s="70"/>
      <c r="K255" s="70"/>
      <c r="L255" s="70"/>
      <c r="M255" s="70"/>
      <c r="N255" s="70"/>
      <c r="O255" s="70"/>
      <c r="P255" s="70"/>
      <c r="Q255" s="70"/>
      <c r="R255" s="70"/>
      <c r="S255" s="105"/>
      <c r="T255" s="105"/>
      <c r="U255" s="105"/>
      <c r="V255" s="105"/>
      <c r="W255" s="105"/>
      <c r="X255" s="105"/>
      <c r="Y255" s="105"/>
      <c r="Z255" s="105"/>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192"/>
      <c r="BK255" s="192"/>
      <c r="BL255" s="192"/>
      <c r="BM255" s="192"/>
      <c r="BN255" s="192"/>
      <c r="BO255" s="192"/>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51"/>
      <c r="E256" s="88">
        <v>1</v>
      </c>
      <c r="F256" s="27"/>
      <c r="G256" s="213"/>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192"/>
      <c r="BK256" s="192"/>
      <c r="BL256" s="192"/>
      <c r="BM256" s="192"/>
      <c r="BN256" s="192"/>
      <c r="BO256" s="192"/>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51"/>
      <c r="E257" s="88">
        <v>2</v>
      </c>
      <c r="F257" s="27"/>
      <c r="G257" s="214"/>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192"/>
      <c r="BK257" s="192"/>
      <c r="BL257" s="192"/>
      <c r="BM257" s="192"/>
      <c r="BN257" s="192"/>
      <c r="BO257" s="192"/>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51"/>
      <c r="E258" s="88">
        <v>3</v>
      </c>
      <c r="F258" s="27"/>
      <c r="G258" s="214"/>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192"/>
      <c r="BK258" s="192"/>
      <c r="BL258" s="192"/>
      <c r="BM258" s="192"/>
      <c r="BN258" s="192"/>
      <c r="BO258" s="192"/>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51"/>
      <c r="E259" s="88">
        <v>4</v>
      </c>
      <c r="F259" s="27"/>
      <c r="G259" s="214"/>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192"/>
      <c r="BK259" s="192"/>
      <c r="BL259" s="192"/>
      <c r="BM259" s="192"/>
      <c r="BN259" s="192"/>
      <c r="BO259" s="192"/>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51"/>
      <c r="E260" s="88">
        <v>5</v>
      </c>
      <c r="F260" s="27"/>
      <c r="G260" s="214"/>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192"/>
      <c r="BK260" s="192"/>
      <c r="BL260" s="192"/>
      <c r="BM260" s="192"/>
      <c r="BN260" s="192"/>
      <c r="BO260" s="192"/>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51"/>
      <c r="E261" s="88">
        <v>6</v>
      </c>
      <c r="F261" s="27"/>
      <c r="G261" s="214"/>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192"/>
      <c r="BK261" s="192"/>
      <c r="BL261" s="192"/>
      <c r="BM261" s="192"/>
      <c r="BN261" s="192"/>
      <c r="BO261" s="192"/>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51"/>
      <c r="E262" s="88">
        <v>7</v>
      </c>
      <c r="F262" s="27"/>
      <c r="G262" s="214"/>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192"/>
      <c r="BK262" s="192"/>
      <c r="BL262" s="192"/>
      <c r="BM262" s="192"/>
      <c r="BN262" s="192"/>
      <c r="BO262" s="19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51"/>
      <c r="E263" s="88">
        <v>8</v>
      </c>
      <c r="F263" s="27"/>
      <c r="G263" s="214"/>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192"/>
      <c r="BK263" s="192"/>
      <c r="BL263" s="192"/>
      <c r="BM263" s="192"/>
      <c r="BN263" s="192"/>
      <c r="BO263" s="192"/>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51"/>
      <c r="E264" s="88">
        <v>9</v>
      </c>
      <c r="F264" s="27"/>
      <c r="G264" s="214"/>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192"/>
      <c r="BK264" s="192"/>
      <c r="BL264" s="192"/>
      <c r="BM264" s="192"/>
      <c r="BN264" s="192"/>
      <c r="BO264" s="192"/>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51"/>
      <c r="E265" s="88">
        <v>10</v>
      </c>
      <c r="F265" s="27"/>
      <c r="G265" s="214"/>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192"/>
      <c r="BK265" s="192"/>
      <c r="BL265" s="192"/>
      <c r="BM265" s="192"/>
      <c r="BN265" s="192"/>
      <c r="BO265" s="192"/>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51"/>
      <c r="E266" s="89">
        <v>11</v>
      </c>
      <c r="F266" s="27"/>
      <c r="G266" s="214"/>
      <c r="H266" s="153"/>
      <c r="I266" s="153"/>
      <c r="J266" s="153"/>
      <c r="K266" s="153"/>
      <c r="L266" s="153"/>
      <c r="M266" s="153"/>
      <c r="N266" s="153"/>
      <c r="O266" s="153"/>
      <c r="P266" s="194"/>
      <c r="Q266" s="152"/>
      <c r="R266" s="70"/>
      <c r="S266" s="105"/>
      <c r="T266" s="105"/>
      <c r="U266" s="105"/>
      <c r="V266" s="105"/>
      <c r="W266" s="105"/>
      <c r="X266" s="105"/>
      <c r="Y266" s="105"/>
      <c r="Z266" s="105"/>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192"/>
      <c r="BK266" s="192"/>
      <c r="BL266" s="192"/>
      <c r="BM266" s="192"/>
      <c r="BN266" s="192"/>
      <c r="BO266" s="192"/>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t="str">
        <f>Asset14</f>
        <v>Generation Assets</v>
      </c>
      <c r="D267" s="9"/>
      <c r="E267" s="9"/>
      <c r="F267" s="23"/>
      <c r="G267" s="215">
        <f t="shared" ref="G267:L267" si="47">-SUM(G254:G266)</f>
        <v>-0.3836932918708546</v>
      </c>
      <c r="H267" s="169">
        <f t="shared" si="47"/>
        <v>-0.3836932918708546</v>
      </c>
      <c r="I267" s="169">
        <f t="shared" si="47"/>
        <v>-0.3836932918708546</v>
      </c>
      <c r="J267" s="169">
        <f t="shared" si="47"/>
        <v>-0.3836932918708546</v>
      </c>
      <c r="K267" s="169">
        <f t="shared" si="47"/>
        <v>-0.3836932918708546</v>
      </c>
      <c r="L267" s="169">
        <f t="shared" si="47"/>
        <v>-0.3836932918708546</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192"/>
      <c r="BK267" s="192"/>
      <c r="BL267" s="192"/>
      <c r="BM267" s="192"/>
      <c r="BN267" s="192"/>
      <c r="BO267" s="192"/>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Street Lighting</v>
      </c>
      <c r="C268" s="33"/>
      <c r="D268" s="34" t="s">
        <v>69</v>
      </c>
      <c r="E268" s="33"/>
      <c r="F268" s="35"/>
      <c r="G268" s="211">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2"/>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192"/>
      <c r="BK268" s="192"/>
      <c r="BL268" s="192"/>
      <c r="BM268" s="192"/>
      <c r="BN268" s="192"/>
      <c r="BO268" s="192"/>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50" t="s">
        <v>87</v>
      </c>
      <c r="E269" s="88">
        <v>0</v>
      </c>
      <c r="F269" s="27"/>
      <c r="G269" s="212"/>
      <c r="H269" s="70"/>
      <c r="I269" s="70"/>
      <c r="J269" s="70"/>
      <c r="K269" s="70"/>
      <c r="L269" s="70"/>
      <c r="M269" s="70"/>
      <c r="N269" s="70"/>
      <c r="O269" s="70"/>
      <c r="P269" s="70"/>
      <c r="Q269" s="70"/>
      <c r="R269" s="70"/>
      <c r="S269" s="105"/>
      <c r="T269" s="105"/>
      <c r="U269" s="105"/>
      <c r="V269" s="105"/>
      <c r="W269" s="105"/>
      <c r="X269" s="105"/>
      <c r="Y269" s="105"/>
      <c r="Z269" s="105"/>
      <c r="AA269" s="222"/>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222"/>
      <c r="BE269" s="222"/>
      <c r="BF269" s="222"/>
      <c r="BG269" s="222"/>
      <c r="BH269" s="222"/>
      <c r="BI269" s="222"/>
      <c r="BJ269" s="192"/>
      <c r="BK269" s="192"/>
      <c r="BL269" s="192"/>
      <c r="BM269" s="192"/>
      <c r="BN269" s="192"/>
      <c r="BO269" s="192"/>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51"/>
      <c r="E270" s="88">
        <v>1</v>
      </c>
      <c r="F270" s="27"/>
      <c r="G270" s="213"/>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222"/>
      <c r="BE270" s="222"/>
      <c r="BF270" s="222"/>
      <c r="BG270" s="222"/>
      <c r="BH270" s="222"/>
      <c r="BI270" s="222"/>
      <c r="BJ270" s="192"/>
      <c r="BK270" s="192"/>
      <c r="BL270" s="192"/>
      <c r="BM270" s="192"/>
      <c r="BN270" s="192"/>
      <c r="BO270" s="192"/>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51"/>
      <c r="E271" s="88">
        <v>2</v>
      </c>
      <c r="F271" s="27"/>
      <c r="G271" s="214"/>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2"/>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222"/>
      <c r="BE271" s="222"/>
      <c r="BF271" s="222"/>
      <c r="BG271" s="222"/>
      <c r="BH271" s="222"/>
      <c r="BI271" s="222"/>
      <c r="BJ271" s="192"/>
      <c r="BK271" s="192"/>
      <c r="BL271" s="192"/>
      <c r="BM271" s="192"/>
      <c r="BN271" s="192"/>
      <c r="BO271" s="192"/>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51"/>
      <c r="E272" s="88">
        <v>3</v>
      </c>
      <c r="F272" s="27"/>
      <c r="G272" s="214"/>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2"/>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c r="BJ272" s="192"/>
      <c r="BK272" s="192"/>
      <c r="BL272" s="192"/>
      <c r="BM272" s="192"/>
      <c r="BN272" s="192"/>
      <c r="BO272" s="19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51"/>
      <c r="E273" s="88">
        <v>4</v>
      </c>
      <c r="F273" s="27"/>
      <c r="G273" s="214"/>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2"/>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c r="BJ273" s="192"/>
      <c r="BK273" s="192"/>
      <c r="BL273" s="192"/>
      <c r="BM273" s="192"/>
      <c r="BN273" s="192"/>
      <c r="BO273" s="192"/>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51"/>
      <c r="E274" s="88">
        <v>5</v>
      </c>
      <c r="F274" s="27"/>
      <c r="G274" s="214"/>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2"/>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222"/>
      <c r="BE274" s="222"/>
      <c r="BF274" s="222"/>
      <c r="BG274" s="222"/>
      <c r="BH274" s="222"/>
      <c r="BI274" s="222"/>
      <c r="BJ274" s="192"/>
      <c r="BK274" s="192"/>
      <c r="BL274" s="192"/>
      <c r="BM274" s="192"/>
      <c r="BN274" s="192"/>
      <c r="BO274" s="192"/>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51"/>
      <c r="E275" s="88">
        <v>6</v>
      </c>
      <c r="F275" s="27"/>
      <c r="G275" s="214"/>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2"/>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222"/>
      <c r="BE275" s="222"/>
      <c r="BF275" s="222"/>
      <c r="BG275" s="222"/>
      <c r="BH275" s="222"/>
      <c r="BI275" s="222"/>
      <c r="BJ275" s="192"/>
      <c r="BK275" s="192"/>
      <c r="BL275" s="192"/>
      <c r="BM275" s="192"/>
      <c r="BN275" s="192"/>
      <c r="BO275" s="192"/>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51"/>
      <c r="E276" s="88">
        <v>7</v>
      </c>
      <c r="F276" s="27"/>
      <c r="G276" s="214"/>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2"/>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222"/>
      <c r="BE276" s="222"/>
      <c r="BF276" s="222"/>
      <c r="BG276" s="222"/>
      <c r="BH276" s="222"/>
      <c r="BI276" s="222"/>
      <c r="BJ276" s="192"/>
      <c r="BK276" s="192"/>
      <c r="BL276" s="192"/>
      <c r="BM276" s="192"/>
      <c r="BN276" s="192"/>
      <c r="BO276" s="192"/>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51"/>
      <c r="E277" s="88">
        <v>8</v>
      </c>
      <c r="F277" s="27"/>
      <c r="G277" s="214"/>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2"/>
      <c r="AB277" s="222"/>
      <c r="AC277" s="222"/>
      <c r="AD277" s="222"/>
      <c r="AE277" s="222"/>
      <c r="AF277" s="222"/>
      <c r="AG277" s="222"/>
      <c r="AH277" s="222"/>
      <c r="AI277" s="222"/>
      <c r="AJ277" s="222"/>
      <c r="AK277" s="222"/>
      <c r="AL277" s="222"/>
      <c r="AM277" s="222"/>
      <c r="AN277" s="222"/>
      <c r="AO277" s="222"/>
      <c r="AP277" s="222"/>
      <c r="AQ277" s="222"/>
      <c r="AR277" s="222"/>
      <c r="AS277" s="222"/>
      <c r="AT277" s="222"/>
      <c r="AU277" s="222"/>
      <c r="AV277" s="222"/>
      <c r="AW277" s="222"/>
      <c r="AX277" s="222"/>
      <c r="AY277" s="222"/>
      <c r="AZ277" s="222"/>
      <c r="BA277" s="222"/>
      <c r="BB277" s="222"/>
      <c r="BC277" s="222"/>
      <c r="BD277" s="222"/>
      <c r="BE277" s="222"/>
      <c r="BF277" s="222"/>
      <c r="BG277" s="222"/>
      <c r="BH277" s="222"/>
      <c r="BI277" s="222"/>
      <c r="BJ277" s="192"/>
      <c r="BK277" s="192"/>
      <c r="BL277" s="192"/>
      <c r="BM277" s="192"/>
      <c r="BN277" s="192"/>
      <c r="BO277" s="192"/>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51"/>
      <c r="E278" s="88">
        <v>9</v>
      </c>
      <c r="F278" s="27"/>
      <c r="G278" s="214"/>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2"/>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222"/>
      <c r="BE278" s="222"/>
      <c r="BF278" s="222"/>
      <c r="BG278" s="222"/>
      <c r="BH278" s="222"/>
      <c r="BI278" s="222"/>
      <c r="BJ278" s="192"/>
      <c r="BK278" s="192"/>
      <c r="BL278" s="192"/>
      <c r="BM278" s="192"/>
      <c r="BN278" s="192"/>
      <c r="BO278" s="192"/>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51"/>
      <c r="E279" s="88">
        <v>10</v>
      </c>
      <c r="F279" s="27"/>
      <c r="G279" s="214"/>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2"/>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222"/>
      <c r="BE279" s="222"/>
      <c r="BF279" s="222"/>
      <c r="BG279" s="222"/>
      <c r="BH279" s="222"/>
      <c r="BI279" s="222"/>
      <c r="BJ279" s="192"/>
      <c r="BK279" s="192"/>
      <c r="BL279" s="192"/>
      <c r="BM279" s="192"/>
      <c r="BN279" s="192"/>
      <c r="BO279" s="192"/>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51"/>
      <c r="E280" s="89">
        <v>11</v>
      </c>
      <c r="F280" s="27"/>
      <c r="G280" s="214"/>
      <c r="H280" s="153"/>
      <c r="I280" s="153"/>
      <c r="J280" s="153"/>
      <c r="K280" s="153"/>
      <c r="L280" s="153"/>
      <c r="M280" s="153"/>
      <c r="N280" s="153"/>
      <c r="O280" s="153"/>
      <c r="P280" s="194"/>
      <c r="Q280" s="152"/>
      <c r="R280" s="70"/>
      <c r="S280" s="105"/>
      <c r="T280" s="105"/>
      <c r="U280" s="105"/>
      <c r="V280" s="105"/>
      <c r="W280" s="105"/>
      <c r="X280" s="105"/>
      <c r="Y280" s="105"/>
      <c r="Z280" s="105"/>
      <c r="AA280" s="222"/>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222"/>
      <c r="BE280" s="222"/>
      <c r="BF280" s="222"/>
      <c r="BG280" s="222"/>
      <c r="BH280" s="222"/>
      <c r="BI280" s="222"/>
      <c r="BJ280" s="192"/>
      <c r="BK280" s="192"/>
      <c r="BL280" s="192"/>
      <c r="BM280" s="192"/>
      <c r="BN280" s="192"/>
      <c r="BO280" s="192"/>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t="str">
        <f>Asset15</f>
        <v>Street Lighting</v>
      </c>
      <c r="D281" s="9"/>
      <c r="E281" s="9"/>
      <c r="F281" s="23"/>
      <c r="G281" s="215">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192"/>
      <c r="BK281" s="192"/>
      <c r="BL281" s="192"/>
      <c r="BM281" s="192"/>
      <c r="BN281" s="192"/>
      <c r="BO281" s="192"/>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Other Equipment</v>
      </c>
      <c r="C282" s="33"/>
      <c r="D282" s="34" t="s">
        <v>69</v>
      </c>
      <c r="E282" s="33"/>
      <c r="F282" s="35"/>
      <c r="G282" s="211">
        <f>IF(G$3&gt;A16taxremlife,A16taxvalue-SUM($F282:F282),IF(A16taxremlife="N/A","n/a",A16taxvalue/A16taxremlife))</f>
        <v>0.45228392488264907</v>
      </c>
      <c r="H282" s="69">
        <f>IF(H$3&gt;A16taxremlife,A16taxvalue-SUM($F282:G282),IF(A16taxremlife="N/A","n/a",A16taxvalue/A16taxremlife))</f>
        <v>0.45228392488264907</v>
      </c>
      <c r="I282" s="69">
        <f>IF(I$3&gt;A16taxremlife,A16taxvalue-SUM($F282:H282),IF(A16taxremlife="N/A","n/a",A16taxvalue/A16taxremlife))</f>
        <v>0.45228392488264907</v>
      </c>
      <c r="J282" s="69">
        <f>IF(J$3&gt;A16taxremlife,A16taxvalue-SUM($F282:I282),IF(A16taxremlife="N/A","n/a",A16taxvalue/A16taxremlife))</f>
        <v>0.45228392488264907</v>
      </c>
      <c r="K282" s="69">
        <f>IF(K$3&gt;A16taxremlife,A16taxvalue-SUM($F282:J282),IF(A16taxremlife="N/A","n/a",A16taxvalue/A16taxremlife))</f>
        <v>0.45228392488264907</v>
      </c>
      <c r="L282" s="69">
        <f>IF(L$3&gt;A16taxremlife,A16taxvalue-SUM($F282:K282),IF(A16taxremlife="N/A","n/a",A16taxvalue/A16taxremlife))</f>
        <v>0.45228392488264907</v>
      </c>
      <c r="M282" s="69">
        <f>IF(M$3&gt;A16taxremlife,A16taxvalue-SUM($F282:L282),IF(A16taxremlife="N/A","n/a",A16taxvalue/A16taxremlife))</f>
        <v>0.45228392488264907</v>
      </c>
      <c r="N282" s="69">
        <f>IF(N$3&gt;A16taxremlife,A16taxvalue-SUM($F282:M282),IF(A16taxremlife="N/A","n/a",A16taxvalue/A16taxremlife))</f>
        <v>0.45228392488264907</v>
      </c>
      <c r="O282" s="69">
        <f>IF(O$3&gt;A16taxremlife,A16taxvalue-SUM($F282:N282),IF(A16taxremlife="N/A","n/a",A16taxvalue/A16taxremlife))</f>
        <v>0.45228392488264907</v>
      </c>
      <c r="P282" s="69">
        <f>IF(P$3&gt;A16taxremlife,A16taxvalue-SUM($F282:O282),IF(A16taxremlife="N/A","n/a",A16taxvalue/A16taxremlife))</f>
        <v>0.45228392488264907</v>
      </c>
      <c r="Q282" s="69">
        <f>IF(Q$3&gt;A16taxremlife,A16taxvalue-SUM($F282:P282),IF(A16taxremlife="N/A","n/a",A16taxvalue/A16taxremlife))</f>
        <v>0.45228392488264907</v>
      </c>
      <c r="R282" s="69"/>
      <c r="S282" s="105"/>
      <c r="T282" s="105"/>
      <c r="U282" s="105"/>
      <c r="V282" s="105"/>
      <c r="W282" s="105"/>
      <c r="X282" s="105"/>
      <c r="Y282" s="105"/>
      <c r="Z282" s="105"/>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192"/>
      <c r="BK282" s="192"/>
      <c r="BL282" s="192"/>
      <c r="BM282" s="192"/>
      <c r="BN282" s="192"/>
      <c r="BO282" s="19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50" t="s">
        <v>87</v>
      </c>
      <c r="E283" s="88">
        <v>0</v>
      </c>
      <c r="F283" s="27"/>
      <c r="G283" s="212"/>
      <c r="H283" s="70"/>
      <c r="I283" s="70"/>
      <c r="J283" s="70"/>
      <c r="K283" s="70"/>
      <c r="L283" s="70"/>
      <c r="M283" s="70"/>
      <c r="N283" s="70"/>
      <c r="O283" s="70"/>
      <c r="P283" s="70"/>
      <c r="Q283" s="70"/>
      <c r="R283" s="70"/>
      <c r="S283" s="105"/>
      <c r="T283" s="105"/>
      <c r="U283" s="105"/>
      <c r="V283" s="105"/>
      <c r="W283" s="105"/>
      <c r="X283" s="105"/>
      <c r="Y283" s="105"/>
      <c r="Z283" s="105"/>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192"/>
      <c r="BK283" s="192"/>
      <c r="BL283" s="192"/>
      <c r="BM283" s="192"/>
      <c r="BN283" s="192"/>
      <c r="BO283" s="192"/>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51"/>
      <c r="E284" s="88">
        <v>1</v>
      </c>
      <c r="F284" s="27"/>
      <c r="G284" s="213"/>
      <c r="H284" s="70">
        <f>IF(A16taxstdlife="n/a","n/a",IF(H$3&gt;(A16taxstdlife+$E284),(Input!$G$56-Input!$G$90)-SUM($G284:G284),(Input!$G$56-Input!$G$90)/A16taxstdlife))</f>
        <v>9.3836000000000003E-2</v>
      </c>
      <c r="I284" s="70">
        <f>IF(A16taxstdlife="n/a","n/a",IF(I$3&gt;(A16taxstdlife+$E284),(Input!$G$56-Input!$G$90)-SUM($G284:H284),(Input!$G$56-Input!$G$90)/A16taxstdlife))</f>
        <v>9.3836000000000003E-2</v>
      </c>
      <c r="J284" s="70">
        <f>IF(A16taxstdlife="n/a","n/a",IF(J$3&gt;(A16taxstdlife+$E284),(Input!$G$56-Input!$G$90)-SUM($G284:I284),(Input!$G$56-Input!$G$90)/A16taxstdlife))</f>
        <v>9.3836000000000003E-2</v>
      </c>
      <c r="K284" s="70">
        <f>IF(A16taxstdlife="n/a","n/a",IF(K$3&gt;(A16taxstdlife+$E284),(Input!$G$56-Input!$G$90)-SUM($G284:J284),(Input!$G$56-Input!$G$90)/A16taxstdlife))</f>
        <v>9.3836000000000003E-2</v>
      </c>
      <c r="L284" s="70">
        <f>IF(A16taxstdlife="n/a","n/a",IF(L$3&gt;(A16taxstdlife+$E284),(Input!$G$56-Input!$G$90)-SUM($G284:K284),(Input!$G$56-Input!$G$90)/A16taxstdlife))</f>
        <v>9.3836000000000003E-2</v>
      </c>
      <c r="M284" s="70">
        <f>IF(A16taxstdlife="n/a","n/a",IF(M$3&gt;(A16taxstdlife+$E284),(Input!$G$56-Input!$G$90)-SUM($G284:L284),(Input!$G$56-Input!$G$90)/A16taxstdlife))</f>
        <v>9.3836000000000003E-2</v>
      </c>
      <c r="N284" s="70">
        <f>IF(A16taxstdlife="n/a","n/a",IF(N$3&gt;(A16taxstdlife+$E284),(Input!$G$56-Input!$G$90)-SUM($G284:M284),(Input!$G$56-Input!$G$90)/A16taxstdlife))</f>
        <v>9.3836000000000003E-2</v>
      </c>
      <c r="O284" s="70">
        <f>IF(A16taxstdlife="n/a","n/a",IF(O$3&gt;(A16taxstdlife+$E284),(Input!$G$56-Input!$G$90)-SUM($G284:N284),(Input!$G$56-Input!$G$90)/A16taxstdlife))</f>
        <v>9.3836000000000003E-2</v>
      </c>
      <c r="P284" s="70">
        <f>IF(A16taxstdlife="n/a","n/a",IF(P$3&gt;(A16taxstdlife+$E284),(Input!$G$56-Input!$G$90)-SUM($G284:O284),(Input!$G$56-Input!$G$90)/A16taxstdlife))</f>
        <v>9.3836000000000003E-2</v>
      </c>
      <c r="Q284" s="70">
        <f>IF(A16taxstdlife="n/a","n/a",IF(Q$3&gt;(A16taxstdlife+$E284),(Input!$G$56-Input!$G$90)-SUM($G284:P284),(Input!$G$56-Input!$G$90)/A16taxstdlife))</f>
        <v>9.3836000000000003E-2</v>
      </c>
      <c r="R284" s="70"/>
      <c r="S284" s="105"/>
      <c r="T284" s="105"/>
      <c r="U284" s="105"/>
      <c r="V284" s="105"/>
      <c r="W284" s="105"/>
      <c r="X284" s="105"/>
      <c r="Y284" s="105"/>
      <c r="Z284" s="105"/>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192"/>
      <c r="BK284" s="192"/>
      <c r="BL284" s="192"/>
      <c r="BM284" s="192"/>
      <c r="BN284" s="192"/>
      <c r="BO284" s="192"/>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51"/>
      <c r="E285" s="88">
        <v>2</v>
      </c>
      <c r="F285" s="27"/>
      <c r="G285" s="214"/>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2"/>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222"/>
      <c r="BE285" s="222"/>
      <c r="BF285" s="222"/>
      <c r="BG285" s="222"/>
      <c r="BH285" s="222"/>
      <c r="BI285" s="222"/>
      <c r="BJ285" s="192"/>
      <c r="BK285" s="192"/>
      <c r="BL285" s="192"/>
      <c r="BM285" s="192"/>
      <c r="BN285" s="192"/>
      <c r="BO285" s="192"/>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51"/>
      <c r="E286" s="88">
        <v>3</v>
      </c>
      <c r="F286" s="27"/>
      <c r="G286" s="214"/>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192"/>
      <c r="BK286" s="192"/>
      <c r="BL286" s="192"/>
      <c r="BM286" s="192"/>
      <c r="BN286" s="192"/>
      <c r="BO286" s="192"/>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51"/>
      <c r="E287" s="88">
        <v>4</v>
      </c>
      <c r="F287" s="27"/>
      <c r="G287" s="214"/>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192"/>
      <c r="BK287" s="192"/>
      <c r="BL287" s="192"/>
      <c r="BM287" s="192"/>
      <c r="BN287" s="192"/>
      <c r="BO287" s="192"/>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51"/>
      <c r="E288" s="88">
        <v>5</v>
      </c>
      <c r="F288" s="27"/>
      <c r="G288" s="214"/>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192"/>
      <c r="BK288" s="192"/>
      <c r="BL288" s="192"/>
      <c r="BM288" s="192"/>
      <c r="BN288" s="192"/>
      <c r="BO288" s="192"/>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51"/>
      <c r="E289" s="88">
        <v>6</v>
      </c>
      <c r="F289" s="27"/>
      <c r="G289" s="214"/>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c r="BH289" s="222"/>
      <c r="BI289" s="222"/>
      <c r="BJ289" s="192"/>
      <c r="BK289" s="192"/>
      <c r="BL289" s="192"/>
      <c r="BM289" s="192"/>
      <c r="BN289" s="192"/>
      <c r="BO289" s="192"/>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51"/>
      <c r="E290" s="88">
        <v>7</v>
      </c>
      <c r="F290" s="27"/>
      <c r="G290" s="214"/>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2"/>
      <c r="AB290" s="222"/>
      <c r="AC290" s="222"/>
      <c r="AD290" s="222"/>
      <c r="AE290" s="222"/>
      <c r="AF290" s="222"/>
      <c r="AG290" s="222"/>
      <c r="AH290" s="222"/>
      <c r="AI290" s="222"/>
      <c r="AJ290" s="222"/>
      <c r="AK290" s="222"/>
      <c r="AL290" s="222"/>
      <c r="AM290" s="222"/>
      <c r="AN290" s="222"/>
      <c r="AO290" s="222"/>
      <c r="AP290" s="222"/>
      <c r="AQ290" s="222"/>
      <c r="AR290" s="222"/>
      <c r="AS290" s="222"/>
      <c r="AT290" s="222"/>
      <c r="AU290" s="222"/>
      <c r="AV290" s="222"/>
      <c r="AW290" s="222"/>
      <c r="AX290" s="222"/>
      <c r="AY290" s="222"/>
      <c r="AZ290" s="222"/>
      <c r="BA290" s="222"/>
      <c r="BB290" s="222"/>
      <c r="BC290" s="222"/>
      <c r="BD290" s="222"/>
      <c r="BE290" s="222"/>
      <c r="BF290" s="222"/>
      <c r="BG290" s="222"/>
      <c r="BH290" s="222"/>
      <c r="BI290" s="222"/>
      <c r="BJ290" s="224"/>
      <c r="BK290" s="192"/>
      <c r="BL290" s="192"/>
      <c r="BM290" s="192"/>
      <c r="BN290" s="192"/>
      <c r="BO290" s="192"/>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51"/>
      <c r="E291" s="88">
        <v>8</v>
      </c>
      <c r="F291" s="27"/>
      <c r="G291" s="214"/>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2"/>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222"/>
      <c r="BE291" s="222"/>
      <c r="BF291" s="222"/>
      <c r="BG291" s="222"/>
      <c r="BH291" s="222"/>
      <c r="BI291" s="222"/>
      <c r="BJ291" s="192"/>
      <c r="BK291" s="192"/>
      <c r="BL291" s="192"/>
      <c r="BM291" s="192"/>
      <c r="BN291" s="192"/>
      <c r="BO291" s="192"/>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51"/>
      <c r="E292" s="88">
        <v>9</v>
      </c>
      <c r="F292" s="27"/>
      <c r="G292" s="214"/>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2"/>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222"/>
      <c r="BE292" s="222"/>
      <c r="BF292" s="222"/>
      <c r="BG292" s="222"/>
      <c r="BH292" s="222"/>
      <c r="BI292" s="222"/>
      <c r="BJ292" s="192"/>
      <c r="BK292" s="192"/>
      <c r="BL292" s="192"/>
      <c r="BM292" s="192"/>
      <c r="BN292" s="192"/>
      <c r="BO292" s="1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51"/>
      <c r="E293" s="88">
        <v>10</v>
      </c>
      <c r="F293" s="27"/>
      <c r="G293" s="214"/>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192"/>
      <c r="BK293" s="192"/>
      <c r="BL293" s="192"/>
      <c r="BM293" s="192"/>
      <c r="BN293" s="192"/>
      <c r="BO293" s="192"/>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51"/>
      <c r="E294" s="89">
        <v>11</v>
      </c>
      <c r="F294" s="27"/>
      <c r="G294" s="214"/>
      <c r="H294" s="153"/>
      <c r="I294" s="153"/>
      <c r="J294" s="153"/>
      <c r="K294" s="153"/>
      <c r="L294" s="153"/>
      <c r="M294" s="153"/>
      <c r="N294" s="153"/>
      <c r="O294" s="153"/>
      <c r="P294" s="194"/>
      <c r="Q294" s="152"/>
      <c r="R294" s="70"/>
      <c r="S294" s="105"/>
      <c r="T294" s="105"/>
      <c r="U294" s="105"/>
      <c r="V294" s="105"/>
      <c r="W294" s="105"/>
      <c r="X294" s="105"/>
      <c r="Y294" s="105"/>
      <c r="Z294" s="105"/>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192"/>
      <c r="BK294" s="192"/>
      <c r="BL294" s="192"/>
      <c r="BM294" s="192"/>
      <c r="BN294" s="192"/>
      <c r="BO294" s="192"/>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t="str">
        <f>Asset16</f>
        <v>Other Equipment</v>
      </c>
      <c r="D295" s="9"/>
      <c r="E295" s="9"/>
      <c r="F295" s="23"/>
      <c r="G295" s="215">
        <f t="shared" ref="G295:L295" si="49">-SUM(G282:G294)</f>
        <v>-0.45228392488264907</v>
      </c>
      <c r="H295" s="169">
        <f t="shared" si="49"/>
        <v>-0.54611992488264904</v>
      </c>
      <c r="I295" s="169">
        <f t="shared" si="49"/>
        <v>-0.54611992488264904</v>
      </c>
      <c r="J295" s="169">
        <f t="shared" si="49"/>
        <v>-0.54611992488264904</v>
      </c>
      <c r="K295" s="169">
        <f t="shared" si="49"/>
        <v>-0.54611992488264904</v>
      </c>
      <c r="L295" s="169">
        <f t="shared" si="49"/>
        <v>-0.54611992488264904</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23"/>
      <c r="BJ295" s="192"/>
      <c r="BK295" s="192"/>
      <c r="BL295" s="192"/>
      <c r="BM295" s="192"/>
      <c r="BN295" s="192"/>
      <c r="BO295" s="192"/>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3" t="str">
        <f>Asset17</f>
        <v>Control Centre - SCADA</v>
      </c>
      <c r="C296" s="33"/>
      <c r="D296" s="34" t="s">
        <v>69</v>
      </c>
      <c r="E296" s="33"/>
      <c r="F296" s="35"/>
      <c r="G296" s="211">
        <f>IF(G$3&gt;A17taxremlife,A17taxvalue-SUM($F296:F296),IF(A17taxremlife="N/A","n/a",A17taxvalue/A17taxremlife))</f>
        <v>3.885245963803043</v>
      </c>
      <c r="H296" s="69">
        <f>IF(H$3&gt;A17taxremlife,A17taxvalue-SUM($F296:G296),IF(A17taxremlife="N/A","n/a",A17taxvalue/A17taxremlife))</f>
        <v>3.885245963803043</v>
      </c>
      <c r="I296" s="69">
        <f>IF(I$3&gt;A17taxremlife,A17taxvalue-SUM($F296:H296),IF(A17taxremlife="N/A","n/a",A17taxvalue/A17taxremlife))</f>
        <v>3.885245963803043</v>
      </c>
      <c r="J296" s="69">
        <f>IF(J$3&gt;A17taxremlife,A17taxvalue-SUM($F296:I296),IF(A17taxremlife="N/A","n/a",A17taxvalue/A17taxremlife))</f>
        <v>3.885245963803043</v>
      </c>
      <c r="K296" s="69">
        <f>IF(K$3&gt;A17taxremlife,A17taxvalue-SUM($F296:J296),IF(A17taxremlife="N/A","n/a",A17taxvalue/A17taxremlife))</f>
        <v>3.885245963803043</v>
      </c>
      <c r="L296" s="69">
        <f>IF(L$3&gt;A17taxremlife,A17taxvalue-SUM($F296:K296),IF(A17taxremlife="N/A","n/a",A17taxvalue/A17taxremlife))</f>
        <v>3.885245963803043</v>
      </c>
      <c r="M296" s="69">
        <f>IF(M$3&gt;A17taxremlife,A17taxvalue-SUM($F296:L296),IF(A17taxremlife="N/A","n/a",A17taxvalue/A17taxremlife))</f>
        <v>3.885245963803043</v>
      </c>
      <c r="N296" s="69">
        <f>IF(N$3&gt;A17taxremlife,A17taxvalue-SUM($F296:M296),IF(A17taxremlife="N/A","n/a",A17taxvalue/A17taxremlife))</f>
        <v>3.885245963803043</v>
      </c>
      <c r="O296" s="69">
        <f>IF(O$3&gt;A17taxremlife,A17taxvalue-SUM($F296:N296),IF(A17taxremlife="N/A","n/a",A17taxvalue/A17taxremlife))</f>
        <v>3.885245963803043</v>
      </c>
      <c r="P296" s="69">
        <f>IF(P$3&gt;A17taxremlife,A17taxvalue-SUM($F296:O296),IF(A17taxremlife="N/A","n/a",A17taxvalue/A17taxremlife))</f>
        <v>0.31358632577261147</v>
      </c>
      <c r="Q296" s="69">
        <f>IF(Q$3&gt;A17taxremlife,A17taxvalue-SUM($F296:P296),IF(A17taxremlife="N/A","n/a",A17taxvalue/A17taxremlife))</f>
        <v>0</v>
      </c>
      <c r="R296" s="69"/>
      <c r="S296" s="105"/>
      <c r="T296" s="105"/>
      <c r="U296" s="105"/>
      <c r="V296" s="105"/>
      <c r="W296" s="105"/>
      <c r="X296" s="105"/>
      <c r="Y296" s="105"/>
      <c r="Z296" s="105"/>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192"/>
      <c r="BK296" s="192"/>
      <c r="BL296" s="192"/>
      <c r="BM296" s="192"/>
      <c r="BN296" s="192"/>
      <c r="BO296" s="192"/>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50" t="s">
        <v>87</v>
      </c>
      <c r="E297" s="88">
        <v>0</v>
      </c>
      <c r="F297" s="27"/>
      <c r="G297" s="212"/>
      <c r="H297" s="70"/>
      <c r="I297" s="70"/>
      <c r="J297" s="70"/>
      <c r="K297" s="70"/>
      <c r="L297" s="70"/>
      <c r="M297" s="70"/>
      <c r="N297" s="70"/>
      <c r="O297" s="70"/>
      <c r="P297" s="70"/>
      <c r="Q297" s="70"/>
      <c r="R297" s="70"/>
      <c r="S297" s="105"/>
      <c r="T297" s="105"/>
      <c r="U297" s="105"/>
      <c r="V297" s="105"/>
      <c r="W297" s="105"/>
      <c r="X297" s="105"/>
      <c r="Y297" s="105"/>
      <c r="Z297" s="105"/>
      <c r="AA297" s="222"/>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222"/>
      <c r="BE297" s="222"/>
      <c r="BF297" s="222"/>
      <c r="BG297" s="222"/>
      <c r="BH297" s="222"/>
      <c r="BI297" s="222"/>
      <c r="BJ297" s="192"/>
      <c r="BK297" s="192"/>
      <c r="BL297" s="192"/>
      <c r="BM297" s="192"/>
      <c r="BN297" s="192"/>
      <c r="BO297" s="192"/>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51"/>
      <c r="E298" s="88">
        <v>1</v>
      </c>
      <c r="F298" s="27"/>
      <c r="G298" s="213"/>
      <c r="H298" s="70">
        <f>IF(A17taxstdlife="n/a","n/a",IF(H$3&gt;(A17taxstdlife+$E298),(Input!$G$57-Input!$G$91)-SUM($G298:G298),(Input!$G$57-Input!$G$91)/A17taxstdlife))</f>
        <v>1.2598335999999999</v>
      </c>
      <c r="I298" s="70">
        <f>IF(A17taxstdlife="n/a","n/a",IF(I$3&gt;(A17taxstdlife+$E298),(Input!$G$57-Input!$G$91)-SUM($G298:H298),(Input!$G$57-Input!$G$91)/A17taxstdlife))</f>
        <v>1.2598335999999999</v>
      </c>
      <c r="J298" s="70">
        <f>IF(A17taxstdlife="n/a","n/a",IF(J$3&gt;(A17taxstdlife+$E298),(Input!$G$57-Input!$G$91)-SUM($G298:I298),(Input!$G$57-Input!$G$91)/A17taxstdlife))</f>
        <v>1.2598335999999999</v>
      </c>
      <c r="K298" s="70">
        <f>IF(A17taxstdlife="n/a","n/a",IF(K$3&gt;(A17taxstdlife+$E298),(Input!$G$57-Input!$G$91)-SUM($G298:J298),(Input!$G$57-Input!$G$91)/A17taxstdlife))</f>
        <v>1.2598335999999999</v>
      </c>
      <c r="L298" s="70">
        <f>IF(A17taxstdlife="n/a","n/a",IF(L$3&gt;(A17taxstdlife+$E298),(Input!$G$57-Input!$G$91)-SUM($G298:K298),(Input!$G$57-Input!$G$91)/A17taxstdlife))</f>
        <v>1.2598335999999999</v>
      </c>
      <c r="M298" s="70">
        <f>IF(A17taxstdlife="n/a","n/a",IF(M$3&gt;(A17taxstdlife+$E298),(Input!$G$57-Input!$G$91)-SUM($G298:L298),(Input!$G$57-Input!$G$91)/A17taxstdlife))</f>
        <v>1.2598335999999999</v>
      </c>
      <c r="N298" s="70">
        <f>IF(A17taxstdlife="n/a","n/a",IF(N$3&gt;(A17taxstdlife+$E298),(Input!$G$57-Input!$G$91)-SUM($G298:M298),(Input!$G$57-Input!$G$91)/A17taxstdlife))</f>
        <v>1.2598335999999999</v>
      </c>
      <c r="O298" s="70">
        <f>IF(A17taxstdlife="n/a","n/a",IF(O$3&gt;(A17taxstdlife+$E298),(Input!$G$57-Input!$G$91)-SUM($G298:N298),(Input!$G$57-Input!$G$91)/A17taxstdlife))</f>
        <v>1.2598335999999999</v>
      </c>
      <c r="P298" s="70">
        <f>IF(A17taxstdlife="n/a","n/a",IF(P$3&gt;(A17taxstdlife+$E298),(Input!$G$57-Input!$G$91)-SUM($G298:O298),(Input!$G$57-Input!$G$91)/A17taxstdlife))</f>
        <v>1.2598335999999999</v>
      </c>
      <c r="Q298" s="70">
        <f>IF(A17taxstdlife="n/a","n/a",IF(Q$3&gt;(A17taxstdlife+$E298),(Input!$G$57-Input!$G$91)-SUM($G298:P298),(Input!$G$57-Input!$G$91)/A17taxstdlife))</f>
        <v>1.2598335999999999</v>
      </c>
      <c r="R298" s="70"/>
      <c r="S298" s="105"/>
      <c r="T298" s="105"/>
      <c r="U298" s="105"/>
      <c r="V298" s="105"/>
      <c r="W298" s="105"/>
      <c r="X298" s="105"/>
      <c r="Y298" s="105"/>
      <c r="Z298" s="105"/>
      <c r="AA298" s="222"/>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222"/>
      <c r="BE298" s="222"/>
      <c r="BF298" s="222"/>
      <c r="BG298" s="222"/>
      <c r="BH298" s="222"/>
      <c r="BI298" s="222"/>
      <c r="BJ298" s="192"/>
      <c r="BK298" s="192"/>
      <c r="BL298" s="192"/>
      <c r="BM298" s="192"/>
      <c r="BN298" s="192"/>
      <c r="BO298" s="192"/>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51"/>
      <c r="E299" s="88">
        <v>2</v>
      </c>
      <c r="F299" s="27"/>
      <c r="G299" s="214"/>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2"/>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222"/>
      <c r="BE299" s="222"/>
      <c r="BF299" s="222"/>
      <c r="BG299" s="222"/>
      <c r="BH299" s="222"/>
      <c r="BI299" s="222"/>
      <c r="BJ299" s="192"/>
      <c r="BK299" s="192"/>
      <c r="BL299" s="192"/>
      <c r="BM299" s="192"/>
      <c r="BN299" s="192"/>
      <c r="BO299" s="192"/>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51"/>
      <c r="E300" s="88">
        <v>3</v>
      </c>
      <c r="F300" s="27"/>
      <c r="G300" s="214"/>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192"/>
      <c r="BK300" s="192"/>
      <c r="BL300" s="192"/>
      <c r="BM300" s="192"/>
      <c r="BN300" s="192"/>
      <c r="BO300" s="192"/>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51"/>
      <c r="E301" s="88">
        <v>4</v>
      </c>
      <c r="F301" s="27"/>
      <c r="G301" s="214"/>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192"/>
      <c r="BK301" s="192"/>
      <c r="BL301" s="192"/>
      <c r="BM301" s="192"/>
      <c r="BN301" s="192"/>
      <c r="BO301" s="192"/>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51"/>
      <c r="E302" s="88">
        <v>5</v>
      </c>
      <c r="F302" s="27"/>
      <c r="G302" s="214"/>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192"/>
      <c r="BK302" s="192"/>
      <c r="BL302" s="192"/>
      <c r="BM302" s="192"/>
      <c r="BN302" s="192"/>
      <c r="BO302" s="19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51"/>
      <c r="E303" s="88">
        <v>6</v>
      </c>
      <c r="F303" s="27"/>
      <c r="G303" s="214"/>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2"/>
      <c r="AB303" s="222"/>
      <c r="AC303" s="222"/>
      <c r="AD303" s="222"/>
      <c r="AE303" s="222"/>
      <c r="AF303" s="222"/>
      <c r="AG303" s="222"/>
      <c r="AH303" s="222"/>
      <c r="AI303" s="222"/>
      <c r="AJ303" s="222"/>
      <c r="AK303" s="222"/>
      <c r="AL303" s="222"/>
      <c r="AM303" s="222"/>
      <c r="AN303" s="222"/>
      <c r="AO303" s="222"/>
      <c r="AP303" s="222"/>
      <c r="AQ303" s="222"/>
      <c r="AR303" s="222"/>
      <c r="AS303" s="222"/>
      <c r="AT303" s="222"/>
      <c r="AU303" s="222"/>
      <c r="AV303" s="222"/>
      <c r="AW303" s="222"/>
      <c r="AX303" s="222"/>
      <c r="AY303" s="222"/>
      <c r="AZ303" s="222"/>
      <c r="BA303" s="222"/>
      <c r="BB303" s="222"/>
      <c r="BC303" s="222"/>
      <c r="BD303" s="222"/>
      <c r="BE303" s="222"/>
      <c r="BF303" s="222"/>
      <c r="BG303" s="222"/>
      <c r="BH303" s="222"/>
      <c r="BI303" s="222"/>
      <c r="BJ303" s="192"/>
      <c r="BK303" s="192"/>
      <c r="BL303" s="192"/>
      <c r="BM303" s="192"/>
      <c r="BN303" s="192"/>
      <c r="BO303" s="192"/>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51"/>
      <c r="E304" s="88">
        <v>7</v>
      </c>
      <c r="F304" s="27"/>
      <c r="G304" s="214"/>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192"/>
      <c r="BK304" s="192"/>
      <c r="BL304" s="192"/>
      <c r="BM304" s="192"/>
      <c r="BN304" s="192"/>
      <c r="BO304" s="192"/>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51"/>
      <c r="E305" s="88">
        <v>8</v>
      </c>
      <c r="F305" s="27"/>
      <c r="G305" s="214"/>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192"/>
      <c r="BK305" s="192"/>
      <c r="BL305" s="192"/>
      <c r="BM305" s="192"/>
      <c r="BN305" s="192"/>
      <c r="BO305" s="192"/>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51"/>
      <c r="E306" s="88">
        <v>9</v>
      </c>
      <c r="F306" s="27"/>
      <c r="G306" s="214"/>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192"/>
      <c r="BK306" s="192"/>
      <c r="BL306" s="192"/>
      <c r="BM306" s="192"/>
      <c r="BN306" s="192"/>
      <c r="BO306" s="192"/>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51"/>
      <c r="E307" s="88">
        <v>10</v>
      </c>
      <c r="F307" s="27"/>
      <c r="G307" s="214"/>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192"/>
      <c r="BK307" s="192"/>
      <c r="BL307" s="192"/>
      <c r="BM307" s="192"/>
      <c r="BN307" s="192"/>
      <c r="BO307" s="192"/>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51"/>
      <c r="E308" s="89">
        <v>11</v>
      </c>
      <c r="F308" s="27"/>
      <c r="G308" s="214"/>
      <c r="H308" s="153"/>
      <c r="I308" s="153"/>
      <c r="J308" s="153"/>
      <c r="K308" s="153"/>
      <c r="L308" s="153"/>
      <c r="M308" s="153"/>
      <c r="N308" s="153"/>
      <c r="O308" s="153"/>
      <c r="P308" s="194"/>
      <c r="Q308" s="152"/>
      <c r="R308" s="70"/>
      <c r="S308" s="105"/>
      <c r="T308" s="105"/>
      <c r="U308" s="105"/>
      <c r="V308" s="105"/>
      <c r="W308" s="105"/>
      <c r="X308" s="105"/>
      <c r="Y308" s="105"/>
      <c r="Z308" s="105"/>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192"/>
      <c r="BK308" s="192"/>
      <c r="BL308" s="192"/>
      <c r="BM308" s="192"/>
      <c r="BN308" s="192"/>
      <c r="BO308" s="192"/>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t="str">
        <f>Asset17</f>
        <v>Control Centre - SCADA</v>
      </c>
      <c r="D309" s="9"/>
      <c r="E309" s="9"/>
      <c r="F309" s="23"/>
      <c r="G309" s="215">
        <f t="shared" ref="G309:L309" si="50">-SUM(G296:G308)</f>
        <v>-3.885245963803043</v>
      </c>
      <c r="H309" s="169">
        <f t="shared" si="50"/>
        <v>-5.1450795638030424</v>
      </c>
      <c r="I309" s="169">
        <f t="shared" si="50"/>
        <v>-5.1450795638030424</v>
      </c>
      <c r="J309" s="169">
        <f t="shared" si="50"/>
        <v>-5.1450795638030424</v>
      </c>
      <c r="K309" s="169">
        <f t="shared" si="50"/>
        <v>-5.1450795638030424</v>
      </c>
      <c r="L309" s="169">
        <f t="shared" si="50"/>
        <v>-5.1450795638030424</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23"/>
      <c r="BJ309" s="192"/>
      <c r="BK309" s="192"/>
      <c r="BL309" s="192"/>
      <c r="BM309" s="192"/>
      <c r="BN309" s="192"/>
      <c r="BO309" s="192"/>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3" t="str">
        <f>Asset18</f>
        <v>Land &amp; Easements (System)</v>
      </c>
      <c r="C310" s="33"/>
      <c r="D310" s="34" t="s">
        <v>69</v>
      </c>
      <c r="E310" s="33"/>
      <c r="F310" s="35"/>
      <c r="G310" s="211"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5"/>
      <c r="T310" s="105"/>
      <c r="U310" s="105"/>
      <c r="V310" s="105"/>
      <c r="W310" s="105"/>
      <c r="X310" s="105"/>
      <c r="Y310" s="105"/>
      <c r="Z310" s="105"/>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192"/>
      <c r="BK310" s="192"/>
      <c r="BL310" s="192"/>
      <c r="BM310" s="192"/>
      <c r="BN310" s="192"/>
      <c r="BO310" s="192"/>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50" t="s">
        <v>87</v>
      </c>
      <c r="E311" s="88">
        <v>0</v>
      </c>
      <c r="F311" s="27"/>
      <c r="G311" s="212"/>
      <c r="H311" s="70"/>
      <c r="I311" s="70"/>
      <c r="J311" s="70"/>
      <c r="K311" s="70"/>
      <c r="L311" s="70"/>
      <c r="M311" s="70"/>
      <c r="N311" s="70"/>
      <c r="O311" s="70"/>
      <c r="P311" s="70"/>
      <c r="Q311" s="70"/>
      <c r="R311" s="70"/>
      <c r="S311" s="105"/>
      <c r="T311" s="105"/>
      <c r="U311" s="105"/>
      <c r="V311" s="105"/>
      <c r="W311" s="105"/>
      <c r="X311" s="105"/>
      <c r="Y311" s="105"/>
      <c r="Z311" s="105"/>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192"/>
      <c r="BK311" s="192"/>
      <c r="BL311" s="192"/>
      <c r="BM311" s="192"/>
      <c r="BN311" s="192"/>
      <c r="BO311" s="192"/>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51"/>
      <c r="E312" s="88">
        <v>1</v>
      </c>
      <c r="F312" s="27"/>
      <c r="G312" s="213"/>
      <c r="H312" s="70" t="str">
        <f>IF(A18taxstdlife="n/a","n/a",IF(H$3&gt;(A18taxstdlife+$E312),(Input!$G$58-Input!$G$92)-SUM($G312:G312),(Input!$G$58-Input!$G$92)/A18taxstdlife))</f>
        <v>n/a</v>
      </c>
      <c r="I312" s="70" t="str">
        <f>IF(A18taxstdlife="n/a","n/a",IF(I$3&gt;(A18taxstdlife+$E312),(Input!$G$58-Input!$G$92)-SUM($G312:H312),(Input!$G$58-Input!$G$92)/A18taxstdlife))</f>
        <v>n/a</v>
      </c>
      <c r="J312" s="70" t="str">
        <f>IF(A18taxstdlife="n/a","n/a",IF(J$3&gt;(A18taxstdlife+$E312),(Input!$G$58-Input!$G$92)-SUM($G312:I312),(Input!$G$58-Input!$G$92)/A18taxstdlife))</f>
        <v>n/a</v>
      </c>
      <c r="K312" s="70" t="str">
        <f>IF(A18taxstdlife="n/a","n/a",IF(K$3&gt;(A18taxstdlife+$E312),(Input!$G$58-Input!$G$92)-SUM($G312:J312),(Input!$G$58-Input!$G$92)/A18taxstdlife))</f>
        <v>n/a</v>
      </c>
      <c r="L312" s="70" t="str">
        <f>IF(A18taxstdlife="n/a","n/a",IF(L$3&gt;(A18taxstdlife+$E312),(Input!$G$58-Input!$G$92)-SUM($G312:K312),(Input!$G$58-Input!$G$92)/A18taxstdlife))</f>
        <v>n/a</v>
      </c>
      <c r="M312" s="70" t="str">
        <f>IF(A18taxstdlife="n/a","n/a",IF(M$3&gt;(A18taxstdlife+$E312),(Input!$G$58-Input!$G$92)-SUM($G312:L312),(Input!$G$58-Input!$G$92)/A18taxstdlife))</f>
        <v>n/a</v>
      </c>
      <c r="N312" s="70" t="str">
        <f>IF(A18taxstdlife="n/a","n/a",IF(N$3&gt;(A18taxstdlife+$E312),(Input!$G$58-Input!$G$92)-SUM($G312:M312),(Input!$G$58-Input!$G$92)/A18taxstdlife))</f>
        <v>n/a</v>
      </c>
      <c r="O312" s="70" t="str">
        <f>IF(A18taxstdlife="n/a","n/a",IF(O$3&gt;(A18taxstdlife+$E312),(Input!$G$58-Input!$G$92)-SUM($G312:N312),(Input!$G$58-Input!$G$92)/A18taxstdlife))</f>
        <v>n/a</v>
      </c>
      <c r="P312" s="70" t="str">
        <f>IF(A18taxstdlife="n/a","n/a",IF(P$3&gt;(A18taxstdlife+$E312),(Input!$G$58-Input!$G$92)-SUM($G312:O312),(Input!$G$58-Input!$G$92)/A18taxstdlife))</f>
        <v>n/a</v>
      </c>
      <c r="Q312" s="70" t="str">
        <f>IF(A18taxstdlife="n/a","n/a",IF(Q$3&gt;(A18taxstdlife+$E312),(Input!$G$58-Input!$G$92)-SUM($G312:P312),(Input!$G$58-Input!$G$92)/A18taxstdlife))</f>
        <v>n/a</v>
      </c>
      <c r="R312" s="70"/>
      <c r="S312" s="105"/>
      <c r="T312" s="105"/>
      <c r="U312" s="105"/>
      <c r="V312" s="105"/>
      <c r="W312" s="105"/>
      <c r="X312" s="105"/>
      <c r="Y312" s="105"/>
      <c r="Z312" s="105"/>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192"/>
      <c r="BK312" s="192"/>
      <c r="BL312" s="192"/>
      <c r="BM312" s="192"/>
      <c r="BN312" s="192"/>
      <c r="BO312" s="19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51"/>
      <c r="E313" s="88">
        <v>2</v>
      </c>
      <c r="F313" s="27"/>
      <c r="G313" s="214"/>
      <c r="H313" s="152"/>
      <c r="I313" s="70" t="str">
        <f>IF(A18taxstdlife="n/a","n/a",IF(I$3&gt;(A18taxstdlife+$E313),(Input!$H$58-Input!$H$92)-SUM($H313:H313),(Input!$H$58-Input!$H$92)/A18taxstdlife))</f>
        <v>n/a</v>
      </c>
      <c r="J313" s="70" t="str">
        <f>IF(A18taxstdlife="n/a","n/a",IF(J$3&gt;(A18taxstdlife+$E313),(Input!$H$58-Input!$H$92)-SUM($H313:I313),(Input!$H$58-Input!$H$92)/A18taxstdlife))</f>
        <v>n/a</v>
      </c>
      <c r="K313" s="70" t="str">
        <f>IF(A18taxstdlife="n/a","n/a",IF(K$3&gt;(A18taxstdlife+$E313),(Input!$H$58-Input!$H$92)-SUM($H313:J313),(Input!$H$58-Input!$H$92)/A18taxstdlife))</f>
        <v>n/a</v>
      </c>
      <c r="L313" s="70" t="str">
        <f>IF(A18taxstdlife="n/a","n/a",IF(L$3&gt;(A18taxstdlife+$E313),(Input!$H$58-Input!$H$92)-SUM($H313:K313),(Input!$H$58-Input!$H$92)/A18taxstdlife))</f>
        <v>n/a</v>
      </c>
      <c r="M313" s="70" t="str">
        <f>IF(A18taxstdlife="n/a","n/a",IF(M$3&gt;(A18taxstdlife+$E313),(Input!$H$58-Input!$H$92)-SUM($H313:L313),(Input!$H$58-Input!$H$92)/A18taxstdlife))</f>
        <v>n/a</v>
      </c>
      <c r="N313" s="70" t="str">
        <f>IF(A18taxstdlife="n/a","n/a",IF(N$3&gt;(A18taxstdlife+$E313),(Input!$H$58-Input!$H$92)-SUM($H313:M313),(Input!$H$58-Input!$H$92)/A18taxstdlife))</f>
        <v>n/a</v>
      </c>
      <c r="O313" s="70" t="str">
        <f>IF(A18taxstdlife="n/a","n/a",IF(O$3&gt;(A18taxstdlife+$E313),(Input!$H$58-Input!$H$92)-SUM($H313:N313),(Input!$H$58-Input!$H$92)/A18taxstdlife))</f>
        <v>n/a</v>
      </c>
      <c r="P313" s="70" t="str">
        <f>IF(A18taxstdlife="n/a","n/a",IF(P$3&gt;(A18taxstdlife+$E313),(Input!$H$58-Input!$H$92)-SUM($H313:O313),(Input!$H$58-Input!$H$92)/A18taxstdlife))</f>
        <v>n/a</v>
      </c>
      <c r="Q313" s="70" t="str">
        <f>IF(A18taxstdlife="n/a","n/a",IF(Q$3&gt;(A18taxstdlife+$E313),(Input!$H$58-Input!$H$92)-SUM($H313:P313),(Input!$H$58-Input!$H$92)/A18taxstdlife))</f>
        <v>n/a</v>
      </c>
      <c r="R313" s="70"/>
      <c r="S313" s="105"/>
      <c r="T313" s="105"/>
      <c r="U313" s="105"/>
      <c r="V313" s="105"/>
      <c r="W313" s="105"/>
      <c r="X313" s="105"/>
      <c r="Y313" s="105"/>
      <c r="Z313" s="105"/>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192"/>
      <c r="BK313" s="192"/>
      <c r="BL313" s="192"/>
      <c r="BM313" s="192"/>
      <c r="BN313" s="192"/>
      <c r="BO313" s="192"/>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51"/>
      <c r="E314" s="88">
        <v>3</v>
      </c>
      <c r="F314" s="27"/>
      <c r="G314" s="214"/>
      <c r="H314" s="153"/>
      <c r="I314" s="152"/>
      <c r="J314" s="70" t="str">
        <f>IF(A18taxstdlife="n/a","n/a",IF(J$3&gt;(A18taxstdlife+$E314),(Input!$I$58-Input!$I$92)-SUM($I314:I314),(Input!$I$58-Input!$I$92)/A18taxstdlife))</f>
        <v>n/a</v>
      </c>
      <c r="K314" s="70" t="str">
        <f>IF(A18taxstdlife="n/a","n/a",IF(K$3&gt;(A18taxstdlife+$E314),(Input!$I$58-Input!$I$92)-SUM($I314:J314),(Input!$I$58-Input!$I$92)/A18taxstdlife))</f>
        <v>n/a</v>
      </c>
      <c r="L314" s="70" t="str">
        <f>IF(A18taxstdlife="n/a","n/a",IF(L$3&gt;(A18taxstdlife+$E314),(Input!$I$58-Input!$I$92)-SUM($I314:K314),(Input!$I$58-Input!$I$92)/A18taxstdlife))</f>
        <v>n/a</v>
      </c>
      <c r="M314" s="70" t="str">
        <f>IF(A18taxstdlife="n/a","n/a",IF(M$3&gt;(A18taxstdlife+$E314),(Input!$I$58-Input!$I$92)-SUM($I314:L314),(Input!$I$58-Input!$I$92)/A18taxstdlife))</f>
        <v>n/a</v>
      </c>
      <c r="N314" s="70" t="str">
        <f>IF(A18taxstdlife="n/a","n/a",IF(N$3&gt;(A18taxstdlife+$E314),(Input!$I$58-Input!$I$92)-SUM($I314:M314),(Input!$I$58-Input!$I$92)/A18taxstdlife))</f>
        <v>n/a</v>
      </c>
      <c r="O314" s="70" t="str">
        <f>IF(A18taxstdlife="n/a","n/a",IF(O$3&gt;(A18taxstdlife+$E314),(Input!$I$58-Input!$I$92)-SUM($I314:N314),(Input!$I$58-Input!$I$92)/A18taxstdlife))</f>
        <v>n/a</v>
      </c>
      <c r="P314" s="70" t="str">
        <f>IF(A18taxstdlife="n/a","n/a",IF(P$3&gt;(A18taxstdlife+$E314),(Input!$I$58-Input!$I$92)-SUM($I314:O314),(Input!$I$58-Input!$I$92)/A18taxstdlife))</f>
        <v>n/a</v>
      </c>
      <c r="Q314" s="70" t="str">
        <f>IF(A18taxstdlife="n/a","n/a",IF(Q$3&gt;(A18taxstdlife+$E314),(Input!$I$58-Input!$I$92)-SUM($I314:P314),(Input!$I$58-Input!$I$92)/A18taxstdlife))</f>
        <v>n/a</v>
      </c>
      <c r="R314" s="70"/>
      <c r="S314" s="105"/>
      <c r="T314" s="105"/>
      <c r="U314" s="105"/>
      <c r="V314" s="105"/>
      <c r="W314" s="105"/>
      <c r="X314" s="105"/>
      <c r="Y314" s="105"/>
      <c r="Z314" s="105"/>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192"/>
      <c r="BK314" s="192"/>
      <c r="BL314" s="192"/>
      <c r="BM314" s="192"/>
      <c r="BN314" s="192"/>
      <c r="BO314" s="192"/>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51"/>
      <c r="E315" s="88">
        <v>4</v>
      </c>
      <c r="F315" s="27"/>
      <c r="G315" s="214"/>
      <c r="H315" s="153"/>
      <c r="I315" s="153"/>
      <c r="J315" s="152"/>
      <c r="K315" s="70" t="str">
        <f>IF(A18taxstdlife="n/a","n/a",IF(K$3&gt;(A18taxstdlife+$E315),(Input!$J$58-Input!$J$92)-SUM($J315:J315),(Input!$J$58-Input!$J$92)/A18taxstdlife))</f>
        <v>n/a</v>
      </c>
      <c r="L315" s="70" t="str">
        <f>IF(A18taxstdlife="n/a","n/a",IF(L$3&gt;(A18taxstdlife+$E315),(Input!$J$58-Input!$J$92)-SUM($J315:K315),(Input!$J$58-Input!$J$92)/A18taxstdlife))</f>
        <v>n/a</v>
      </c>
      <c r="M315" s="70" t="str">
        <f>IF(A18taxstdlife="n/a","n/a",IF(M$3&gt;(A18taxstdlife+$E315),(Input!$J$58-Input!$J$92)-SUM($J315:L315),(Input!$J$58-Input!$J$92)/A18taxstdlife))</f>
        <v>n/a</v>
      </c>
      <c r="N315" s="70" t="str">
        <f>IF(A18taxstdlife="n/a","n/a",IF(N$3&gt;(A18taxstdlife+$E315),(Input!$J$58-Input!$J$92)-SUM($J315:M315),(Input!$J$58-Input!$J$92)/A18taxstdlife))</f>
        <v>n/a</v>
      </c>
      <c r="O315" s="70" t="str">
        <f>IF(A18taxstdlife="n/a","n/a",IF(O$3&gt;(A18taxstdlife+$E315),(Input!$J$58-Input!$J$92)-SUM($J315:N315),(Input!$J$58-Input!$J$92)/A18taxstdlife))</f>
        <v>n/a</v>
      </c>
      <c r="P315" s="70" t="str">
        <f>IF(A18taxstdlife="n/a","n/a",IF(P$3&gt;(A18taxstdlife+$E315),(Input!$J$58-Input!$J$92)-SUM($J315:O315),(Input!$J$58-Input!$J$92)/A18taxstdlife))</f>
        <v>n/a</v>
      </c>
      <c r="Q315" s="70" t="str">
        <f>IF(A18taxstdlife="n/a","n/a",IF(Q$3&gt;(A18taxstdlife+$E315),(Input!$J$58-Input!$J$92)-SUM($J315:P315),(Input!$J$58-Input!$J$92)/A18taxstdlife))</f>
        <v>n/a</v>
      </c>
      <c r="R315" s="70"/>
      <c r="S315" s="105"/>
      <c r="T315" s="105"/>
      <c r="U315" s="105"/>
      <c r="V315" s="105"/>
      <c r="W315" s="105"/>
      <c r="X315" s="105"/>
      <c r="Y315" s="105"/>
      <c r="Z315" s="105"/>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c r="BG315" s="222"/>
      <c r="BH315" s="222"/>
      <c r="BI315" s="222"/>
      <c r="BJ315" s="192"/>
      <c r="BK315" s="192"/>
      <c r="BL315" s="192"/>
      <c r="BM315" s="192"/>
      <c r="BN315" s="192"/>
      <c r="BO315" s="192"/>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51"/>
      <c r="E316" s="88">
        <v>5</v>
      </c>
      <c r="F316" s="27"/>
      <c r="G316" s="214"/>
      <c r="H316" s="153"/>
      <c r="I316" s="153"/>
      <c r="J316" s="153"/>
      <c r="K316" s="152"/>
      <c r="L316" s="70" t="str">
        <f>IF(A18taxstdlife="n/a","n/a",IF(L$3&gt;(A18taxstdlife+$E316),(Input!$K$58-Input!$K$92)-SUM($K316:K316),(Input!$K$58-Input!$K$92)/A18taxstdlife))</f>
        <v>n/a</v>
      </c>
      <c r="M316" s="70" t="str">
        <f>IF(A18taxstdlife="n/a","n/a",IF(M$3&gt;(A18taxstdlife+$E316),(Input!$K$58-Input!$K$92)-SUM($K316:L316),(Input!$K$58-Input!$K$92)/A18taxstdlife))</f>
        <v>n/a</v>
      </c>
      <c r="N316" s="70" t="str">
        <f>IF(A18taxstdlife="n/a","n/a",IF(N$3&gt;(A18taxstdlife+$E316),(Input!$K$58-Input!$K$92)-SUM($K316:M316),(Input!$K$58-Input!$K$92)/A18taxstdlife))</f>
        <v>n/a</v>
      </c>
      <c r="O316" s="70" t="str">
        <f>IF(A18taxstdlife="n/a","n/a",IF(O$3&gt;(A18taxstdlife+$E316),(Input!$K$58-Input!$K$92)-SUM($K316:N316),(Input!$K$58-Input!$K$92)/A18taxstdlife))</f>
        <v>n/a</v>
      </c>
      <c r="P316" s="70" t="str">
        <f>IF(A18taxstdlife="n/a","n/a",IF(P$3&gt;(A18taxstdlife+$E316),(Input!$K$58-Input!$K$92)-SUM($K316:O316),(Input!$K$58-Input!$K$92)/A18taxstdlife))</f>
        <v>n/a</v>
      </c>
      <c r="Q316" s="70" t="str">
        <f>IF(A18taxstdlife="n/a","n/a",IF(Q$3&gt;(A18taxstdlife+$E316),(Input!$K$58-Input!$K$92)-SUM($K316:P316),(Input!$K$58-Input!$K$92)/A18taxstdlife))</f>
        <v>n/a</v>
      </c>
      <c r="R316" s="70"/>
      <c r="S316" s="105"/>
      <c r="T316" s="105"/>
      <c r="U316" s="105"/>
      <c r="V316" s="105"/>
      <c r="W316" s="105"/>
      <c r="X316" s="105"/>
      <c r="Y316" s="105"/>
      <c r="Z316" s="105"/>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192"/>
      <c r="BK316" s="192"/>
      <c r="BL316" s="192"/>
      <c r="BM316" s="192"/>
      <c r="BN316" s="192"/>
      <c r="BO316" s="192"/>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51"/>
      <c r="E317" s="88">
        <v>6</v>
      </c>
      <c r="F317" s="27"/>
      <c r="G317" s="214"/>
      <c r="H317" s="153"/>
      <c r="I317" s="153"/>
      <c r="J317" s="153"/>
      <c r="K317" s="153"/>
      <c r="L317" s="152"/>
      <c r="M317" s="70" t="str">
        <f>IF(A18taxstdlife="n/a","n/a",IF(M$3&gt;(A18taxstdlife+$E317),(Input!$L$58-Input!$L$92)-SUM($L317:L317),(Input!$L$58-Input!$L$92)/A18taxstdlife))</f>
        <v>n/a</v>
      </c>
      <c r="N317" s="70" t="str">
        <f>IF(A18taxstdlife="n/a","n/a",IF(N$3&gt;(A18taxstdlife+$E317),(Input!$L$58-Input!$L$92)-SUM($L317:M317),(Input!$L$58-Input!$L$92)/A18taxstdlife))</f>
        <v>n/a</v>
      </c>
      <c r="O317" s="70" t="str">
        <f>IF(A18taxstdlife="n/a","n/a",IF(O$3&gt;(A18taxstdlife+$E317),(Input!$L$58-Input!$L$92)-SUM($L317:N317),(Input!$L$58-Input!$L$92)/A18taxstdlife))</f>
        <v>n/a</v>
      </c>
      <c r="P317" s="70" t="str">
        <f>IF(A18taxstdlife="n/a","n/a",IF(P$3&gt;(A18taxstdlife+$E317),(Input!$L$58-Input!$L$92)-SUM($L317:O317),(Input!$L$58-Input!$L$92)/A18taxstdlife))</f>
        <v>n/a</v>
      </c>
      <c r="Q317" s="70" t="str">
        <f>IF(A18taxstdlife="n/a","n/a",IF(Q$3&gt;(A18taxstdlife+$E317),(Input!$L$58-Input!$L$92)-SUM($L317:P317),(Input!$L$58-Input!$L$92)/A18taxstdlife))</f>
        <v>n/a</v>
      </c>
      <c r="R317" s="70"/>
      <c r="S317" s="105"/>
      <c r="T317" s="105"/>
      <c r="U317" s="105"/>
      <c r="V317" s="105"/>
      <c r="W317" s="105"/>
      <c r="X317" s="105"/>
      <c r="Y317" s="105"/>
      <c r="Z317" s="105"/>
      <c r="AA317" s="222"/>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222"/>
      <c r="BE317" s="222"/>
      <c r="BF317" s="222"/>
      <c r="BG317" s="222"/>
      <c r="BH317" s="222"/>
      <c r="BI317" s="222"/>
      <c r="BJ317" s="192"/>
      <c r="BK317" s="192"/>
      <c r="BL317" s="192"/>
      <c r="BM317" s="192"/>
      <c r="BN317" s="192"/>
      <c r="BO317" s="192"/>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51"/>
      <c r="E318" s="88">
        <v>7</v>
      </c>
      <c r="F318" s="27"/>
      <c r="G318" s="214"/>
      <c r="H318" s="153"/>
      <c r="I318" s="153"/>
      <c r="J318" s="153"/>
      <c r="K318" s="153"/>
      <c r="L318" s="153"/>
      <c r="M318" s="152"/>
      <c r="N318" s="70" t="str">
        <f>IF(A18taxstdlife="n/a","n/a",IF(N$3&gt;(A18taxstdlife+$E318),(Input!$M$58-Input!$M$92)-SUM($M318:M318),(Input!$M$58-Input!$M$92)/A18taxstdlife))</f>
        <v>n/a</v>
      </c>
      <c r="O318" s="70" t="str">
        <f>IF(A18taxstdlife="n/a","n/a",IF(O$3&gt;(A18taxstdlife+$E318),(Input!$M$58-Input!$M$92)-SUM($M318:N318),(Input!$M$58-Input!$M$92)/A18taxstdlife))</f>
        <v>n/a</v>
      </c>
      <c r="P318" s="70" t="str">
        <f>IF(A18taxstdlife="n/a","n/a",IF(P$3&gt;(A18taxstdlife+$E318),(Input!$M$58-Input!$M$92)-SUM($M318:O318),(Input!$M$58-Input!$M$92)/A18taxstdlife))</f>
        <v>n/a</v>
      </c>
      <c r="Q318" s="70" t="str">
        <f>IF(A18taxstdlife="n/a","n/a",IF(Q$3&gt;(A18taxstdlife+$E318),(Input!$M$58-Input!$M$92)-SUM($M318:P318),(Input!$M$58-Input!$M$92)/A18taxstdlife))</f>
        <v>n/a</v>
      </c>
      <c r="R318" s="70"/>
      <c r="S318" s="105"/>
      <c r="T318" s="105"/>
      <c r="U318" s="105"/>
      <c r="V318" s="105"/>
      <c r="W318" s="105"/>
      <c r="X318" s="105"/>
      <c r="Y318" s="105"/>
      <c r="Z318" s="105"/>
      <c r="AA318" s="222"/>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222"/>
      <c r="BE318" s="222"/>
      <c r="BF318" s="222"/>
      <c r="BG318" s="222"/>
      <c r="BH318" s="222"/>
      <c r="BI318" s="222"/>
      <c r="BJ318" s="192"/>
      <c r="BK318" s="192"/>
      <c r="BL318" s="192"/>
      <c r="BM318" s="192"/>
      <c r="BN318" s="192"/>
      <c r="BO318" s="192"/>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51"/>
      <c r="E319" s="88">
        <v>8</v>
      </c>
      <c r="F319" s="27"/>
      <c r="G319" s="214"/>
      <c r="H319" s="153"/>
      <c r="I319" s="153"/>
      <c r="J319" s="153"/>
      <c r="K319" s="153"/>
      <c r="L319" s="153"/>
      <c r="M319" s="153"/>
      <c r="N319" s="152"/>
      <c r="O319" s="70" t="str">
        <f>IF(A18taxstdlife="n/a","n/a",IF(O$3&gt;(A18taxstdlife+$E319),(Input!$N$58-Input!$N$92)-SUM($N319:N319),(Input!$N$58-Input!$N$92)/A18taxstdlife))</f>
        <v>n/a</v>
      </c>
      <c r="P319" s="70" t="str">
        <f>IF(A18taxstdlife="n/a","n/a",IF(P$3&gt;(A18taxstdlife+$E319),(Input!$N$58-Input!$N$92)-SUM($N319:O319),(Input!$N$58-Input!$N$92)/A18taxstdlife))</f>
        <v>n/a</v>
      </c>
      <c r="Q319" s="70" t="str">
        <f>IF(A18taxstdlife="n/a","n/a",IF(Q$3&gt;(A18taxstdlife+$E319),(Input!$N$58-Input!$N$92)-SUM($N319:P319),(Input!$N$58-Input!$N$92)/A18taxstdlife))</f>
        <v>n/a</v>
      </c>
      <c r="R319" s="70"/>
      <c r="S319" s="105"/>
      <c r="T319" s="105"/>
      <c r="U319" s="105"/>
      <c r="V319" s="105"/>
      <c r="W319" s="105"/>
      <c r="X319" s="105"/>
      <c r="Y319" s="105"/>
      <c r="Z319" s="105"/>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192"/>
      <c r="BK319" s="192"/>
      <c r="BL319" s="192"/>
      <c r="BM319" s="192"/>
      <c r="BN319" s="192"/>
      <c r="BO319" s="192"/>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51"/>
      <c r="E320" s="88">
        <v>9</v>
      </c>
      <c r="F320" s="27"/>
      <c r="G320" s="214"/>
      <c r="H320" s="153"/>
      <c r="I320" s="153"/>
      <c r="J320" s="153"/>
      <c r="K320" s="153"/>
      <c r="L320" s="153"/>
      <c r="M320" s="153"/>
      <c r="N320" s="153"/>
      <c r="O320" s="152"/>
      <c r="P320" s="70" t="str">
        <f>IF(A18taxstdlife="n/a","n/a",IF(P$3&gt;(A18taxstdlife+$E320),(Input!$O$58-Input!$O$92)-SUM($O320:O320),(Input!$O$58-Input!$O$92)/A18taxstdlife))</f>
        <v>n/a</v>
      </c>
      <c r="Q320" s="70" t="str">
        <f>IF(A18taxstdlife="n/a","n/a",IF(Q$3&gt;(A18taxstdlife+$E320),(Input!$O$58-Input!$O$92)-SUM($O320:P320),(Input!$O$58-Input!$O$92)/A18taxstdlife))</f>
        <v>n/a</v>
      </c>
      <c r="R320" s="70"/>
      <c r="S320" s="105"/>
      <c r="T320" s="105"/>
      <c r="U320" s="105"/>
      <c r="V320" s="105"/>
      <c r="W320" s="105"/>
      <c r="X320" s="105"/>
      <c r="Y320" s="105"/>
      <c r="Z320" s="105"/>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192"/>
      <c r="BK320" s="192"/>
      <c r="BL320" s="192"/>
      <c r="BM320" s="192"/>
      <c r="BN320" s="192"/>
      <c r="BO320" s="192"/>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51"/>
      <c r="E321" s="88">
        <v>10</v>
      </c>
      <c r="F321" s="27"/>
      <c r="G321" s="214"/>
      <c r="H321" s="153"/>
      <c r="I321" s="153"/>
      <c r="J321" s="153"/>
      <c r="K321" s="153"/>
      <c r="L321" s="153"/>
      <c r="M321" s="153"/>
      <c r="N321" s="153"/>
      <c r="O321" s="153"/>
      <c r="P321" s="152"/>
      <c r="Q321" s="70" t="str">
        <f>IF(A18taxstdlife="n/a","n/a",IF(Q$3&gt;(A18taxstdlife+$E321),(Input!$P$58-Input!$P$92)-SUM($P321:P321),(Input!$P$58-Input!$P$92)/A18taxstdlife))</f>
        <v>n/a</v>
      </c>
      <c r="R321" s="70"/>
      <c r="S321" s="105"/>
      <c r="T321" s="105"/>
      <c r="U321" s="105"/>
      <c r="V321" s="105"/>
      <c r="W321" s="105"/>
      <c r="X321" s="105"/>
      <c r="Y321" s="105"/>
      <c r="Z321" s="105"/>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192"/>
      <c r="BK321" s="192"/>
      <c r="BL321" s="192"/>
      <c r="BM321" s="192"/>
      <c r="BN321" s="192"/>
      <c r="BO321" s="192"/>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51"/>
      <c r="E322" s="89">
        <v>11</v>
      </c>
      <c r="F322" s="27"/>
      <c r="G322" s="214"/>
      <c r="H322" s="153"/>
      <c r="I322" s="153"/>
      <c r="J322" s="153"/>
      <c r="K322" s="153"/>
      <c r="L322" s="153"/>
      <c r="M322" s="153"/>
      <c r="N322" s="153"/>
      <c r="O322" s="153"/>
      <c r="P322" s="194"/>
      <c r="Q322" s="152"/>
      <c r="R322" s="70"/>
      <c r="S322" s="105"/>
      <c r="T322" s="105"/>
      <c r="U322" s="105"/>
      <c r="V322" s="105"/>
      <c r="W322" s="105"/>
      <c r="X322" s="105"/>
      <c r="Y322" s="105"/>
      <c r="Z322" s="105"/>
      <c r="AA322" s="222"/>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222"/>
      <c r="BE322" s="222"/>
      <c r="BF322" s="222"/>
      <c r="BG322" s="222"/>
      <c r="BH322" s="222"/>
      <c r="BI322" s="222"/>
      <c r="BJ322" s="192"/>
      <c r="BK322" s="192"/>
      <c r="BL322" s="192"/>
      <c r="BM322" s="192"/>
      <c r="BN322" s="192"/>
      <c r="BO322" s="19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t="str">
        <f>Asset18</f>
        <v>Land &amp; Easements (System)</v>
      </c>
      <c r="D323" s="9"/>
      <c r="E323" s="9"/>
      <c r="F323" s="23"/>
      <c r="G323" s="215">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3"/>
      <c r="BJ323" s="192"/>
      <c r="BK323" s="192"/>
      <c r="BL323" s="192"/>
      <c r="BM323" s="192"/>
      <c r="BN323" s="192"/>
      <c r="BO323" s="192"/>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3" t="str">
        <f>Asset19</f>
        <v>Metering Type 5-6</v>
      </c>
      <c r="C324" s="33"/>
      <c r="D324" s="34" t="s">
        <v>69</v>
      </c>
      <c r="E324" s="33"/>
      <c r="F324" s="35"/>
      <c r="G324" s="211" t="str">
        <f>IF(G$3&gt;A19taxremlife,A19taxvalue-SUM($F324:F324),IF(A19taxremlife="N/A","n/a",A19taxvalue/A19taxremlife))</f>
        <v>n/a</v>
      </c>
      <c r="H324" s="69" t="str">
        <f>IF(H$3&gt;A19taxremlife,A19taxvalue-SUM($F324:G324),IF(A19taxremlife="N/A","n/a",A19taxvalue/A19taxremlife))</f>
        <v>n/a</v>
      </c>
      <c r="I324" s="69" t="str">
        <f>IF(I$3&gt;A19taxremlife,A19taxvalue-SUM($F324:H324),IF(A19taxremlife="N/A","n/a",A19taxvalue/A19taxremlife))</f>
        <v>n/a</v>
      </c>
      <c r="J324" s="69" t="str">
        <f>IF(J$3&gt;A19taxremlife,A19taxvalue-SUM($F324:I324),IF(A19taxremlife="N/A","n/a",A19taxvalue/A19taxremlife))</f>
        <v>n/a</v>
      </c>
      <c r="K324" s="69" t="str">
        <f>IF(K$3&gt;A19taxremlife,A19taxvalue-SUM($F324:J324),IF(A19taxremlife="N/A","n/a",A19taxvalue/A19taxremlife))</f>
        <v>n/a</v>
      </c>
      <c r="L324" s="69" t="str">
        <f>IF(L$3&gt;A19taxremlife,A19taxvalue-SUM($F324:K324),IF(A19taxremlife="N/A","n/a",A19taxvalue/A19taxremlife))</f>
        <v>n/a</v>
      </c>
      <c r="M324" s="69" t="str">
        <f>IF(M$3&gt;A19taxremlife,A19taxvalue-SUM($F324:L324),IF(A19taxremlife="N/A","n/a",A19taxvalue/A19taxremlife))</f>
        <v>n/a</v>
      </c>
      <c r="N324" s="69" t="str">
        <f>IF(N$3&gt;A19taxremlife,A19taxvalue-SUM($F324:M324),IF(A19taxremlife="N/A","n/a",A19taxvalue/A19taxremlife))</f>
        <v>n/a</v>
      </c>
      <c r="O324" s="69" t="str">
        <f>IF(O$3&gt;A19taxremlife,A19taxvalue-SUM($F324:N324),IF(A19taxremlife="N/A","n/a",A19taxvalue/A19taxremlife))</f>
        <v>n/a</v>
      </c>
      <c r="P324" s="69" t="str">
        <f>IF(P$3&gt;A19taxremlife,A19taxvalue-SUM($F324:O324),IF(A19taxremlife="N/A","n/a",A19taxvalue/A19taxremlife))</f>
        <v>n/a</v>
      </c>
      <c r="Q324" s="69" t="str">
        <f>IF(Q$3&gt;A19taxremlife,A19taxvalue-SUM($F324:P324),IF(A19taxremlife="N/A","n/a",A19taxvalue/A19taxremlife))</f>
        <v>n/a</v>
      </c>
      <c r="R324" s="69"/>
      <c r="S324" s="105"/>
      <c r="T324" s="105"/>
      <c r="U324" s="105"/>
      <c r="V324" s="105"/>
      <c r="W324" s="105"/>
      <c r="X324" s="105"/>
      <c r="Y324" s="105"/>
      <c r="Z324" s="105"/>
      <c r="AA324" s="222"/>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222"/>
      <c r="BE324" s="222"/>
      <c r="BF324" s="222"/>
      <c r="BG324" s="222"/>
      <c r="BH324" s="222"/>
      <c r="BI324" s="222"/>
      <c r="BJ324" s="192"/>
      <c r="BK324" s="192"/>
      <c r="BL324" s="192"/>
      <c r="BM324" s="192"/>
      <c r="BN324" s="192"/>
      <c r="BO324" s="192"/>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50" t="s">
        <v>87</v>
      </c>
      <c r="E325" s="88">
        <v>0</v>
      </c>
      <c r="F325" s="27"/>
      <c r="G325" s="212"/>
      <c r="H325" s="70"/>
      <c r="I325" s="70"/>
      <c r="J325" s="70"/>
      <c r="K325" s="70"/>
      <c r="L325" s="70"/>
      <c r="M325" s="70"/>
      <c r="N325" s="70"/>
      <c r="O325" s="70"/>
      <c r="P325" s="70"/>
      <c r="Q325" s="70"/>
      <c r="R325" s="70"/>
      <c r="S325" s="105"/>
      <c r="T325" s="105"/>
      <c r="U325" s="105"/>
      <c r="V325" s="105"/>
      <c r="W325" s="105"/>
      <c r="X325" s="105"/>
      <c r="Y325" s="105"/>
      <c r="Z325" s="105"/>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c r="BG325" s="222"/>
      <c r="BH325" s="222"/>
      <c r="BI325" s="222"/>
      <c r="BJ325" s="192"/>
      <c r="BK325" s="192"/>
      <c r="BL325" s="192"/>
      <c r="BM325" s="192"/>
      <c r="BN325" s="192"/>
      <c r="BO325" s="192"/>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51"/>
      <c r="E326" s="88">
        <v>1</v>
      </c>
      <c r="F326" s="27"/>
      <c r="G326" s="213"/>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192"/>
      <c r="BK326" s="192"/>
      <c r="BL326" s="192"/>
      <c r="BM326" s="192"/>
      <c r="BN326" s="192"/>
      <c r="BO326" s="192"/>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51"/>
      <c r="E327" s="88">
        <v>2</v>
      </c>
      <c r="F327" s="27"/>
      <c r="G327" s="214"/>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2"/>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222"/>
      <c r="BE327" s="222"/>
      <c r="BF327" s="222"/>
      <c r="BG327" s="222"/>
      <c r="BH327" s="222"/>
      <c r="BI327" s="222"/>
      <c r="BJ327" s="192"/>
      <c r="BK327" s="192"/>
      <c r="BL327" s="192"/>
      <c r="BM327" s="192"/>
      <c r="BN327" s="192"/>
      <c r="BO327" s="192"/>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51"/>
      <c r="E328" s="88">
        <v>3</v>
      </c>
      <c r="F328" s="27"/>
      <c r="G328" s="214"/>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2"/>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222"/>
      <c r="BE328" s="222"/>
      <c r="BF328" s="222"/>
      <c r="BG328" s="222"/>
      <c r="BH328" s="222"/>
      <c r="BI328" s="222"/>
      <c r="BJ328" s="192"/>
      <c r="BK328" s="192"/>
      <c r="BL328" s="192"/>
      <c r="BM328" s="192"/>
      <c r="BN328" s="192"/>
      <c r="BO328" s="192"/>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51"/>
      <c r="E329" s="88">
        <v>4</v>
      </c>
      <c r="F329" s="27"/>
      <c r="G329" s="214"/>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2"/>
      <c r="AB329" s="222"/>
      <c r="AC329" s="222"/>
      <c r="AD329" s="222"/>
      <c r="AE329" s="222"/>
      <c r="AF329" s="222"/>
      <c r="AG329" s="222"/>
      <c r="AH329" s="222"/>
      <c r="AI329" s="222"/>
      <c r="AJ329" s="222"/>
      <c r="AK329" s="222"/>
      <c r="AL329" s="222"/>
      <c r="AM329" s="222"/>
      <c r="AN329" s="222"/>
      <c r="AO329" s="222"/>
      <c r="AP329" s="222"/>
      <c r="AQ329" s="222"/>
      <c r="AR329" s="222"/>
      <c r="AS329" s="222"/>
      <c r="AT329" s="222"/>
      <c r="AU329" s="222"/>
      <c r="AV329" s="222"/>
      <c r="AW329" s="222"/>
      <c r="AX329" s="222"/>
      <c r="AY329" s="222"/>
      <c r="AZ329" s="222"/>
      <c r="BA329" s="222"/>
      <c r="BB329" s="222"/>
      <c r="BC329" s="222"/>
      <c r="BD329" s="222"/>
      <c r="BE329" s="222"/>
      <c r="BF329" s="222"/>
      <c r="BG329" s="222"/>
      <c r="BH329" s="222"/>
      <c r="BI329" s="222"/>
      <c r="BJ329" s="192"/>
      <c r="BK329" s="192"/>
      <c r="BL329" s="192"/>
      <c r="BM329" s="192"/>
      <c r="BN329" s="192"/>
      <c r="BO329" s="192"/>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51"/>
      <c r="E330" s="88">
        <v>5</v>
      </c>
      <c r="F330" s="27"/>
      <c r="G330" s="214"/>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2"/>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222"/>
      <c r="BE330" s="222"/>
      <c r="BF330" s="222"/>
      <c r="BG330" s="222"/>
      <c r="BH330" s="222"/>
      <c r="BI330" s="222"/>
      <c r="BJ330" s="192"/>
      <c r="BK330" s="192"/>
      <c r="BL330" s="192"/>
      <c r="BM330" s="192"/>
      <c r="BN330" s="192"/>
      <c r="BO330" s="192"/>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51"/>
      <c r="E331" s="88">
        <v>6</v>
      </c>
      <c r="F331" s="27"/>
      <c r="G331" s="214"/>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192"/>
      <c r="BK331" s="192"/>
      <c r="BL331" s="192"/>
      <c r="BM331" s="192"/>
      <c r="BN331" s="192"/>
      <c r="BO331" s="192"/>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51"/>
      <c r="E332" s="88">
        <v>7</v>
      </c>
      <c r="F332" s="27"/>
      <c r="G332" s="214"/>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192"/>
      <c r="BK332" s="192"/>
      <c r="BL332" s="192"/>
      <c r="BM332" s="192"/>
      <c r="BN332" s="192"/>
      <c r="BO332" s="19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51"/>
      <c r="E333" s="88">
        <v>8</v>
      </c>
      <c r="F333" s="27"/>
      <c r="G333" s="214"/>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192"/>
      <c r="BK333" s="192"/>
      <c r="BL333" s="192"/>
      <c r="BM333" s="192"/>
      <c r="BN333" s="192"/>
      <c r="BO333" s="192"/>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51"/>
      <c r="E334" s="88">
        <v>9</v>
      </c>
      <c r="F334" s="27"/>
      <c r="G334" s="214"/>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192"/>
      <c r="BK334" s="192"/>
      <c r="BL334" s="192"/>
      <c r="BM334" s="192"/>
      <c r="BN334" s="192"/>
      <c r="BO334" s="192"/>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51"/>
      <c r="E335" s="88">
        <v>10</v>
      </c>
      <c r="F335" s="27"/>
      <c r="G335" s="214"/>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192"/>
      <c r="BK335" s="192"/>
      <c r="BL335" s="192"/>
      <c r="BM335" s="192"/>
      <c r="BN335" s="192"/>
      <c r="BO335" s="192"/>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51"/>
      <c r="E336" s="89">
        <v>11</v>
      </c>
      <c r="F336" s="27"/>
      <c r="G336" s="214"/>
      <c r="H336" s="153"/>
      <c r="I336" s="153"/>
      <c r="J336" s="153"/>
      <c r="K336" s="153"/>
      <c r="L336" s="153"/>
      <c r="M336" s="153"/>
      <c r="N336" s="153"/>
      <c r="O336" s="153"/>
      <c r="P336" s="194"/>
      <c r="Q336" s="152"/>
      <c r="R336" s="70"/>
      <c r="S336" s="105"/>
      <c r="T336" s="105"/>
      <c r="U336" s="105"/>
      <c r="V336" s="105"/>
      <c r="W336" s="105"/>
      <c r="X336" s="105"/>
      <c r="Y336" s="105"/>
      <c r="Z336" s="105"/>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192"/>
      <c r="BK336" s="192"/>
      <c r="BL336" s="192"/>
      <c r="BM336" s="192"/>
      <c r="BN336" s="192"/>
      <c r="BO336" s="192"/>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t="str">
        <f>Asset19</f>
        <v>Metering Type 5-6</v>
      </c>
      <c r="D337" s="9"/>
      <c r="E337" s="9"/>
      <c r="F337" s="23"/>
      <c r="G337" s="215">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192"/>
      <c r="BK337" s="192"/>
      <c r="BL337" s="192"/>
      <c r="BM337" s="192"/>
      <c r="BN337" s="192"/>
      <c r="BO337" s="192"/>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3" t="str">
        <f>Asset20</f>
        <v>Communications</v>
      </c>
      <c r="C338" s="33"/>
      <c r="D338" s="34" t="s">
        <v>69</v>
      </c>
      <c r="E338" s="33"/>
      <c r="F338" s="35"/>
      <c r="G338" s="211">
        <f>IF(G$3&gt;A20taxremlife,A20taxvalue-SUM($F338:F338),IF(A20taxremlife="N/A","n/a",A20taxvalue/A20taxremlife))</f>
        <v>0.65980015003750936</v>
      </c>
      <c r="H338" s="69">
        <f>IF(H$3&gt;A20taxremlife,A20taxvalue-SUM($F338:G338),IF(A20taxremlife="N/A","n/a",A20taxvalue/A20taxremlife))</f>
        <v>0.65980015003750936</v>
      </c>
      <c r="I338" s="69">
        <f>IF(I$3&gt;A20taxremlife,A20taxvalue-SUM($F338:H338),IF(A20taxremlife="N/A","n/a",A20taxvalue/A20taxremlife))</f>
        <v>0.65980015003750936</v>
      </c>
      <c r="J338" s="69">
        <f>IF(J$3&gt;A20taxremlife,A20taxvalue-SUM($F338:I338),IF(A20taxremlife="N/A","n/a",A20taxvalue/A20taxremlife))</f>
        <v>0.65980015003750936</v>
      </c>
      <c r="K338" s="69">
        <f>IF(K$3&gt;A20taxremlife,A20taxvalue-SUM($F338:J338),IF(A20taxremlife="N/A","n/a",A20taxvalue/A20taxremlife))</f>
        <v>0.65980015003750936</v>
      </c>
      <c r="L338" s="69">
        <f>IF(L$3&gt;A20taxremlife,A20taxvalue-SUM($F338:K338),IF(A20taxremlife="N/A","n/a",A20taxvalue/A20taxremlife))</f>
        <v>0.65980015003750936</v>
      </c>
      <c r="M338" s="69">
        <f>IF(M$3&gt;A20taxremlife,A20taxvalue-SUM($F338:L338),IF(A20taxremlife="N/A","n/a",A20taxvalue/A20taxremlife))</f>
        <v>0.65980015003750936</v>
      </c>
      <c r="N338" s="69">
        <f>IF(N$3&gt;A20taxremlife,A20taxvalue-SUM($F338:M338),IF(A20taxremlife="N/A","n/a",A20taxvalue/A20taxremlife))</f>
        <v>0.65980015003750936</v>
      </c>
      <c r="O338" s="69">
        <f>IF(O$3&gt;A20taxremlife,A20taxvalue-SUM($F338:N338),IF(A20taxremlife="N/A","n/a",A20taxvalue/A20taxremlife))</f>
        <v>9.7598799699925465E-2</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192"/>
      <c r="BK338" s="192"/>
      <c r="BL338" s="192"/>
      <c r="BM338" s="192"/>
      <c r="BN338" s="192"/>
      <c r="BO338" s="192"/>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50" t="s">
        <v>87</v>
      </c>
      <c r="E339" s="88">
        <v>0</v>
      </c>
      <c r="F339" s="27"/>
      <c r="G339" s="212"/>
      <c r="H339" s="70"/>
      <c r="I339" s="70"/>
      <c r="J339" s="70"/>
      <c r="K339" s="70"/>
      <c r="L339" s="70"/>
      <c r="M339" s="70"/>
      <c r="N339" s="70"/>
      <c r="O339" s="70"/>
      <c r="P339" s="70"/>
      <c r="Q339" s="70"/>
      <c r="R339" s="70"/>
      <c r="S339" s="105"/>
      <c r="T339" s="105"/>
      <c r="U339" s="105"/>
      <c r="V339" s="105"/>
      <c r="W339" s="105"/>
      <c r="X339" s="105"/>
      <c r="Y339" s="105"/>
      <c r="Z339" s="105"/>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192"/>
      <c r="BK339" s="192"/>
      <c r="BL339" s="192"/>
      <c r="BM339" s="192"/>
      <c r="BN339" s="192"/>
      <c r="BO339" s="192"/>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51"/>
      <c r="E340" s="88">
        <v>1</v>
      </c>
      <c r="F340" s="27"/>
      <c r="G340" s="213"/>
      <c r="H340" s="70">
        <f>IF(A20taxstdlife="n/a","n/a",IF(H$3&gt;(A20taxstdlife+$E340),(Input!$G$60-Input!$G$94)-SUM($G340:G340),(Input!$G$60-Input!$G$94)/A20taxstdlife))</f>
        <v>4.2815399999999997E-2</v>
      </c>
      <c r="I340" s="70">
        <f>IF(A20taxstdlife="n/a","n/a",IF(I$3&gt;(A20taxstdlife+$E340),(Input!$G$60-Input!$G$94)-SUM($G340:H340),(Input!$G$60-Input!$G$94)/A20taxstdlife))</f>
        <v>4.2815399999999997E-2</v>
      </c>
      <c r="J340" s="70">
        <f>IF(A20taxstdlife="n/a","n/a",IF(J$3&gt;(A20taxstdlife+$E340),(Input!$G$60-Input!$G$94)-SUM($G340:I340),(Input!$G$60-Input!$G$94)/A20taxstdlife))</f>
        <v>4.2815399999999997E-2</v>
      </c>
      <c r="K340" s="70">
        <f>IF(A20taxstdlife="n/a","n/a",IF(K$3&gt;(A20taxstdlife+$E340),(Input!$G$60-Input!$G$94)-SUM($G340:J340),(Input!$G$60-Input!$G$94)/A20taxstdlife))</f>
        <v>4.2815399999999997E-2</v>
      </c>
      <c r="L340" s="70">
        <f>IF(A20taxstdlife="n/a","n/a",IF(L$3&gt;(A20taxstdlife+$E340),(Input!$G$60-Input!$G$94)-SUM($G340:K340),(Input!$G$60-Input!$G$94)/A20taxstdlife))</f>
        <v>4.2815399999999997E-2</v>
      </c>
      <c r="M340" s="70">
        <f>IF(A20taxstdlife="n/a","n/a",IF(M$3&gt;(A20taxstdlife+$E340),(Input!$G$60-Input!$G$94)-SUM($G340:L340),(Input!$G$60-Input!$G$94)/A20taxstdlife))</f>
        <v>4.2815399999999997E-2</v>
      </c>
      <c r="N340" s="70">
        <f>IF(A20taxstdlife="n/a","n/a",IF(N$3&gt;(A20taxstdlife+$E340),(Input!$G$60-Input!$G$94)-SUM($G340:M340),(Input!$G$60-Input!$G$94)/A20taxstdlife))</f>
        <v>4.2815399999999997E-2</v>
      </c>
      <c r="O340" s="70">
        <f>IF(A20taxstdlife="n/a","n/a",IF(O$3&gt;(A20taxstdlife+$E340),(Input!$G$60-Input!$G$94)-SUM($G340:N340),(Input!$G$60-Input!$G$94)/A20taxstdlife))</f>
        <v>4.2815399999999997E-2</v>
      </c>
      <c r="P340" s="70">
        <f>IF(A20taxstdlife="n/a","n/a",IF(P$3&gt;(A20taxstdlife+$E340),(Input!$G$60-Input!$G$94)-SUM($G340:O340),(Input!$G$60-Input!$G$94)/A20taxstdlife))</f>
        <v>4.2815399999999997E-2</v>
      </c>
      <c r="Q340" s="70">
        <f>IF(A20taxstdlife="n/a","n/a",IF(Q$3&gt;(A20taxstdlife+$E340),(Input!$G$60-Input!$G$94)-SUM($G340:P340),(Input!$G$60-Input!$G$94)/A20taxstdlife))</f>
        <v>4.2815399999999997E-2</v>
      </c>
      <c r="R340" s="70"/>
      <c r="S340" s="105"/>
      <c r="T340" s="105"/>
      <c r="U340" s="105"/>
      <c r="V340" s="105"/>
      <c r="W340" s="105"/>
      <c r="X340" s="105"/>
      <c r="Y340" s="105"/>
      <c r="Z340" s="105"/>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192"/>
      <c r="BK340" s="192"/>
      <c r="BL340" s="192"/>
      <c r="BM340" s="192"/>
      <c r="BN340" s="192"/>
      <c r="BO340" s="192"/>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51"/>
      <c r="E341" s="88">
        <v>2</v>
      </c>
      <c r="F341" s="27"/>
      <c r="G341" s="214"/>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192"/>
      <c r="BK341" s="192"/>
      <c r="BL341" s="192"/>
      <c r="BM341" s="192"/>
      <c r="BN341" s="192"/>
      <c r="BO341" s="192"/>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51"/>
      <c r="E342" s="88">
        <v>3</v>
      </c>
      <c r="F342" s="27"/>
      <c r="G342" s="214"/>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4"/>
      <c r="BK342" s="192"/>
      <c r="BL342" s="192"/>
      <c r="BM342" s="192"/>
      <c r="BN342" s="192"/>
      <c r="BO342" s="19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51"/>
      <c r="E343" s="88">
        <v>4</v>
      </c>
      <c r="F343" s="27"/>
      <c r="G343" s="214"/>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192"/>
      <c r="BK343" s="192"/>
      <c r="BL343" s="192"/>
      <c r="BM343" s="192"/>
      <c r="BN343" s="192"/>
      <c r="BO343" s="192"/>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51"/>
      <c r="E344" s="88">
        <v>5</v>
      </c>
      <c r="F344" s="27"/>
      <c r="G344" s="214"/>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192"/>
      <c r="BK344" s="192"/>
      <c r="BL344" s="192"/>
      <c r="BM344" s="192"/>
      <c r="BN344" s="192"/>
      <c r="BO344" s="192"/>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51"/>
      <c r="E345" s="88">
        <v>6</v>
      </c>
      <c r="F345" s="27"/>
      <c r="G345" s="214"/>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192"/>
      <c r="BK345" s="192"/>
      <c r="BL345" s="192"/>
      <c r="BM345" s="192"/>
      <c r="BN345" s="192"/>
      <c r="BO345" s="192"/>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51"/>
      <c r="E346" s="88">
        <v>7</v>
      </c>
      <c r="F346" s="27"/>
      <c r="G346" s="214"/>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192"/>
      <c r="BK346" s="192"/>
      <c r="BL346" s="192"/>
      <c r="BM346" s="192"/>
      <c r="BN346" s="192"/>
      <c r="BO346" s="192"/>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51"/>
      <c r="E347" s="88">
        <v>8</v>
      </c>
      <c r="F347" s="27"/>
      <c r="G347" s="214"/>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192"/>
      <c r="BK347" s="192"/>
      <c r="BL347" s="192"/>
      <c r="BM347" s="192"/>
      <c r="BN347" s="192"/>
      <c r="BO347" s="192"/>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51"/>
      <c r="E348" s="88">
        <v>9</v>
      </c>
      <c r="F348" s="27"/>
      <c r="G348" s="214"/>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192"/>
      <c r="BK348" s="192"/>
      <c r="BL348" s="192"/>
      <c r="BM348" s="192"/>
      <c r="BN348" s="192"/>
      <c r="BO348" s="192"/>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51"/>
      <c r="E349" s="88">
        <v>10</v>
      </c>
      <c r="F349" s="27"/>
      <c r="G349" s="214"/>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192"/>
      <c r="BK349" s="192"/>
      <c r="BL349" s="192"/>
      <c r="BM349" s="192"/>
      <c r="BN349" s="192"/>
      <c r="BO349" s="192"/>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51"/>
      <c r="E350" s="89">
        <v>11</v>
      </c>
      <c r="F350" s="27"/>
      <c r="G350" s="214"/>
      <c r="H350" s="153"/>
      <c r="I350" s="153"/>
      <c r="J350" s="153"/>
      <c r="K350" s="153"/>
      <c r="L350" s="153"/>
      <c r="M350" s="153"/>
      <c r="N350" s="153"/>
      <c r="O350" s="153"/>
      <c r="P350" s="194"/>
      <c r="Q350" s="152"/>
      <c r="R350" s="70"/>
      <c r="S350" s="105"/>
      <c r="T350" s="105"/>
      <c r="U350" s="105"/>
      <c r="V350" s="105"/>
      <c r="W350" s="105"/>
      <c r="X350" s="105"/>
      <c r="Y350" s="105"/>
      <c r="Z350" s="105"/>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192"/>
      <c r="BK350" s="192"/>
      <c r="BL350" s="192"/>
      <c r="BM350" s="192"/>
      <c r="BN350" s="192"/>
      <c r="BO350" s="192"/>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t="str">
        <f>Asset20</f>
        <v>Communications</v>
      </c>
      <c r="D351" s="9"/>
      <c r="E351" s="9"/>
      <c r="F351" s="23"/>
      <c r="G351" s="215">
        <f t="shared" ref="G351:L351" si="53">-SUM(G338:G350)</f>
        <v>-0.65980015003750936</v>
      </c>
      <c r="H351" s="169">
        <f t="shared" si="53"/>
        <v>-0.70261555003750931</v>
      </c>
      <c r="I351" s="169">
        <f t="shared" si="53"/>
        <v>-0.70261555003750931</v>
      </c>
      <c r="J351" s="169">
        <f t="shared" si="53"/>
        <v>-0.70261555003750931</v>
      </c>
      <c r="K351" s="169">
        <f t="shared" si="53"/>
        <v>-0.70261555003750931</v>
      </c>
      <c r="L351" s="169">
        <f t="shared" si="53"/>
        <v>-0.70261555003750931</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192"/>
      <c r="BK351" s="192"/>
      <c r="BL351" s="192"/>
      <c r="BM351" s="192"/>
      <c r="BN351" s="192"/>
      <c r="BO351" s="192"/>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3" t="str">
        <f>Asset21</f>
        <v>IT Systems</v>
      </c>
      <c r="C352" s="33"/>
      <c r="D352" s="34" t="s">
        <v>69</v>
      </c>
      <c r="E352" s="33"/>
      <c r="F352" s="35"/>
      <c r="G352" s="211">
        <f>IF(G$3&gt;A21taxremlife,A21taxvalue-SUM($F352:F352),IF(A21taxremlife="N/A","n/a",A21taxvalue/A21taxremlife))</f>
        <v>6.2150094615487266</v>
      </c>
      <c r="H352" s="69">
        <f>IF(H$3&gt;A21taxremlife,A21taxvalue-SUM($F352:G352),IF(A21taxremlife="N/A","n/a",A21taxvalue/A21taxremlife))</f>
        <v>6.2150094615487266</v>
      </c>
      <c r="I352" s="69">
        <f>IF(I$3&gt;A21taxremlife,A21taxvalue-SUM($F352:H352),IF(A21taxremlife="N/A","n/a",A21taxvalue/A21taxremlife))</f>
        <v>6.2150094615487266</v>
      </c>
      <c r="J352" s="69">
        <f>IF(J$3&gt;A21taxremlife,A21taxvalue-SUM($F352:I352),IF(A21taxremlife="N/A","n/a",A21taxvalue/A21taxremlife))</f>
        <v>1.7227216153538194</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192"/>
      <c r="BK352" s="192"/>
      <c r="BL352" s="192"/>
      <c r="BM352" s="192"/>
      <c r="BN352" s="192"/>
      <c r="BO352" s="19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50" t="s">
        <v>87</v>
      </c>
      <c r="E353" s="88">
        <v>0</v>
      </c>
      <c r="F353" s="27"/>
      <c r="G353" s="212"/>
      <c r="H353" s="70"/>
      <c r="I353" s="70"/>
      <c r="J353" s="70"/>
      <c r="K353" s="70"/>
      <c r="L353" s="70"/>
      <c r="M353" s="70"/>
      <c r="N353" s="70"/>
      <c r="O353" s="70"/>
      <c r="P353" s="70"/>
      <c r="Q353" s="70"/>
      <c r="R353" s="70"/>
      <c r="S353" s="105"/>
      <c r="T353" s="105"/>
      <c r="U353" s="105"/>
      <c r="V353" s="105"/>
      <c r="W353" s="105"/>
      <c r="X353" s="105"/>
      <c r="Y353" s="105"/>
      <c r="Z353" s="105"/>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192"/>
      <c r="BK353" s="192"/>
      <c r="BL353" s="192"/>
      <c r="BM353" s="192"/>
      <c r="BN353" s="192"/>
      <c r="BO353" s="192"/>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51"/>
      <c r="E354" s="88">
        <v>1</v>
      </c>
      <c r="F354" s="27"/>
      <c r="G354" s="213"/>
      <c r="H354" s="70">
        <f>IF(A21taxstdlife="n/a","n/a",IF(H$3&gt;(A21taxstdlife+$E354),(Input!$G$61-Input!$G$95)-SUM($G354:G354),(Input!$G$61-Input!$G$95)/A21taxstdlife))</f>
        <v>12.348670500000001</v>
      </c>
      <c r="I354" s="70">
        <f>IF(A21taxstdlife="n/a","n/a",IF(I$3&gt;(A21taxstdlife+$E354),(Input!$G$61-Input!$G$95)-SUM($G354:H354),(Input!$G$61-Input!$G$95)/A21taxstdlife))</f>
        <v>12.348670500000001</v>
      </c>
      <c r="J354" s="70">
        <f>IF(A21taxstdlife="n/a","n/a",IF(J$3&gt;(A21taxstdlife+$E354),(Input!$G$61-Input!$G$95)-SUM($G354:I354),(Input!$G$61-Input!$G$95)/A21taxstdlife))</f>
        <v>12.348670500000001</v>
      </c>
      <c r="K354" s="70">
        <f>IF(A21taxstdlife="n/a","n/a",IF(K$3&gt;(A21taxstdlife+$E354),(Input!$G$61-Input!$G$95)-SUM($G354:J354),(Input!$G$61-Input!$G$95)/A21taxstdlife))</f>
        <v>12.348670500000001</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192"/>
      <c r="BK354" s="192"/>
      <c r="BL354" s="192"/>
      <c r="BM354" s="192"/>
      <c r="BN354" s="192"/>
      <c r="BO354" s="192"/>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51"/>
      <c r="E355" s="88">
        <v>2</v>
      </c>
      <c r="F355" s="27"/>
      <c r="G355" s="214"/>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192"/>
      <c r="BK355" s="192"/>
      <c r="BL355" s="192"/>
      <c r="BM355" s="192"/>
      <c r="BN355" s="192"/>
      <c r="BO355" s="192"/>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51"/>
      <c r="E356" s="88">
        <v>3</v>
      </c>
      <c r="F356" s="27"/>
      <c r="G356" s="214"/>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4"/>
      <c r="BK356" s="192"/>
      <c r="BL356" s="192"/>
      <c r="BM356" s="192"/>
      <c r="BN356" s="192"/>
      <c r="BO356" s="192"/>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51"/>
      <c r="E357" s="88">
        <v>4</v>
      </c>
      <c r="F357" s="27"/>
      <c r="G357" s="214"/>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192"/>
      <c r="BK357" s="192"/>
      <c r="BL357" s="192"/>
      <c r="BM357" s="192"/>
      <c r="BN357" s="192"/>
      <c r="BO357" s="192"/>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51"/>
      <c r="E358" s="88">
        <v>5</v>
      </c>
      <c r="F358" s="27"/>
      <c r="G358" s="214"/>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192"/>
      <c r="BK358" s="192"/>
      <c r="BL358" s="192"/>
      <c r="BM358" s="192"/>
      <c r="BN358" s="192"/>
      <c r="BO358" s="192"/>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51"/>
      <c r="E359" s="88">
        <v>6</v>
      </c>
      <c r="F359" s="27"/>
      <c r="G359" s="214"/>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192"/>
      <c r="BK359" s="192"/>
      <c r="BL359" s="192"/>
      <c r="BM359" s="192"/>
      <c r="BN359" s="192"/>
      <c r="BO359" s="192"/>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51"/>
      <c r="E360" s="88">
        <v>7</v>
      </c>
      <c r="F360" s="27"/>
      <c r="G360" s="214"/>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192"/>
      <c r="BK360" s="192"/>
      <c r="BL360" s="192"/>
      <c r="BM360" s="192"/>
      <c r="BN360" s="192"/>
      <c r="BO360" s="192"/>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51"/>
      <c r="E361" s="88">
        <v>8</v>
      </c>
      <c r="F361" s="27"/>
      <c r="G361" s="214"/>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192"/>
      <c r="BK361" s="192"/>
      <c r="BL361" s="192"/>
      <c r="BM361" s="192"/>
      <c r="BN361" s="192"/>
      <c r="BO361" s="192"/>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51"/>
      <c r="E362" s="88">
        <v>9</v>
      </c>
      <c r="F362" s="27"/>
      <c r="G362" s="214"/>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192"/>
      <c r="BK362" s="192"/>
      <c r="BL362" s="192"/>
      <c r="BM362" s="192"/>
      <c r="BN362" s="192"/>
      <c r="BO362" s="19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51"/>
      <c r="E363" s="88">
        <v>10</v>
      </c>
      <c r="F363" s="27"/>
      <c r="G363" s="214"/>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192"/>
      <c r="BK363" s="192"/>
      <c r="BL363" s="192"/>
      <c r="BM363" s="192"/>
      <c r="BN363" s="192"/>
      <c r="BO363" s="192"/>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51"/>
      <c r="E364" s="89">
        <v>11</v>
      </c>
      <c r="F364" s="27"/>
      <c r="G364" s="214"/>
      <c r="H364" s="153"/>
      <c r="I364" s="153"/>
      <c r="J364" s="153"/>
      <c r="K364" s="153"/>
      <c r="L364" s="153"/>
      <c r="M364" s="153"/>
      <c r="N364" s="153"/>
      <c r="O364" s="153"/>
      <c r="P364" s="194"/>
      <c r="Q364" s="152"/>
      <c r="R364" s="70"/>
      <c r="S364" s="105"/>
      <c r="T364" s="105"/>
      <c r="U364" s="105"/>
      <c r="V364" s="105"/>
      <c r="W364" s="105"/>
      <c r="X364" s="105"/>
      <c r="Y364" s="105"/>
      <c r="Z364" s="105"/>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192"/>
      <c r="BK364" s="192"/>
      <c r="BL364" s="192"/>
      <c r="BM364" s="192"/>
      <c r="BN364" s="192"/>
      <c r="BO364" s="192"/>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t="str">
        <f>Asset21</f>
        <v>IT Systems</v>
      </c>
      <c r="D365" s="9"/>
      <c r="E365" s="9"/>
      <c r="F365" s="23"/>
      <c r="G365" s="215">
        <f t="shared" ref="G365:L365" si="54">-SUM(G352:G364)</f>
        <v>-6.2150094615487266</v>
      </c>
      <c r="H365" s="169">
        <f t="shared" si="54"/>
        <v>-18.563679961548729</v>
      </c>
      <c r="I365" s="169">
        <f t="shared" si="54"/>
        <v>-18.563679961548729</v>
      </c>
      <c r="J365" s="169">
        <f t="shared" si="54"/>
        <v>-14.07139211535382</v>
      </c>
      <c r="K365" s="169">
        <f t="shared" si="54"/>
        <v>-12.348670500000001</v>
      </c>
      <c r="L365" s="169">
        <f t="shared" si="54"/>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192"/>
      <c r="BK365" s="192"/>
      <c r="BL365" s="192"/>
      <c r="BM365" s="192"/>
      <c r="BN365" s="192"/>
      <c r="BO365" s="192"/>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3" t="str">
        <f>Asset22</f>
        <v>Office Equipment &amp; Furniture</v>
      </c>
      <c r="C366" s="33"/>
      <c r="D366" s="34" t="s">
        <v>69</v>
      </c>
      <c r="E366" s="33"/>
      <c r="F366" s="35"/>
      <c r="G366" s="211">
        <f>IF(G$3&gt;A22taxremlife,A22taxvalue-SUM($F366:F366),IF(A22taxremlife="N/A","n/a",A22taxvalue/A22taxremlife))</f>
        <v>0.86771345204189099</v>
      </c>
      <c r="H366" s="69">
        <f>IF(H$3&gt;A22taxremlife,A22taxvalue-SUM($F366:G366),IF(A22taxremlife="N/A","n/a",A22taxvalue/A22taxremlife))</f>
        <v>0.86771345204189099</v>
      </c>
      <c r="I366" s="69">
        <f>IF(I$3&gt;A22taxremlife,A22taxvalue-SUM($F366:H366),IF(A22taxremlife="N/A","n/a",A22taxvalue/A22taxremlife))</f>
        <v>0.86771345204189099</v>
      </c>
      <c r="J366" s="69">
        <f>IF(J$3&gt;A22taxremlife,A22taxvalue-SUM($F366:I366),IF(A22taxremlife="N/A","n/a",A22taxvalue/A22taxremlife))</f>
        <v>0.86771345204189099</v>
      </c>
      <c r="K366" s="69">
        <f>IF(K$3&gt;A22taxremlife,A22taxvalue-SUM($F366:J366),IF(A22taxremlife="N/A","n/a",A22taxvalue/A22taxremlife))</f>
        <v>0.86771345204189099</v>
      </c>
      <c r="L366" s="69">
        <f>IF(L$3&gt;A22taxremlife,A22taxvalue-SUM($F366:K366),IF(A22taxremlife="N/A","n/a",A22taxvalue/A22taxremlife))</f>
        <v>0.86771345204189099</v>
      </c>
      <c r="M366" s="69">
        <f>IF(M$3&gt;A22taxremlife,A22taxvalue-SUM($F366:L366),IF(A22taxremlife="N/A","n/a",A22taxvalue/A22taxremlife))</f>
        <v>0.86771345204189099</v>
      </c>
      <c r="N366" s="69">
        <f>IF(N$3&gt;A22taxremlife,A22taxvalue-SUM($F366:M366),IF(A22taxremlife="N/A","n/a",A22taxvalue/A22taxremlife))</f>
        <v>0.86771345204189099</v>
      </c>
      <c r="O366" s="69">
        <f>IF(O$3&gt;A22taxremlife,A22taxvalue-SUM($F366:N366),IF(A22taxremlife="N/A","n/a",A22taxvalue/A22taxremlife))</f>
        <v>0.78519238366487087</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192"/>
      <c r="BK366" s="192"/>
      <c r="BL366" s="192"/>
      <c r="BM366" s="192"/>
      <c r="BN366" s="192"/>
      <c r="BO366" s="192"/>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50" t="s">
        <v>87</v>
      </c>
      <c r="E367" s="88">
        <v>0</v>
      </c>
      <c r="F367" s="27"/>
      <c r="G367" s="212"/>
      <c r="H367" s="70"/>
      <c r="I367" s="70"/>
      <c r="J367" s="70"/>
      <c r="K367" s="70"/>
      <c r="L367" s="70"/>
      <c r="M367" s="70"/>
      <c r="N367" s="70"/>
      <c r="O367" s="70"/>
      <c r="P367" s="70"/>
      <c r="Q367" s="70"/>
      <c r="R367" s="70"/>
      <c r="S367" s="105"/>
      <c r="T367" s="105"/>
      <c r="U367" s="105"/>
      <c r="V367" s="105"/>
      <c r="W367" s="105"/>
      <c r="X367" s="105"/>
      <c r="Y367" s="105"/>
      <c r="Z367" s="105"/>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192"/>
      <c r="BK367" s="192"/>
      <c r="BL367" s="192"/>
      <c r="BM367" s="192"/>
      <c r="BN367" s="192"/>
      <c r="BO367" s="192"/>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51"/>
      <c r="E368" s="88">
        <v>1</v>
      </c>
      <c r="F368" s="27"/>
      <c r="G368" s="213"/>
      <c r="H368" s="70">
        <f>IF(A22taxstdlife="n/a","n/a",IF(H$3&gt;(A22taxstdlife+$E368),(Input!$G$62-Input!$G$96)-SUM($G368:G368),(Input!$G$62-Input!$G$96)/A22taxstdlife))</f>
        <v>0.15353080000000002</v>
      </c>
      <c r="I368" s="70">
        <f>IF(A22taxstdlife="n/a","n/a",IF(I$3&gt;(A22taxstdlife+$E368),(Input!$G$62-Input!$G$96)-SUM($G368:H368),(Input!$G$62-Input!$G$96)/A22taxstdlife))</f>
        <v>0.15353080000000002</v>
      </c>
      <c r="J368" s="70">
        <f>IF(A22taxstdlife="n/a","n/a",IF(J$3&gt;(A22taxstdlife+$E368),(Input!$G$62-Input!$G$96)-SUM($G368:I368),(Input!$G$62-Input!$G$96)/A22taxstdlife))</f>
        <v>0.15353080000000002</v>
      </c>
      <c r="K368" s="70">
        <f>IF(A22taxstdlife="n/a","n/a",IF(K$3&gt;(A22taxstdlife+$E368),(Input!$G$62-Input!$G$96)-SUM($G368:J368),(Input!$G$62-Input!$G$96)/A22taxstdlife))</f>
        <v>0.15353080000000002</v>
      </c>
      <c r="L368" s="70">
        <f>IF(A22taxstdlife="n/a","n/a",IF(L$3&gt;(A22taxstdlife+$E368),(Input!$G$62-Input!$G$96)-SUM($G368:K368),(Input!$G$62-Input!$G$96)/A22taxstdlife))</f>
        <v>0.15353080000000002</v>
      </c>
      <c r="M368" s="70">
        <f>IF(A22taxstdlife="n/a","n/a",IF(M$3&gt;(A22taxstdlife+$E368),(Input!$G$62-Input!$G$96)-SUM($G368:L368),(Input!$G$62-Input!$G$96)/A22taxstdlife))</f>
        <v>0.15353080000000002</v>
      </c>
      <c r="N368" s="70">
        <f>IF(A22taxstdlife="n/a","n/a",IF(N$3&gt;(A22taxstdlife+$E368),(Input!$G$62-Input!$G$96)-SUM($G368:M368),(Input!$G$62-Input!$G$96)/A22taxstdlife))</f>
        <v>0.15353080000000002</v>
      </c>
      <c r="O368" s="70">
        <f>IF(A22taxstdlife="n/a","n/a",IF(O$3&gt;(A22taxstdlife+$E368),(Input!$G$62-Input!$G$96)-SUM($G368:N368),(Input!$G$62-Input!$G$96)/A22taxstdlife))</f>
        <v>0.15353080000000002</v>
      </c>
      <c r="P368" s="70">
        <f>IF(A22taxstdlife="n/a","n/a",IF(P$3&gt;(A22taxstdlife+$E368),(Input!$G$62-Input!$G$96)-SUM($G368:O368),(Input!$G$62-Input!$G$96)/A22taxstdlife))</f>
        <v>0.15353080000000002</v>
      </c>
      <c r="Q368" s="70">
        <f>IF(A22taxstdlife="n/a","n/a",IF(Q$3&gt;(A22taxstdlife+$E368),(Input!$G$62-Input!$G$96)-SUM($G368:P368),(Input!$G$62-Input!$G$96)/A22taxstdlife))</f>
        <v>0.15353080000000002</v>
      </c>
      <c r="R368" s="70"/>
      <c r="S368" s="105"/>
      <c r="T368" s="105"/>
      <c r="U368" s="105"/>
      <c r="V368" s="105"/>
      <c r="W368" s="105"/>
      <c r="X368" s="105"/>
      <c r="Y368" s="105"/>
      <c r="Z368" s="105"/>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192"/>
      <c r="BK368" s="192"/>
      <c r="BL368" s="192"/>
      <c r="BM368" s="192"/>
      <c r="BN368" s="192"/>
      <c r="BO368" s="192"/>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51"/>
      <c r="E369" s="88">
        <v>2</v>
      </c>
      <c r="F369" s="27"/>
      <c r="G369" s="214"/>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192"/>
      <c r="BK369" s="192"/>
      <c r="BL369" s="192"/>
      <c r="BM369" s="192"/>
      <c r="BN369" s="192"/>
      <c r="BO369" s="192"/>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51"/>
      <c r="E370" s="88">
        <v>3</v>
      </c>
      <c r="F370" s="27"/>
      <c r="G370" s="214"/>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4"/>
      <c r="BK370" s="192"/>
      <c r="BL370" s="192"/>
      <c r="BM370" s="192"/>
      <c r="BN370" s="192"/>
      <c r="BO370" s="192"/>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51"/>
      <c r="E371" s="88">
        <v>4</v>
      </c>
      <c r="F371" s="27"/>
      <c r="G371" s="214"/>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192"/>
      <c r="BK371" s="192"/>
      <c r="BL371" s="192"/>
      <c r="BM371" s="192"/>
      <c r="BN371" s="192"/>
      <c r="BO371" s="192"/>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51"/>
      <c r="E372" s="88">
        <v>5</v>
      </c>
      <c r="F372" s="27"/>
      <c r="G372" s="214"/>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192"/>
      <c r="BK372" s="192"/>
      <c r="BL372" s="192"/>
      <c r="BM372" s="192"/>
      <c r="BN372" s="192"/>
      <c r="BO372" s="19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51"/>
      <c r="E373" s="88">
        <v>6</v>
      </c>
      <c r="F373" s="27"/>
      <c r="G373" s="214"/>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192"/>
      <c r="BK373" s="192"/>
      <c r="BL373" s="192"/>
      <c r="BM373" s="192"/>
      <c r="BN373" s="192"/>
      <c r="BO373" s="192"/>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51"/>
      <c r="E374" s="88">
        <v>7</v>
      </c>
      <c r="F374" s="27"/>
      <c r="G374" s="214"/>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192"/>
      <c r="BK374" s="192"/>
      <c r="BL374" s="192"/>
      <c r="BM374" s="192"/>
      <c r="BN374" s="192"/>
      <c r="BO374" s="192"/>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51"/>
      <c r="E375" s="88">
        <v>8</v>
      </c>
      <c r="F375" s="27"/>
      <c r="G375" s="214"/>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192"/>
      <c r="BK375" s="192"/>
      <c r="BL375" s="192"/>
      <c r="BM375" s="192"/>
      <c r="BN375" s="192"/>
      <c r="BO375" s="192"/>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51"/>
      <c r="E376" s="88">
        <v>9</v>
      </c>
      <c r="F376" s="27"/>
      <c r="G376" s="214"/>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192"/>
      <c r="BK376" s="192"/>
      <c r="BL376" s="192"/>
      <c r="BM376" s="192"/>
      <c r="BN376" s="192"/>
      <c r="BO376" s="192"/>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51"/>
      <c r="E377" s="88">
        <v>10</v>
      </c>
      <c r="F377" s="27"/>
      <c r="G377" s="214"/>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192"/>
      <c r="BK377" s="192"/>
      <c r="BL377" s="192"/>
      <c r="BM377" s="192"/>
      <c r="BN377" s="192"/>
      <c r="BO377" s="192"/>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51"/>
      <c r="E378" s="89">
        <v>11</v>
      </c>
      <c r="F378" s="27"/>
      <c r="G378" s="214"/>
      <c r="H378" s="153"/>
      <c r="I378" s="153"/>
      <c r="J378" s="153"/>
      <c r="K378" s="153"/>
      <c r="L378" s="153"/>
      <c r="M378" s="153"/>
      <c r="N378" s="153"/>
      <c r="O378" s="153"/>
      <c r="P378" s="194"/>
      <c r="Q378" s="152"/>
      <c r="R378" s="70"/>
      <c r="S378" s="105"/>
      <c r="T378" s="105"/>
      <c r="U378" s="105"/>
      <c r="V378" s="105"/>
      <c r="W378" s="105"/>
      <c r="X378" s="105"/>
      <c r="Y378" s="105"/>
      <c r="Z378" s="105"/>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192"/>
      <c r="BK378" s="192"/>
      <c r="BL378" s="192"/>
      <c r="BM378" s="192"/>
      <c r="BN378" s="192"/>
      <c r="BO378" s="192"/>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t="str">
        <f>Asset22</f>
        <v>Office Equipment &amp; Furniture</v>
      </c>
      <c r="D379" s="9"/>
      <c r="E379" s="9"/>
      <c r="F379" s="23"/>
      <c r="G379" s="215">
        <f t="shared" ref="G379:L379" si="55">-SUM(G366:G378)</f>
        <v>-0.86771345204189099</v>
      </c>
      <c r="H379" s="169">
        <f t="shared" si="55"/>
        <v>-1.021244252041891</v>
      </c>
      <c r="I379" s="169">
        <f t="shared" si="55"/>
        <v>-1.021244252041891</v>
      </c>
      <c r="J379" s="169">
        <f t="shared" si="55"/>
        <v>-1.021244252041891</v>
      </c>
      <c r="K379" s="169">
        <f t="shared" si="55"/>
        <v>-1.021244252041891</v>
      </c>
      <c r="L379" s="169">
        <f t="shared" si="55"/>
        <v>-1.021244252041891</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192"/>
      <c r="BK379" s="192"/>
      <c r="BL379" s="192"/>
      <c r="BM379" s="192"/>
      <c r="BN379" s="192"/>
      <c r="BO379" s="192"/>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3" t="str">
        <f>Asset23</f>
        <v>Motor Vehicles</v>
      </c>
      <c r="C380" s="33"/>
      <c r="D380" s="34" t="s">
        <v>69</v>
      </c>
      <c r="E380" s="33"/>
      <c r="F380" s="35"/>
      <c r="G380" s="211">
        <f>IF(G$3&gt;A23taxremlife,A23taxvalue-SUM($F380:F380),IF(A23taxremlife="N/A","n/a",A23taxvalue/A23taxremlife))</f>
        <v>6.6819424828021159</v>
      </c>
      <c r="H380" s="69">
        <f>IF(H$3&gt;A23taxremlife,A23taxvalue-SUM($F380:G380),IF(A23taxremlife="N/A","n/a",A23taxvalue/A23taxremlife))</f>
        <v>6.6819424828021159</v>
      </c>
      <c r="I380" s="69">
        <f>IF(I$3&gt;A23taxremlife,A23taxvalue-SUM($F380:H380),IF(A23taxremlife="N/A","n/a",A23taxvalue/A23taxremlife))</f>
        <v>6.6819424828021159</v>
      </c>
      <c r="J380" s="69">
        <f>IF(J$3&gt;A23taxremlife,A23taxvalue-SUM($F380:I380),IF(A23taxremlife="N/A","n/a",A23taxvalue/A23taxremlife))</f>
        <v>6.6819424828021159</v>
      </c>
      <c r="K380" s="69">
        <f>IF(K$3&gt;A23taxremlife,A23taxvalue-SUM($F380:J380),IF(A23taxremlife="N/A","n/a",A23taxvalue/A23taxremlife))</f>
        <v>6.6819424828021159</v>
      </c>
      <c r="L380" s="69">
        <f>IF(L$3&gt;A23taxremlife,A23taxvalue-SUM($F380:K380),IF(A23taxremlife="N/A","n/a",A23taxvalue/A23taxremlife))</f>
        <v>6.6819424828021159</v>
      </c>
      <c r="M380" s="69">
        <f>IF(M$3&gt;A23taxremlife,A23taxvalue-SUM($F380:L380),IF(A23taxremlife="N/A","n/a",A23taxvalue/A23taxremlife))</f>
        <v>6.6819424828021159</v>
      </c>
      <c r="N380" s="69">
        <f>IF(N$3&gt;A23taxremlife,A23taxvalue-SUM($F380:M380),IF(A23taxremlife="N/A","n/a",A23taxvalue/A23taxremlife))</f>
        <v>6.6819424828021159</v>
      </c>
      <c r="O380" s="69">
        <f>IF(O$3&gt;A23taxremlife,A23taxvalue-SUM($F380:N380),IF(A23taxremlife="N/A","n/a",A23taxvalue/A23taxremlife))</f>
        <v>6.6819424828021159</v>
      </c>
      <c r="P380" s="69">
        <f>IF(P$3&gt;A23taxremlife,A23taxvalue-SUM($F380:O380),IF(A23taxremlife="N/A","n/a",A23taxvalue/A23taxremlife))</f>
        <v>6.6819424828021159</v>
      </c>
      <c r="Q380" s="69">
        <f>IF(Q$3&gt;A23taxremlife,A23taxvalue-SUM($F380:P380),IF(A23taxremlife="N/A","n/a",A23taxvalue/A23taxremlife))</f>
        <v>6.6819424828021159</v>
      </c>
      <c r="R380" s="69"/>
      <c r="S380" s="105"/>
      <c r="T380" s="105"/>
      <c r="U380" s="105"/>
      <c r="V380" s="105"/>
      <c r="W380" s="105"/>
      <c r="X380" s="105"/>
      <c r="Y380" s="105"/>
      <c r="Z380" s="105"/>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192"/>
      <c r="BK380" s="192"/>
      <c r="BL380" s="192"/>
      <c r="BM380" s="192"/>
      <c r="BN380" s="192"/>
      <c r="BO380" s="192"/>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50" t="s">
        <v>87</v>
      </c>
      <c r="E381" s="88">
        <v>0</v>
      </c>
      <c r="F381" s="27"/>
      <c r="G381" s="212"/>
      <c r="H381" s="70"/>
      <c r="I381" s="70"/>
      <c r="J381" s="70"/>
      <c r="K381" s="70"/>
      <c r="L381" s="70"/>
      <c r="M381" s="70"/>
      <c r="N381" s="70"/>
      <c r="O381" s="70"/>
      <c r="P381" s="70"/>
      <c r="Q381" s="70"/>
      <c r="R381" s="70"/>
      <c r="S381" s="105"/>
      <c r="T381" s="105"/>
      <c r="U381" s="105"/>
      <c r="V381" s="105"/>
      <c r="W381" s="105"/>
      <c r="X381" s="105"/>
      <c r="Y381" s="105"/>
      <c r="Z381" s="105"/>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192"/>
      <c r="BK381" s="192"/>
      <c r="BL381" s="192"/>
      <c r="BM381" s="192"/>
      <c r="BN381" s="192"/>
      <c r="BO381" s="192"/>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51"/>
      <c r="E382" s="88">
        <v>1</v>
      </c>
      <c r="F382" s="27"/>
      <c r="G382" s="213"/>
      <c r="H382" s="70">
        <f>IF(A23taxstdlife="n/a","n/a",IF(H$3&gt;(A23taxstdlife+$E382),(Input!$G$63-Input!$G$97)-SUM($G382:G382),(Input!$G$63-Input!$G$97)/A23taxstdlife))</f>
        <v>1.1138545185185185</v>
      </c>
      <c r="I382" s="70">
        <f>IF(A23taxstdlife="n/a","n/a",IF(I$3&gt;(A23taxstdlife+$E382),(Input!$G$63-Input!$G$97)-SUM($G382:H382),(Input!$G$63-Input!$G$97)/A23taxstdlife))</f>
        <v>1.1138545185185185</v>
      </c>
      <c r="J382" s="70">
        <f>IF(A23taxstdlife="n/a","n/a",IF(J$3&gt;(A23taxstdlife+$E382),(Input!$G$63-Input!$G$97)-SUM($G382:I382),(Input!$G$63-Input!$G$97)/A23taxstdlife))</f>
        <v>1.1138545185185185</v>
      </c>
      <c r="K382" s="70">
        <f>IF(A23taxstdlife="n/a","n/a",IF(K$3&gt;(A23taxstdlife+$E382),(Input!$G$63-Input!$G$97)-SUM($G382:J382),(Input!$G$63-Input!$G$97)/A23taxstdlife))</f>
        <v>1.1138545185185185</v>
      </c>
      <c r="L382" s="70">
        <f>IF(A23taxstdlife="n/a","n/a",IF(L$3&gt;(A23taxstdlife+$E382),(Input!$G$63-Input!$G$97)-SUM($G382:K382),(Input!$G$63-Input!$G$97)/A23taxstdlife))</f>
        <v>1.1138545185185185</v>
      </c>
      <c r="M382" s="70">
        <f>IF(A23taxstdlife="n/a","n/a",IF(M$3&gt;(A23taxstdlife+$E382),(Input!$G$63-Input!$G$97)-SUM($G382:L382),(Input!$G$63-Input!$G$97)/A23taxstdlife))</f>
        <v>1.1138545185185185</v>
      </c>
      <c r="N382" s="70">
        <f>IF(A23taxstdlife="n/a","n/a",IF(N$3&gt;(A23taxstdlife+$E382),(Input!$G$63-Input!$G$97)-SUM($G382:M382),(Input!$G$63-Input!$G$97)/A23taxstdlife))</f>
        <v>1.1138545185185185</v>
      </c>
      <c r="O382" s="70">
        <f>IF(A23taxstdlife="n/a","n/a",IF(O$3&gt;(A23taxstdlife+$E382),(Input!$G$63-Input!$G$97)-SUM($G382:N382),(Input!$G$63-Input!$G$97)/A23taxstdlife))</f>
        <v>1.1138545185185185</v>
      </c>
      <c r="P382" s="70">
        <f>IF(A23taxstdlife="n/a","n/a",IF(P$3&gt;(A23taxstdlife+$E382),(Input!$G$63-Input!$G$97)-SUM($G382:O382),(Input!$G$63-Input!$G$97)/A23taxstdlife))</f>
        <v>1.1138545185185185</v>
      </c>
      <c r="Q382" s="70">
        <f>IF(A23taxstdlife="n/a","n/a",IF(Q$3&gt;(A23taxstdlife+$E382),(Input!$G$63-Input!$G$97)-SUM($G382:P382),(Input!$G$63-Input!$G$97)/A23taxstdlife))</f>
        <v>1.1138545185185185</v>
      </c>
      <c r="R382" s="70"/>
      <c r="S382" s="105"/>
      <c r="T382" s="105"/>
      <c r="U382" s="105"/>
      <c r="V382" s="105"/>
      <c r="W382" s="105"/>
      <c r="X382" s="105"/>
      <c r="Y382" s="105"/>
      <c r="Z382" s="105"/>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192"/>
      <c r="BK382" s="192"/>
      <c r="BL382" s="192"/>
      <c r="BM382" s="192"/>
      <c r="BN382" s="192"/>
      <c r="BO382" s="19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51"/>
      <c r="E383" s="88">
        <v>2</v>
      </c>
      <c r="F383" s="27"/>
      <c r="G383" s="214"/>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192"/>
      <c r="BK383" s="192"/>
      <c r="BL383" s="192"/>
      <c r="BM383" s="192"/>
      <c r="BN383" s="192"/>
      <c r="BO383" s="192"/>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51"/>
      <c r="E384" s="88">
        <v>3</v>
      </c>
      <c r="F384" s="27"/>
      <c r="G384" s="214"/>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4"/>
      <c r="BK384" s="192"/>
      <c r="BL384" s="192"/>
      <c r="BM384" s="192"/>
      <c r="BN384" s="192"/>
      <c r="BO384" s="192"/>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51"/>
      <c r="E385" s="88">
        <v>4</v>
      </c>
      <c r="F385" s="27"/>
      <c r="G385" s="214"/>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192"/>
      <c r="BK385" s="192"/>
      <c r="BL385" s="192"/>
      <c r="BM385" s="192"/>
      <c r="BN385" s="192"/>
      <c r="BO385" s="192"/>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51"/>
      <c r="E386" s="88">
        <v>5</v>
      </c>
      <c r="F386" s="27"/>
      <c r="G386" s="214"/>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192"/>
      <c r="BK386" s="192"/>
      <c r="BL386" s="192"/>
      <c r="BM386" s="192"/>
      <c r="BN386" s="192"/>
      <c r="BO386" s="192"/>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51"/>
      <c r="E387" s="88">
        <v>6</v>
      </c>
      <c r="F387" s="27"/>
      <c r="G387" s="214"/>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192"/>
      <c r="BK387" s="192"/>
      <c r="BL387" s="192"/>
      <c r="BM387" s="192"/>
      <c r="BN387" s="192"/>
      <c r="BO387" s="192"/>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51"/>
      <c r="E388" s="88">
        <v>7</v>
      </c>
      <c r="F388" s="27"/>
      <c r="G388" s="214"/>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192"/>
      <c r="BK388" s="192"/>
      <c r="BL388" s="192"/>
      <c r="BM388" s="192"/>
      <c r="BN388" s="192"/>
      <c r="BO388" s="192"/>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51"/>
      <c r="E389" s="88">
        <v>8</v>
      </c>
      <c r="F389" s="27"/>
      <c r="G389" s="214"/>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192"/>
      <c r="BK389" s="192"/>
      <c r="BL389" s="192"/>
      <c r="BM389" s="192"/>
      <c r="BN389" s="192"/>
      <c r="BO389" s="192"/>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51"/>
      <c r="E390" s="88">
        <v>9</v>
      </c>
      <c r="F390" s="27"/>
      <c r="G390" s="214"/>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192"/>
      <c r="BK390" s="192"/>
      <c r="BL390" s="192"/>
      <c r="BM390" s="192"/>
      <c r="BN390" s="192"/>
      <c r="BO390" s="192"/>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51"/>
      <c r="E391" s="88">
        <v>10</v>
      </c>
      <c r="F391" s="27"/>
      <c r="G391" s="214"/>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192"/>
      <c r="BK391" s="192"/>
      <c r="BL391" s="192"/>
      <c r="BM391" s="192"/>
      <c r="BN391" s="192"/>
      <c r="BO391" s="192"/>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51"/>
      <c r="E392" s="89">
        <v>11</v>
      </c>
      <c r="F392" s="27"/>
      <c r="G392" s="214"/>
      <c r="H392" s="153"/>
      <c r="I392" s="153"/>
      <c r="J392" s="153"/>
      <c r="K392" s="153"/>
      <c r="L392" s="153"/>
      <c r="M392" s="153"/>
      <c r="N392" s="153"/>
      <c r="O392" s="153"/>
      <c r="P392" s="194"/>
      <c r="Q392" s="152"/>
      <c r="R392" s="70"/>
      <c r="S392" s="105"/>
      <c r="T392" s="105"/>
      <c r="U392" s="105"/>
      <c r="V392" s="105"/>
      <c r="W392" s="105"/>
      <c r="X392" s="105"/>
      <c r="Y392" s="105"/>
      <c r="Z392" s="105"/>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192"/>
      <c r="BK392" s="192"/>
      <c r="BL392" s="192"/>
      <c r="BM392" s="192"/>
      <c r="BN392" s="192"/>
      <c r="BO392" s="1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t="str">
        <f>Asset23</f>
        <v>Motor Vehicles</v>
      </c>
      <c r="D393" s="9"/>
      <c r="E393" s="9"/>
      <c r="F393" s="23"/>
      <c r="G393" s="215">
        <f t="shared" ref="G393:L393" si="56">-SUM(G380:G392)</f>
        <v>-6.6819424828021159</v>
      </c>
      <c r="H393" s="169">
        <f t="shared" si="56"/>
        <v>-7.7957970013206346</v>
      </c>
      <c r="I393" s="169">
        <f t="shared" si="56"/>
        <v>-7.7957970013206346</v>
      </c>
      <c r="J393" s="169">
        <f t="shared" si="56"/>
        <v>-7.7957970013206346</v>
      </c>
      <c r="K393" s="169">
        <f t="shared" si="56"/>
        <v>-7.7957970013206346</v>
      </c>
      <c r="L393" s="169">
        <f t="shared" si="56"/>
        <v>-7.7957970013206346</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192"/>
      <c r="BK393" s="192"/>
      <c r="BL393" s="192"/>
      <c r="BM393" s="192"/>
      <c r="BN393" s="192"/>
      <c r="BO393" s="192"/>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3" t="str">
        <f>Asset24</f>
        <v>Plant &amp; Equipment</v>
      </c>
      <c r="C394" s="33"/>
      <c r="D394" s="34" t="s">
        <v>69</v>
      </c>
      <c r="E394" s="33"/>
      <c r="F394" s="35"/>
      <c r="G394" s="211">
        <f>IF(G$3&gt;A24taxremlife,A24taxvalue-SUM($F394:F394),IF(A24taxremlife="N/A","n/a",A24taxvalue/A24taxremlife))</f>
        <v>17.525147392743357</v>
      </c>
      <c r="H394" s="69">
        <f>IF(H$3&gt;A24taxremlife,A24taxvalue-SUM($F394:G394),IF(A24taxremlife="N/A","n/a",A24taxvalue/A24taxremlife))</f>
        <v>17.525147392743357</v>
      </c>
      <c r="I394" s="69">
        <f>IF(I$3&gt;A24taxremlife,A24taxvalue-SUM($F394:H394),IF(A24taxremlife="N/A","n/a",A24taxvalue/A24taxremlife))</f>
        <v>17.525147392743357</v>
      </c>
      <c r="J394" s="69">
        <f>IF(J$3&gt;A24taxremlife,A24taxvalue-SUM($F394:I394),IF(A24taxremlife="N/A","n/a",A24taxvalue/A24taxremlife))</f>
        <v>13.969357821769925</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192"/>
      <c r="BK394" s="192"/>
      <c r="BL394" s="192"/>
      <c r="BM394" s="192"/>
      <c r="BN394" s="192"/>
      <c r="BO394" s="192"/>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50" t="s">
        <v>87</v>
      </c>
      <c r="E395" s="88">
        <v>0</v>
      </c>
      <c r="F395" s="27"/>
      <c r="G395" s="212"/>
      <c r="H395" s="70"/>
      <c r="I395" s="70"/>
      <c r="J395" s="70"/>
      <c r="K395" s="70"/>
      <c r="L395" s="70"/>
      <c r="M395" s="70"/>
      <c r="N395" s="70"/>
      <c r="O395" s="70"/>
      <c r="P395" s="70"/>
      <c r="Q395" s="70"/>
      <c r="R395" s="70"/>
      <c r="S395" s="105"/>
      <c r="T395" s="105"/>
      <c r="U395" s="105"/>
      <c r="V395" s="105"/>
      <c r="W395" s="105"/>
      <c r="X395" s="105"/>
      <c r="Y395" s="105"/>
      <c r="Z395" s="105"/>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192"/>
      <c r="BK395" s="192"/>
      <c r="BL395" s="192"/>
      <c r="BM395" s="192"/>
      <c r="BN395" s="192"/>
      <c r="BO395" s="192"/>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51"/>
      <c r="E396" s="88">
        <v>1</v>
      </c>
      <c r="F396" s="27"/>
      <c r="G396" s="213"/>
      <c r="H396" s="70">
        <f>IF(A24taxstdlife="n/a","n/a",IF(H$3&gt;(A24taxstdlife+$E396),(Input!$G$64-Input!$G$98)-SUM($G396:G396),(Input!$G$64-Input!$G$98)/A24taxstdlife))</f>
        <v>2.8783894000000001</v>
      </c>
      <c r="I396" s="70">
        <f>IF(A24taxstdlife="n/a","n/a",IF(I$3&gt;(A24taxstdlife+$E396),(Input!$G$64-Input!$G$98)-SUM($G396:H396),(Input!$G$64-Input!$G$98)/A24taxstdlife))</f>
        <v>2.8783894000000001</v>
      </c>
      <c r="J396" s="70">
        <f>IF(A24taxstdlife="n/a","n/a",IF(J$3&gt;(A24taxstdlife+$E396),(Input!$G$64-Input!$G$98)-SUM($G396:I396),(Input!$G$64-Input!$G$98)/A24taxstdlife))</f>
        <v>2.8783894000000001</v>
      </c>
      <c r="K396" s="70">
        <f>IF(A24taxstdlife="n/a","n/a",IF(K$3&gt;(A24taxstdlife+$E396),(Input!$G$64-Input!$G$98)-SUM($G396:J396),(Input!$G$64-Input!$G$98)/A24taxstdlife))</f>
        <v>2.8783894000000001</v>
      </c>
      <c r="L396" s="70">
        <f>IF(A24taxstdlife="n/a","n/a",IF(L$3&gt;(A24taxstdlife+$E396),(Input!$G$64-Input!$G$98)-SUM($G396:K396),(Input!$G$64-Input!$G$98)/A24taxstdlife))</f>
        <v>2.8783894000000001</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192"/>
      <c r="BK396" s="192"/>
      <c r="BL396" s="192"/>
      <c r="BM396" s="192"/>
      <c r="BN396" s="192"/>
      <c r="BO396" s="192"/>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51"/>
      <c r="E397" s="88">
        <v>2</v>
      </c>
      <c r="F397" s="27"/>
      <c r="G397" s="214"/>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192"/>
      <c r="BK397" s="192"/>
      <c r="BL397" s="192"/>
      <c r="BM397" s="192"/>
      <c r="BN397" s="192"/>
      <c r="BO397" s="192"/>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51"/>
      <c r="E398" s="88">
        <v>3</v>
      </c>
      <c r="F398" s="27"/>
      <c r="G398" s="214"/>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4"/>
      <c r="BK398" s="192"/>
      <c r="BL398" s="192"/>
      <c r="BM398" s="192"/>
      <c r="BN398" s="192"/>
      <c r="BO398" s="192"/>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51"/>
      <c r="E399" s="88">
        <v>4</v>
      </c>
      <c r="F399" s="27"/>
      <c r="G399" s="214"/>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192"/>
      <c r="BK399" s="192"/>
      <c r="BL399" s="192"/>
      <c r="BM399" s="192"/>
      <c r="BN399" s="192"/>
      <c r="BO399" s="192"/>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51"/>
      <c r="E400" s="88">
        <v>5</v>
      </c>
      <c r="F400" s="27"/>
      <c r="G400" s="214"/>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192"/>
      <c r="BK400" s="192"/>
      <c r="BL400" s="192"/>
      <c r="BM400" s="192"/>
      <c r="BN400" s="192"/>
      <c r="BO400" s="192"/>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51"/>
      <c r="E401" s="88">
        <v>6</v>
      </c>
      <c r="F401" s="27"/>
      <c r="G401" s="214"/>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192"/>
      <c r="BK401" s="192"/>
      <c r="BL401" s="192"/>
      <c r="BM401" s="192"/>
      <c r="BN401" s="192"/>
      <c r="BO401" s="192"/>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51"/>
      <c r="E402" s="88">
        <v>7</v>
      </c>
      <c r="F402" s="27"/>
      <c r="G402" s="214"/>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192"/>
      <c r="BK402" s="192"/>
      <c r="BL402" s="192"/>
      <c r="BM402" s="192"/>
      <c r="BN402" s="192"/>
      <c r="BO402" s="19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51"/>
      <c r="E403" s="88">
        <v>8</v>
      </c>
      <c r="F403" s="27"/>
      <c r="G403" s="214"/>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192"/>
      <c r="BK403" s="192"/>
      <c r="BL403" s="192"/>
      <c r="BM403" s="192"/>
      <c r="BN403" s="192"/>
      <c r="BO403" s="192"/>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51"/>
      <c r="E404" s="88">
        <v>9</v>
      </c>
      <c r="F404" s="27"/>
      <c r="G404" s="214"/>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192"/>
      <c r="BK404" s="192"/>
      <c r="BL404" s="192"/>
      <c r="BM404" s="192"/>
      <c r="BN404" s="192"/>
      <c r="BO404" s="192"/>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51"/>
      <c r="E405" s="88">
        <v>10</v>
      </c>
      <c r="F405" s="27"/>
      <c r="G405" s="214"/>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192"/>
      <c r="BK405" s="192"/>
      <c r="BL405" s="192"/>
      <c r="BM405" s="192"/>
      <c r="BN405" s="192"/>
      <c r="BO405" s="192"/>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51"/>
      <c r="E406" s="89">
        <v>11</v>
      </c>
      <c r="F406" s="27"/>
      <c r="G406" s="214"/>
      <c r="H406" s="153"/>
      <c r="I406" s="153"/>
      <c r="J406" s="153"/>
      <c r="K406" s="153"/>
      <c r="L406" s="153"/>
      <c r="M406" s="153"/>
      <c r="N406" s="153"/>
      <c r="O406" s="153"/>
      <c r="P406" s="194"/>
      <c r="Q406" s="152"/>
      <c r="R406" s="70"/>
      <c r="S406" s="105"/>
      <c r="T406" s="105"/>
      <c r="U406" s="105"/>
      <c r="V406" s="105"/>
      <c r="W406" s="105"/>
      <c r="X406" s="105"/>
      <c r="Y406" s="105"/>
      <c r="Z406" s="105"/>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192"/>
      <c r="BK406" s="192"/>
      <c r="BL406" s="192"/>
      <c r="BM406" s="192"/>
      <c r="BN406" s="192"/>
      <c r="BO406" s="192"/>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t="str">
        <f>Asset24</f>
        <v>Plant &amp; Equipment</v>
      </c>
      <c r="D407" s="9"/>
      <c r="E407" s="9"/>
      <c r="F407" s="23"/>
      <c r="G407" s="215">
        <f t="shared" ref="G407:L407" si="57">-SUM(G394:G406)</f>
        <v>-17.525147392743357</v>
      </c>
      <c r="H407" s="169">
        <f t="shared" si="57"/>
        <v>-20.403536792743356</v>
      </c>
      <c r="I407" s="169">
        <f t="shared" si="57"/>
        <v>-20.403536792743356</v>
      </c>
      <c r="J407" s="169">
        <f t="shared" si="57"/>
        <v>-16.847747221769925</v>
      </c>
      <c r="K407" s="169">
        <f t="shared" si="57"/>
        <v>-2.8783894000000001</v>
      </c>
      <c r="L407" s="169">
        <f t="shared" si="57"/>
        <v>-2.8783894000000001</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192"/>
      <c r="BK407" s="192"/>
      <c r="BL407" s="192"/>
      <c r="BM407" s="192"/>
      <c r="BN407" s="192"/>
      <c r="BO407" s="192"/>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3" t="str">
        <f>Asset25</f>
        <v>Buildings</v>
      </c>
      <c r="C408" s="33"/>
      <c r="D408" s="34" t="s">
        <v>69</v>
      </c>
      <c r="E408" s="33"/>
      <c r="F408" s="35"/>
      <c r="G408" s="211">
        <f>IF(G$3&gt;A25taxremlife,A25taxvalue-SUM($F408:F408),IF(A25taxremlife="N/A","n/a",A25taxvalue/A25taxremlife))</f>
        <v>5.2009560224933935</v>
      </c>
      <c r="H408" s="69">
        <f>IF(H$3&gt;A25taxremlife,A25taxvalue-SUM($F408:G408),IF(A25taxremlife="N/A","n/a",A25taxvalue/A25taxremlife))</f>
        <v>5.2009560224933935</v>
      </c>
      <c r="I408" s="69">
        <f>IF(I$3&gt;A25taxremlife,A25taxvalue-SUM($F408:H408),IF(A25taxremlife="N/A","n/a",A25taxvalue/A25taxremlife))</f>
        <v>5.2009560224933935</v>
      </c>
      <c r="J408" s="69">
        <f>IF(J$3&gt;A25taxremlife,A25taxvalue-SUM($F408:I408),IF(A25taxremlife="N/A","n/a",A25taxvalue/A25taxremlife))</f>
        <v>5.2009560224933935</v>
      </c>
      <c r="K408" s="69">
        <f>IF(K$3&gt;A25taxremlife,A25taxvalue-SUM($F408:J408),IF(A25taxremlife="N/A","n/a",A25taxvalue/A25taxremlife))</f>
        <v>5.2009560224933935</v>
      </c>
      <c r="L408" s="69">
        <f>IF(L$3&gt;A25taxremlife,A25taxvalue-SUM($F408:K408),IF(A25taxremlife="N/A","n/a",A25taxvalue/A25taxremlife))</f>
        <v>5.2009560224933935</v>
      </c>
      <c r="M408" s="69">
        <f>IF(M$3&gt;A25taxremlife,A25taxvalue-SUM($F408:L408),IF(A25taxremlife="N/A","n/a",A25taxvalue/A25taxremlife))</f>
        <v>5.2009560224933935</v>
      </c>
      <c r="N408" s="69">
        <f>IF(N$3&gt;A25taxremlife,A25taxvalue-SUM($F408:M408),IF(A25taxremlife="N/A","n/a",A25taxvalue/A25taxremlife))</f>
        <v>5.2009560224933935</v>
      </c>
      <c r="O408" s="69">
        <f>IF(O$3&gt;A25taxremlife,A25taxvalue-SUM($F408:N408),IF(A25taxremlife="N/A","n/a",A25taxvalue/A25taxremlife))</f>
        <v>5.2009560224933935</v>
      </c>
      <c r="P408" s="69">
        <f>IF(P$3&gt;A25taxremlife,A25taxvalue-SUM($F408:O408),IF(A25taxremlife="N/A","n/a",A25taxvalue/A25taxremlife))</f>
        <v>5.2009560224933935</v>
      </c>
      <c r="Q408" s="69">
        <f>IF(Q$3&gt;A25taxremlife,A25taxvalue-SUM($F408:P408),IF(A25taxremlife="N/A","n/a",A25taxvalue/A25taxremlife))</f>
        <v>5.2009560224933935</v>
      </c>
      <c r="R408" s="69"/>
      <c r="S408" s="105"/>
      <c r="T408" s="105"/>
      <c r="U408" s="105"/>
      <c r="V408" s="105"/>
      <c r="W408" s="105"/>
      <c r="X408" s="105"/>
      <c r="Y408" s="105"/>
      <c r="Z408" s="105"/>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192"/>
      <c r="BK408" s="192"/>
      <c r="BL408" s="192"/>
      <c r="BM408" s="192"/>
      <c r="BN408" s="192"/>
      <c r="BO408" s="192"/>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50" t="s">
        <v>87</v>
      </c>
      <c r="E409" s="88">
        <v>0</v>
      </c>
      <c r="F409" s="27"/>
      <c r="G409" s="212"/>
      <c r="H409" s="70"/>
      <c r="I409" s="70"/>
      <c r="J409" s="70"/>
      <c r="K409" s="70"/>
      <c r="L409" s="70"/>
      <c r="M409" s="70"/>
      <c r="N409" s="70"/>
      <c r="O409" s="70"/>
      <c r="P409" s="70"/>
      <c r="Q409" s="70"/>
      <c r="R409" s="70"/>
      <c r="S409" s="105"/>
      <c r="T409" s="105"/>
      <c r="U409" s="105"/>
      <c r="V409" s="105"/>
      <c r="W409" s="105"/>
      <c r="X409" s="105"/>
      <c r="Y409" s="105"/>
      <c r="Z409" s="105"/>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192"/>
      <c r="BK409" s="192"/>
      <c r="BL409" s="192"/>
      <c r="BM409" s="192"/>
      <c r="BN409" s="192"/>
      <c r="BO409" s="192"/>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51"/>
      <c r="E410" s="88">
        <v>1</v>
      </c>
      <c r="F410" s="27"/>
      <c r="G410" s="213"/>
      <c r="H410" s="70">
        <f>IF(A25taxstdlife="n/a","n/a",IF(H$3&gt;(A25taxstdlife+$E410),(Input!$G$65-Input!$G$99)-SUM($G410:G410),(Input!$G$65-Input!$G$99)/A25taxstdlife))</f>
        <v>0.76789847500000008</v>
      </c>
      <c r="I410" s="70">
        <f>IF(A25taxstdlife="n/a","n/a",IF(I$3&gt;(A25taxstdlife+$E410),(Input!$G$65-Input!$G$99)-SUM($G410:H410),(Input!$G$65-Input!$G$99)/A25taxstdlife))</f>
        <v>0.76789847500000008</v>
      </c>
      <c r="J410" s="70">
        <f>IF(A25taxstdlife="n/a","n/a",IF(J$3&gt;(A25taxstdlife+$E410),(Input!$G$65-Input!$G$99)-SUM($G410:I410),(Input!$G$65-Input!$G$99)/A25taxstdlife))</f>
        <v>0.76789847500000008</v>
      </c>
      <c r="K410" s="70">
        <f>IF(A25taxstdlife="n/a","n/a",IF(K$3&gt;(A25taxstdlife+$E410),(Input!$G$65-Input!$G$99)-SUM($G410:J410),(Input!$G$65-Input!$G$99)/A25taxstdlife))</f>
        <v>0.76789847500000008</v>
      </c>
      <c r="L410" s="70">
        <f>IF(A25taxstdlife="n/a","n/a",IF(L$3&gt;(A25taxstdlife+$E410),(Input!$G$65-Input!$G$99)-SUM($G410:K410),(Input!$G$65-Input!$G$99)/A25taxstdlife))</f>
        <v>0.76789847500000008</v>
      </c>
      <c r="M410" s="70">
        <f>IF(A25taxstdlife="n/a","n/a",IF(M$3&gt;(A25taxstdlife+$E410),(Input!$G$65-Input!$G$99)-SUM($G410:L410),(Input!$G$65-Input!$G$99)/A25taxstdlife))</f>
        <v>0.76789847500000008</v>
      </c>
      <c r="N410" s="70">
        <f>IF(A25taxstdlife="n/a","n/a",IF(N$3&gt;(A25taxstdlife+$E410),(Input!$G$65-Input!$G$99)-SUM($G410:M410),(Input!$G$65-Input!$G$99)/A25taxstdlife))</f>
        <v>0.76789847500000008</v>
      </c>
      <c r="O410" s="70">
        <f>IF(A25taxstdlife="n/a","n/a",IF(O$3&gt;(A25taxstdlife+$E410),(Input!$G$65-Input!$G$99)-SUM($G410:N410),(Input!$G$65-Input!$G$99)/A25taxstdlife))</f>
        <v>0.76789847500000008</v>
      </c>
      <c r="P410" s="70">
        <f>IF(A25taxstdlife="n/a","n/a",IF(P$3&gt;(A25taxstdlife+$E410),(Input!$G$65-Input!$G$99)-SUM($G410:O410),(Input!$G$65-Input!$G$99)/A25taxstdlife))</f>
        <v>0.76789847500000008</v>
      </c>
      <c r="Q410" s="70">
        <f>IF(A25taxstdlife="n/a","n/a",IF(Q$3&gt;(A25taxstdlife+$E410),(Input!$G$65-Input!$G$99)-SUM($G410:P410),(Input!$G$65-Input!$G$99)/A25taxstdlife))</f>
        <v>0.76789847500000008</v>
      </c>
      <c r="R410" s="70"/>
      <c r="S410" s="105"/>
      <c r="T410" s="105"/>
      <c r="U410" s="105"/>
      <c r="V410" s="105"/>
      <c r="W410" s="105"/>
      <c r="X410" s="105"/>
      <c r="Y410" s="105"/>
      <c r="Z410" s="105"/>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192"/>
      <c r="BK410" s="192"/>
      <c r="BL410" s="192"/>
      <c r="BM410" s="192"/>
      <c r="BN410" s="192"/>
      <c r="BO410" s="192"/>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51"/>
      <c r="E411" s="88">
        <v>2</v>
      </c>
      <c r="F411" s="27"/>
      <c r="G411" s="214"/>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192"/>
      <c r="BK411" s="192"/>
      <c r="BL411" s="192"/>
      <c r="BM411" s="192"/>
      <c r="BN411" s="192"/>
      <c r="BO411" s="192"/>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51"/>
      <c r="E412" s="88">
        <v>3</v>
      </c>
      <c r="F412" s="27"/>
      <c r="G412" s="214"/>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4"/>
      <c r="BK412" s="192"/>
      <c r="BL412" s="192"/>
      <c r="BM412" s="192"/>
      <c r="BN412" s="192"/>
      <c r="BO412" s="19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51"/>
      <c r="E413" s="88">
        <v>4</v>
      </c>
      <c r="F413" s="27"/>
      <c r="G413" s="214"/>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192"/>
      <c r="BK413" s="192"/>
      <c r="BL413" s="192"/>
      <c r="BM413" s="192"/>
      <c r="BN413" s="192"/>
      <c r="BO413" s="192"/>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51"/>
      <c r="E414" s="88">
        <v>5</v>
      </c>
      <c r="F414" s="27"/>
      <c r="G414" s="214"/>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192"/>
      <c r="BK414" s="192"/>
      <c r="BL414" s="192"/>
      <c r="BM414" s="192"/>
      <c r="BN414" s="192"/>
      <c r="BO414" s="192"/>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51"/>
      <c r="E415" s="88">
        <v>6</v>
      </c>
      <c r="F415" s="27"/>
      <c r="G415" s="214"/>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192"/>
      <c r="BK415" s="192"/>
      <c r="BL415" s="192"/>
      <c r="BM415" s="192"/>
      <c r="BN415" s="192"/>
      <c r="BO415" s="192"/>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51"/>
      <c r="E416" s="88">
        <v>7</v>
      </c>
      <c r="F416" s="27"/>
      <c r="G416" s="214"/>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192"/>
      <c r="BK416" s="192"/>
      <c r="BL416" s="192"/>
      <c r="BM416" s="192"/>
      <c r="BN416" s="192"/>
      <c r="BO416" s="192"/>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51"/>
      <c r="E417" s="88">
        <v>8</v>
      </c>
      <c r="F417" s="27"/>
      <c r="G417" s="214"/>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192"/>
      <c r="BK417" s="192"/>
      <c r="BL417" s="192"/>
      <c r="BM417" s="192"/>
      <c r="BN417" s="192"/>
      <c r="BO417" s="192"/>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51"/>
      <c r="E418" s="88">
        <v>9</v>
      </c>
      <c r="F418" s="27"/>
      <c r="G418" s="214"/>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192"/>
      <c r="BK418" s="192"/>
      <c r="BL418" s="192"/>
      <c r="BM418" s="192"/>
      <c r="BN418" s="192"/>
      <c r="BO418" s="192"/>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51"/>
      <c r="E419" s="88">
        <v>10</v>
      </c>
      <c r="F419" s="27"/>
      <c r="G419" s="214"/>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192"/>
      <c r="BK419" s="192"/>
      <c r="BL419" s="192"/>
      <c r="BM419" s="192"/>
      <c r="BN419" s="192"/>
      <c r="BO419" s="192"/>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51"/>
      <c r="E420" s="89">
        <v>11</v>
      </c>
      <c r="F420" s="27"/>
      <c r="G420" s="214"/>
      <c r="H420" s="153"/>
      <c r="I420" s="153"/>
      <c r="J420" s="153"/>
      <c r="K420" s="153"/>
      <c r="L420" s="153"/>
      <c r="M420" s="153"/>
      <c r="N420" s="153"/>
      <c r="O420" s="153"/>
      <c r="P420" s="194"/>
      <c r="Q420" s="152"/>
      <c r="R420" s="70"/>
      <c r="S420" s="105"/>
      <c r="T420" s="105"/>
      <c r="U420" s="105"/>
      <c r="V420" s="105"/>
      <c r="W420" s="105"/>
      <c r="X420" s="105"/>
      <c r="Y420" s="105"/>
      <c r="Z420" s="105"/>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192"/>
      <c r="BK420" s="192"/>
      <c r="BL420" s="192"/>
      <c r="BM420" s="192"/>
      <c r="BN420" s="192"/>
      <c r="BO420" s="192"/>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t="str">
        <f>Asset25</f>
        <v>Buildings</v>
      </c>
      <c r="D421" s="9"/>
      <c r="E421" s="9"/>
      <c r="F421" s="23"/>
      <c r="G421" s="215">
        <f t="shared" ref="G421:L421" si="58">-SUM(G408:G420)</f>
        <v>-5.2009560224933935</v>
      </c>
      <c r="H421" s="169">
        <f t="shared" si="58"/>
        <v>-5.9688544974933935</v>
      </c>
      <c r="I421" s="169">
        <f t="shared" si="58"/>
        <v>-5.9688544974933935</v>
      </c>
      <c r="J421" s="169">
        <f t="shared" si="58"/>
        <v>-5.9688544974933935</v>
      </c>
      <c r="K421" s="169">
        <f t="shared" si="58"/>
        <v>-5.9688544974933935</v>
      </c>
      <c r="L421" s="169">
        <f t="shared" si="58"/>
        <v>-5.9688544974933935</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192"/>
      <c r="BK421" s="192"/>
      <c r="BL421" s="192"/>
      <c r="BM421" s="192"/>
      <c r="BN421" s="192"/>
      <c r="BO421" s="192"/>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3" t="str">
        <f>Asset26</f>
        <v>Land &amp; Easements</v>
      </c>
      <c r="C422" s="33"/>
      <c r="D422" s="34" t="s">
        <v>69</v>
      </c>
      <c r="E422" s="33"/>
      <c r="F422" s="35"/>
      <c r="G422" s="211" t="str">
        <f>IF(G$3&gt;A26taxremlife,A26taxvalue-SUM($F422:F422),IF(A26taxremlife="N/A","n/a",A26taxvalue/A26taxremlife))</f>
        <v>n/a</v>
      </c>
      <c r="H422" s="69" t="str">
        <f>IF(H$3&gt;A26taxremlife,A26taxvalue-SUM($F422:G422),IF(A26taxremlife="N/A","n/a",A26taxvalue/A26taxremlife))</f>
        <v>n/a</v>
      </c>
      <c r="I422" s="69" t="str">
        <f>IF(I$3&gt;A26taxremlife,A26taxvalue-SUM($F422:H422),IF(A26taxremlife="N/A","n/a",A26taxvalue/A26taxremlife))</f>
        <v>n/a</v>
      </c>
      <c r="J422" s="69" t="str">
        <f>IF(J$3&gt;A26taxremlife,A26taxvalue-SUM($F422:I422),IF(A26taxremlife="N/A","n/a",A26taxvalue/A26taxremlife))</f>
        <v>n/a</v>
      </c>
      <c r="K422" s="69" t="str">
        <f>IF(K$3&gt;A26taxremlife,A26taxvalue-SUM($F422:J422),IF(A26taxremlife="N/A","n/a",A26taxvalue/A26taxremlife))</f>
        <v>n/a</v>
      </c>
      <c r="L422" s="69" t="str">
        <f>IF(L$3&gt;A26taxremlife,A26taxvalue-SUM($F422:K422),IF(A26taxremlife="N/A","n/a",A26taxvalue/A26taxremlife))</f>
        <v>n/a</v>
      </c>
      <c r="M422" s="69" t="str">
        <f>IF(M$3&gt;A26taxremlife,A26taxvalue-SUM($F422:L422),IF(A26taxremlife="N/A","n/a",A26taxvalue/A26taxremlife))</f>
        <v>n/a</v>
      </c>
      <c r="N422" s="69" t="str">
        <f>IF(N$3&gt;A26taxremlife,A26taxvalue-SUM($F422:M422),IF(A26taxremlife="N/A","n/a",A26taxvalue/A26taxremlife))</f>
        <v>n/a</v>
      </c>
      <c r="O422" s="69" t="str">
        <f>IF(O$3&gt;A26taxremlife,A26taxvalue-SUM($F422:N422),IF(A26taxremlife="N/A","n/a",A26taxvalue/A26taxremlife))</f>
        <v>n/a</v>
      </c>
      <c r="P422" s="69" t="str">
        <f>IF(P$3&gt;A26taxremlife,A26taxvalue-SUM($F422:O422),IF(A26taxremlife="N/A","n/a",A26taxvalue/A26taxremlife))</f>
        <v>n/a</v>
      </c>
      <c r="Q422" s="69" t="str">
        <f>IF(Q$3&gt;A26taxremlife,A26taxvalue-SUM($F422:P422),IF(A26taxremlife="N/A","n/a",A26taxvalue/A26taxremlife))</f>
        <v>n/a</v>
      </c>
      <c r="R422" s="69"/>
      <c r="S422" s="105"/>
      <c r="T422" s="105"/>
      <c r="U422" s="105"/>
      <c r="V422" s="105"/>
      <c r="W422" s="105"/>
      <c r="X422" s="105"/>
      <c r="Y422" s="105"/>
      <c r="Z422" s="105"/>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192"/>
      <c r="BK422" s="192"/>
      <c r="BL422" s="192"/>
      <c r="BM422" s="192"/>
      <c r="BN422" s="192"/>
      <c r="BO422" s="19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50" t="s">
        <v>87</v>
      </c>
      <c r="E423" s="88">
        <v>0</v>
      </c>
      <c r="F423" s="27"/>
      <c r="G423" s="212"/>
      <c r="H423" s="70"/>
      <c r="I423" s="70"/>
      <c r="J423" s="70"/>
      <c r="K423" s="70"/>
      <c r="L423" s="70"/>
      <c r="M423" s="70"/>
      <c r="N423" s="70"/>
      <c r="O423" s="70"/>
      <c r="P423" s="70"/>
      <c r="Q423" s="70"/>
      <c r="R423" s="70"/>
      <c r="S423" s="105"/>
      <c r="T423" s="105"/>
      <c r="U423" s="105"/>
      <c r="V423" s="105"/>
      <c r="W423" s="105"/>
      <c r="X423" s="105"/>
      <c r="Y423" s="105"/>
      <c r="Z423" s="105"/>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192"/>
      <c r="BK423" s="192"/>
      <c r="BL423" s="192"/>
      <c r="BM423" s="192"/>
      <c r="BN423" s="192"/>
      <c r="BO423" s="192"/>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51"/>
      <c r="E424" s="88">
        <v>1</v>
      </c>
      <c r="F424" s="27"/>
      <c r="G424" s="213"/>
      <c r="H424" s="70" t="str">
        <f>IF(A26taxstdlife="n/a","n/a",IF(H$3&gt;(A26taxstdlife+$E424),(Input!$G$66-Input!$G$100)-SUM($G424:G424),(Input!$G$66-Input!$G$100)/A26taxstdlife))</f>
        <v>n/a</v>
      </c>
      <c r="I424" s="70" t="str">
        <f>IF(A26taxstdlife="n/a","n/a",IF(I$3&gt;(A26taxstdlife+$E424),(Input!$G$66-Input!$G$100)-SUM($G424:H424),(Input!$G$66-Input!$G$100)/A26taxstdlife))</f>
        <v>n/a</v>
      </c>
      <c r="J424" s="70" t="str">
        <f>IF(A26taxstdlife="n/a","n/a",IF(J$3&gt;(A26taxstdlife+$E424),(Input!$G$66-Input!$G$100)-SUM($G424:I424),(Input!$G$66-Input!$G$100)/A26taxstdlife))</f>
        <v>n/a</v>
      </c>
      <c r="K424" s="70" t="str">
        <f>IF(A26taxstdlife="n/a","n/a",IF(K$3&gt;(A26taxstdlife+$E424),(Input!$G$66-Input!$G$100)-SUM($G424:J424),(Input!$G$66-Input!$G$100)/A26taxstdlife))</f>
        <v>n/a</v>
      </c>
      <c r="L424" s="70" t="str">
        <f>IF(A26taxstdlife="n/a","n/a",IF(L$3&gt;(A26taxstdlife+$E424),(Input!$G$66-Input!$G$100)-SUM($G424:K424),(Input!$G$66-Input!$G$100)/A26taxstdlife))</f>
        <v>n/a</v>
      </c>
      <c r="M424" s="70" t="str">
        <f>IF(A26taxstdlife="n/a","n/a",IF(M$3&gt;(A26taxstdlife+$E424),(Input!$G$66-Input!$G$100)-SUM($G424:L424),(Input!$G$66-Input!$G$100)/A26taxstdlife))</f>
        <v>n/a</v>
      </c>
      <c r="N424" s="70" t="str">
        <f>IF(A26taxstdlife="n/a","n/a",IF(N$3&gt;(A26taxstdlife+$E424),(Input!$G$66-Input!$G$100)-SUM($G424:M424),(Input!$G$66-Input!$G$100)/A26taxstdlife))</f>
        <v>n/a</v>
      </c>
      <c r="O424" s="70" t="str">
        <f>IF(A26taxstdlife="n/a","n/a",IF(O$3&gt;(A26taxstdlife+$E424),(Input!$G$66-Input!$G$100)-SUM($G424:N424),(Input!$G$66-Input!$G$100)/A26taxstdlife))</f>
        <v>n/a</v>
      </c>
      <c r="P424" s="70" t="str">
        <f>IF(A26taxstdlife="n/a","n/a",IF(P$3&gt;(A26taxstdlife+$E424),(Input!$G$66-Input!$G$100)-SUM($G424:O424),(Input!$G$66-Input!$G$100)/A26taxstdlife))</f>
        <v>n/a</v>
      </c>
      <c r="Q424" s="70" t="str">
        <f>IF(A26taxstdlife="n/a","n/a",IF(Q$3&gt;(A26taxstdlife+$E424),(Input!$G$66-Input!$G$100)-SUM($G424:P424),(Input!$G$66-Input!$G$100)/A26taxstdlife))</f>
        <v>n/a</v>
      </c>
      <c r="R424" s="70"/>
      <c r="S424" s="105"/>
      <c r="T424" s="105"/>
      <c r="U424" s="105"/>
      <c r="V424" s="105"/>
      <c r="W424" s="105"/>
      <c r="X424" s="105"/>
      <c r="Y424" s="105"/>
      <c r="Z424" s="105"/>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192"/>
      <c r="BK424" s="192"/>
      <c r="BL424" s="192"/>
      <c r="BM424" s="192"/>
      <c r="BN424" s="192"/>
      <c r="BO424" s="192"/>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51"/>
      <c r="E425" s="88">
        <v>2</v>
      </c>
      <c r="F425" s="27"/>
      <c r="G425" s="214"/>
      <c r="H425" s="152"/>
      <c r="I425" s="70" t="str">
        <f>IF(A26taxstdlife="n/a","n/a",IF(I$3&gt;(A26taxstdlife+$E425),(Input!$H$66-Input!$H$100)-SUM($H425:H425),(Input!$H$66-Input!$H$100)/A26taxstdlife))</f>
        <v>n/a</v>
      </c>
      <c r="J425" s="70" t="str">
        <f>IF(A26taxstdlife="n/a","n/a",IF(J$3&gt;(A26taxstdlife+$E425),(Input!$H$66-Input!$H$100)-SUM($H425:I425),(Input!$H$66-Input!$H$100)/A26taxstdlife))</f>
        <v>n/a</v>
      </c>
      <c r="K425" s="70" t="str">
        <f>IF(A26taxstdlife="n/a","n/a",IF(K$3&gt;(A26taxstdlife+$E425),(Input!$H$66-Input!$H$100)-SUM($H425:J425),(Input!$H$66-Input!$H$100)/A26taxstdlife))</f>
        <v>n/a</v>
      </c>
      <c r="L425" s="70" t="str">
        <f>IF(A26taxstdlife="n/a","n/a",IF(L$3&gt;(A26taxstdlife+$E425),(Input!$H$66-Input!$H$100)-SUM($H425:K425),(Input!$H$66-Input!$H$100)/A26taxstdlife))</f>
        <v>n/a</v>
      </c>
      <c r="M425" s="70" t="str">
        <f>IF(A26taxstdlife="n/a","n/a",IF(M$3&gt;(A26taxstdlife+$E425),(Input!$H$66-Input!$H$100)-SUM($H425:L425),(Input!$H$66-Input!$H$100)/A26taxstdlife))</f>
        <v>n/a</v>
      </c>
      <c r="N425" s="70" t="str">
        <f>IF(A26taxstdlife="n/a","n/a",IF(N$3&gt;(A26taxstdlife+$E425),(Input!$H$66-Input!$H$100)-SUM($H425:M425),(Input!$H$66-Input!$H$100)/A26taxstdlife))</f>
        <v>n/a</v>
      </c>
      <c r="O425" s="70" t="str">
        <f>IF(A26taxstdlife="n/a","n/a",IF(O$3&gt;(A26taxstdlife+$E425),(Input!$H$66-Input!$H$100)-SUM($H425:N425),(Input!$H$66-Input!$H$100)/A26taxstdlife))</f>
        <v>n/a</v>
      </c>
      <c r="P425" s="70" t="str">
        <f>IF(A26taxstdlife="n/a","n/a",IF(P$3&gt;(A26taxstdlife+$E425),(Input!$H$66-Input!$H$100)-SUM($H425:O425),(Input!$H$66-Input!$H$100)/A26taxstdlife))</f>
        <v>n/a</v>
      </c>
      <c r="Q425" s="70" t="str">
        <f>IF(A26taxstdlife="n/a","n/a",IF(Q$3&gt;(A26taxstdlife+$E425),(Input!$H$66-Input!$H$100)-SUM($H425:P425),(Input!$H$66-Input!$H$100)/A26taxstdlife))</f>
        <v>n/a</v>
      </c>
      <c r="R425" s="70"/>
      <c r="S425" s="105"/>
      <c r="T425" s="105"/>
      <c r="U425" s="105"/>
      <c r="V425" s="105"/>
      <c r="W425" s="105"/>
      <c r="X425" s="105"/>
      <c r="Y425" s="105"/>
      <c r="Z425" s="105"/>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192"/>
      <c r="BK425" s="192"/>
      <c r="BL425" s="192"/>
      <c r="BM425" s="192"/>
      <c r="BN425" s="192"/>
      <c r="BO425" s="192"/>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51"/>
      <c r="E426" s="88">
        <v>3</v>
      </c>
      <c r="F426" s="27"/>
      <c r="G426" s="214"/>
      <c r="H426" s="153"/>
      <c r="I426" s="152"/>
      <c r="J426" s="70" t="str">
        <f>IF(A26taxstdlife="n/a","n/a",IF(J$3&gt;(A26taxstdlife+$E426),(Input!$I$66-Input!$I$100)-SUM($I426:I426),(Input!$I$66-Input!$I$100)/A26taxstdlife))</f>
        <v>n/a</v>
      </c>
      <c r="K426" s="70" t="str">
        <f>IF(A26taxstdlife="n/a","n/a",IF(K$3&gt;(A26taxstdlife+$E426),(Input!$I$66-Input!$I$100)-SUM($I426:J426),(Input!$I$66-Input!$I$100)/A26taxstdlife))</f>
        <v>n/a</v>
      </c>
      <c r="L426" s="70" t="str">
        <f>IF(A26taxstdlife="n/a","n/a",IF(L$3&gt;(A26taxstdlife+$E426),(Input!$I$66-Input!$I$100)-SUM($I426:K426),(Input!$I$66-Input!$I$100)/A26taxstdlife))</f>
        <v>n/a</v>
      </c>
      <c r="M426" s="70" t="str">
        <f>IF(A26taxstdlife="n/a","n/a",IF(M$3&gt;(A26taxstdlife+$E426),(Input!$I$66-Input!$I$100)-SUM($I426:L426),(Input!$I$66-Input!$I$100)/A26taxstdlife))</f>
        <v>n/a</v>
      </c>
      <c r="N426" s="70" t="str">
        <f>IF(A26taxstdlife="n/a","n/a",IF(N$3&gt;(A26taxstdlife+$E426),(Input!$I$66-Input!$I$100)-SUM($I426:M426),(Input!$I$66-Input!$I$100)/A26taxstdlife))</f>
        <v>n/a</v>
      </c>
      <c r="O426" s="70" t="str">
        <f>IF(A26taxstdlife="n/a","n/a",IF(O$3&gt;(A26taxstdlife+$E426),(Input!$I$66-Input!$I$100)-SUM($I426:N426),(Input!$I$66-Input!$I$100)/A26taxstdlife))</f>
        <v>n/a</v>
      </c>
      <c r="P426" s="70" t="str">
        <f>IF(A26taxstdlife="n/a","n/a",IF(P$3&gt;(A26taxstdlife+$E426),(Input!$I$66-Input!$I$100)-SUM($I426:O426),(Input!$I$66-Input!$I$100)/A26taxstdlife))</f>
        <v>n/a</v>
      </c>
      <c r="Q426" s="70" t="str">
        <f>IF(A26taxstdlife="n/a","n/a",IF(Q$3&gt;(A26taxstdlife+$E426),(Input!$I$66-Input!$I$100)-SUM($I426:P426),(Input!$I$66-Input!$I$100)/A26taxstdlife))</f>
        <v>n/a</v>
      </c>
      <c r="R426" s="70"/>
      <c r="S426" s="105"/>
      <c r="T426" s="105"/>
      <c r="U426" s="105"/>
      <c r="V426" s="105"/>
      <c r="W426" s="105"/>
      <c r="X426" s="105"/>
      <c r="Y426" s="105"/>
      <c r="Z426" s="105"/>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4"/>
      <c r="BK426" s="192"/>
      <c r="BL426" s="192"/>
      <c r="BM426" s="192"/>
      <c r="BN426" s="192"/>
      <c r="BO426" s="192"/>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51"/>
      <c r="E427" s="88">
        <v>4</v>
      </c>
      <c r="F427" s="27"/>
      <c r="G427" s="214"/>
      <c r="H427" s="153"/>
      <c r="I427" s="153"/>
      <c r="J427" s="152"/>
      <c r="K427" s="70" t="str">
        <f>IF(A26taxstdlife="n/a","n/a",IF(K$3&gt;(A26taxstdlife+$E427),(Input!$J$66-Input!$J$100)-SUM($J427:J427),(Input!$J$66-Input!$J$100)/A26taxstdlife))</f>
        <v>n/a</v>
      </c>
      <c r="L427" s="70" t="str">
        <f>IF(A26taxstdlife="n/a","n/a",IF(L$3&gt;(A26taxstdlife+$E427),(Input!$J$66-Input!$J$100)-SUM($J427:K427),(Input!$J$66-Input!$J$100)/A26taxstdlife))</f>
        <v>n/a</v>
      </c>
      <c r="M427" s="70" t="str">
        <f>IF(A26taxstdlife="n/a","n/a",IF(M$3&gt;(A26taxstdlife+$E427),(Input!$J$66-Input!$J$100)-SUM($J427:L427),(Input!$J$66-Input!$J$100)/A26taxstdlife))</f>
        <v>n/a</v>
      </c>
      <c r="N427" s="70" t="str">
        <f>IF(A26taxstdlife="n/a","n/a",IF(N$3&gt;(A26taxstdlife+$E427),(Input!$J$66-Input!$J$100)-SUM($J427:M427),(Input!$J$66-Input!$J$100)/A26taxstdlife))</f>
        <v>n/a</v>
      </c>
      <c r="O427" s="70" t="str">
        <f>IF(A26taxstdlife="n/a","n/a",IF(O$3&gt;(A26taxstdlife+$E427),(Input!$J$66-Input!$J$100)-SUM($J427:N427),(Input!$J$66-Input!$J$100)/A26taxstdlife))</f>
        <v>n/a</v>
      </c>
      <c r="P427" s="70" t="str">
        <f>IF(A26taxstdlife="n/a","n/a",IF(P$3&gt;(A26taxstdlife+$E427),(Input!$J$66-Input!$J$100)-SUM($J427:O427),(Input!$J$66-Input!$J$100)/A26taxstdlife))</f>
        <v>n/a</v>
      </c>
      <c r="Q427" s="70" t="str">
        <f>IF(A26taxstdlife="n/a","n/a",IF(Q$3&gt;(A26taxstdlife+$E427),(Input!$J$66-Input!$J$100)-SUM($J427:P427),(Input!$J$66-Input!$J$100)/A26taxstdlife))</f>
        <v>n/a</v>
      </c>
      <c r="R427" s="70"/>
      <c r="S427" s="105"/>
      <c r="T427" s="105"/>
      <c r="U427" s="105"/>
      <c r="V427" s="105"/>
      <c r="W427" s="105"/>
      <c r="X427" s="105"/>
      <c r="Y427" s="105"/>
      <c r="Z427" s="105"/>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192"/>
      <c r="BK427" s="192"/>
      <c r="BL427" s="192"/>
      <c r="BM427" s="192"/>
      <c r="BN427" s="192"/>
      <c r="BO427" s="192"/>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51"/>
      <c r="E428" s="88">
        <v>5</v>
      </c>
      <c r="F428" s="27"/>
      <c r="G428" s="214"/>
      <c r="H428" s="153"/>
      <c r="I428" s="153"/>
      <c r="J428" s="153"/>
      <c r="K428" s="152"/>
      <c r="L428" s="70" t="str">
        <f>IF(A26taxstdlife="n/a","n/a",IF(L$3&gt;(A26taxstdlife+$E428),(Input!$K$66-Input!$K$100)-SUM($K428:K428),(Input!$K$66-Input!$K$100)/A26taxstdlife))</f>
        <v>n/a</v>
      </c>
      <c r="M428" s="70" t="str">
        <f>IF(A26taxstdlife="n/a","n/a",IF(M$3&gt;(A26taxstdlife+$E428),(Input!$K$66-Input!$K$100)-SUM($K428:L428),(Input!$K$66-Input!$K$100)/A26taxstdlife))</f>
        <v>n/a</v>
      </c>
      <c r="N428" s="70" t="str">
        <f>IF(A26taxstdlife="n/a","n/a",IF(N$3&gt;(A26taxstdlife+$E428),(Input!$K$66-Input!$K$100)-SUM($K428:M428),(Input!$K$66-Input!$K$100)/A26taxstdlife))</f>
        <v>n/a</v>
      </c>
      <c r="O428" s="70" t="str">
        <f>IF(A26taxstdlife="n/a","n/a",IF(O$3&gt;(A26taxstdlife+$E428),(Input!$K$66-Input!$K$100)-SUM($K428:N428),(Input!$K$66-Input!$K$100)/A26taxstdlife))</f>
        <v>n/a</v>
      </c>
      <c r="P428" s="70" t="str">
        <f>IF(A26taxstdlife="n/a","n/a",IF(P$3&gt;(A26taxstdlife+$E428),(Input!$K$66-Input!$K$100)-SUM($K428:O428),(Input!$K$66-Input!$K$100)/A26taxstdlife))</f>
        <v>n/a</v>
      </c>
      <c r="Q428" s="70" t="str">
        <f>IF(A26taxstdlife="n/a","n/a",IF(Q$3&gt;(A26taxstdlife+$E428),(Input!$K$66-Input!$K$100)-SUM($K428:P428),(Input!$K$66-Input!$K$100)/A26taxstdlife))</f>
        <v>n/a</v>
      </c>
      <c r="R428" s="70"/>
      <c r="S428" s="105"/>
      <c r="T428" s="105"/>
      <c r="U428" s="105"/>
      <c r="V428" s="105"/>
      <c r="W428" s="105"/>
      <c r="X428" s="105"/>
      <c r="Y428" s="105"/>
      <c r="Z428" s="105"/>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192"/>
      <c r="BK428" s="192"/>
      <c r="BL428" s="192"/>
      <c r="BM428" s="192"/>
      <c r="BN428" s="192"/>
      <c r="BO428" s="192"/>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51"/>
      <c r="E429" s="88">
        <v>6</v>
      </c>
      <c r="F429" s="27"/>
      <c r="G429" s="214"/>
      <c r="H429" s="153"/>
      <c r="I429" s="153"/>
      <c r="J429" s="153"/>
      <c r="K429" s="153"/>
      <c r="L429" s="152"/>
      <c r="M429" s="70" t="str">
        <f>IF(A26taxstdlife="n/a","n/a",IF(M$3&gt;(A26taxstdlife+$E429),(Input!$L$66-Input!$L$100)-SUM($L429:L429),(Input!$L$66-Input!$L$100)/A26taxstdlife))</f>
        <v>n/a</v>
      </c>
      <c r="N429" s="70" t="str">
        <f>IF(A26taxstdlife="n/a","n/a",IF(N$3&gt;(A26taxstdlife+$E429),(Input!$L$66-Input!$L$100)-SUM($L429:M429),(Input!$L$66-Input!$L$100)/A26taxstdlife))</f>
        <v>n/a</v>
      </c>
      <c r="O429" s="70" t="str">
        <f>IF(A26taxstdlife="n/a","n/a",IF(O$3&gt;(A26taxstdlife+$E429),(Input!$L$66-Input!$L$100)-SUM($L429:N429),(Input!$L$66-Input!$L$100)/A26taxstdlife))</f>
        <v>n/a</v>
      </c>
      <c r="P429" s="70" t="str">
        <f>IF(A26taxstdlife="n/a","n/a",IF(P$3&gt;(A26taxstdlife+$E429),(Input!$L$66-Input!$L$100)-SUM($L429:O429),(Input!$L$66-Input!$L$100)/A26taxstdlife))</f>
        <v>n/a</v>
      </c>
      <c r="Q429" s="70" t="str">
        <f>IF(A26taxstdlife="n/a","n/a",IF(Q$3&gt;(A26taxstdlife+$E429),(Input!$L$66-Input!$L$100)-SUM($L429:P429),(Input!$L$66-Input!$L$100)/A26taxstdlife))</f>
        <v>n/a</v>
      </c>
      <c r="R429" s="70"/>
      <c r="S429" s="105"/>
      <c r="T429" s="105"/>
      <c r="U429" s="105"/>
      <c r="V429" s="105"/>
      <c r="W429" s="105"/>
      <c r="X429" s="105"/>
      <c r="Y429" s="105"/>
      <c r="Z429" s="105"/>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192"/>
      <c r="BK429" s="192"/>
      <c r="BL429" s="192"/>
      <c r="BM429" s="192"/>
      <c r="BN429" s="192"/>
      <c r="BO429" s="192"/>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51"/>
      <c r="E430" s="88">
        <v>7</v>
      </c>
      <c r="F430" s="27"/>
      <c r="G430" s="214"/>
      <c r="H430" s="153"/>
      <c r="I430" s="153"/>
      <c r="J430" s="153"/>
      <c r="K430" s="153"/>
      <c r="L430" s="153"/>
      <c r="M430" s="152"/>
      <c r="N430" s="70" t="str">
        <f>IF(A26taxstdlife="n/a","n/a",IF(N$3&gt;(A26taxstdlife+$E430),(Input!$M$66-Input!$M$100)-SUM($M430:M430),(Input!$M$66-Input!$M$100)/A26taxstdlife))</f>
        <v>n/a</v>
      </c>
      <c r="O430" s="70" t="str">
        <f>IF(A26taxstdlife="n/a","n/a",IF(O$3&gt;(A26taxstdlife+$E430),(Input!$M$66-Input!$M$100)-SUM($M430:N430),(Input!$M$66-Input!$M$100)/A26taxstdlife))</f>
        <v>n/a</v>
      </c>
      <c r="P430" s="70" t="str">
        <f>IF(A26taxstdlife="n/a","n/a",IF(P$3&gt;(A26taxstdlife+$E430),(Input!$M$66-Input!$M$100)-SUM($M430:O430),(Input!$M$66-Input!$M$100)/A26taxstdlife))</f>
        <v>n/a</v>
      </c>
      <c r="Q430" s="70" t="str">
        <f>IF(A26taxstdlife="n/a","n/a",IF(Q$3&gt;(A26taxstdlife+$E430),(Input!$M$66-Input!$M$100)-SUM($M430:P430),(Input!$M$66-Input!$M$100)/A26taxstdlife))</f>
        <v>n/a</v>
      </c>
      <c r="R430" s="70"/>
      <c r="S430" s="105"/>
      <c r="T430" s="105"/>
      <c r="U430" s="105"/>
      <c r="V430" s="105"/>
      <c r="W430" s="105"/>
      <c r="X430" s="105"/>
      <c r="Y430" s="105"/>
      <c r="Z430" s="105"/>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192"/>
      <c r="BK430" s="192"/>
      <c r="BL430" s="192"/>
      <c r="BM430" s="192"/>
      <c r="BN430" s="192"/>
      <c r="BO430" s="192"/>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51"/>
      <c r="E431" s="88">
        <v>8</v>
      </c>
      <c r="F431" s="27"/>
      <c r="G431" s="214"/>
      <c r="H431" s="153"/>
      <c r="I431" s="153"/>
      <c r="J431" s="153"/>
      <c r="K431" s="153"/>
      <c r="L431" s="153"/>
      <c r="M431" s="153"/>
      <c r="N431" s="152"/>
      <c r="O431" s="70" t="str">
        <f>IF(A26taxstdlife="n/a","n/a",IF(O$3&gt;(A26taxstdlife+$E431),(Input!$N$66-Input!$N$100)-SUM($N431:N431),(Input!$N$66-Input!$N$100)/A26taxstdlife))</f>
        <v>n/a</v>
      </c>
      <c r="P431" s="70" t="str">
        <f>IF(A26taxstdlife="n/a","n/a",IF(P$3&gt;(A26taxstdlife+$E431),(Input!$N$66-Input!$N$100)-SUM($N431:O431),(Input!$N$66-Input!$N$100)/A26taxstdlife))</f>
        <v>n/a</v>
      </c>
      <c r="Q431" s="70" t="str">
        <f>IF(A26taxstdlife="n/a","n/a",IF(Q$3&gt;(A26taxstdlife+$E431),(Input!$N$66-Input!$N$100)-SUM($N431:P431),(Input!$N$66-Input!$N$100)/A26taxstdlife))</f>
        <v>n/a</v>
      </c>
      <c r="R431" s="70"/>
      <c r="S431" s="105"/>
      <c r="T431" s="105"/>
      <c r="U431" s="105"/>
      <c r="V431" s="105"/>
      <c r="W431" s="105"/>
      <c r="X431" s="105"/>
      <c r="Y431" s="105"/>
      <c r="Z431" s="105"/>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192"/>
      <c r="BK431" s="192"/>
      <c r="BL431" s="192"/>
      <c r="BM431" s="192"/>
      <c r="BN431" s="192"/>
      <c r="BO431" s="192"/>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51"/>
      <c r="E432" s="88">
        <v>9</v>
      </c>
      <c r="F432" s="27"/>
      <c r="G432" s="214"/>
      <c r="H432" s="153"/>
      <c r="I432" s="153"/>
      <c r="J432" s="153"/>
      <c r="K432" s="153"/>
      <c r="L432" s="153"/>
      <c r="M432" s="153"/>
      <c r="N432" s="153"/>
      <c r="O432" s="152"/>
      <c r="P432" s="70" t="str">
        <f>IF(A26taxstdlife="n/a","n/a",IF(P$3&gt;(A26taxstdlife+$E432),(Input!$O$66-Input!$O$100)-SUM($O432:O432),(Input!$O$66-Input!$O$100)/A26taxstdlife))</f>
        <v>n/a</v>
      </c>
      <c r="Q432" s="70" t="str">
        <f>IF(A26taxstdlife="n/a","n/a",IF(Q$3&gt;(A26taxstdlife+$E432),(Input!$O$66-Input!$O$100)-SUM($O432:P432),(Input!$O$66-Input!$O$100)/A26taxstdlife))</f>
        <v>n/a</v>
      </c>
      <c r="R432" s="70"/>
      <c r="S432" s="105"/>
      <c r="T432" s="105"/>
      <c r="U432" s="105"/>
      <c r="V432" s="105"/>
      <c r="W432" s="105"/>
      <c r="X432" s="105"/>
      <c r="Y432" s="105"/>
      <c r="Z432" s="105"/>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192"/>
      <c r="BK432" s="192"/>
      <c r="BL432" s="192"/>
      <c r="BM432" s="192"/>
      <c r="BN432" s="192"/>
      <c r="BO432" s="19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51"/>
      <c r="E433" s="88">
        <v>10</v>
      </c>
      <c r="F433" s="27"/>
      <c r="G433" s="214"/>
      <c r="H433" s="153"/>
      <c r="I433" s="153"/>
      <c r="J433" s="153"/>
      <c r="K433" s="153"/>
      <c r="L433" s="153"/>
      <c r="M433" s="153"/>
      <c r="N433" s="153"/>
      <c r="O433" s="153"/>
      <c r="P433" s="152"/>
      <c r="Q433" s="70" t="str">
        <f>IF(A26taxstdlife="n/a","n/a",IF(Q$3&gt;(A26taxstdlife+$E433),(Input!$P$66-Input!$P$100)-SUM($P433:P433),(Input!$P$66-Input!$P$100)/A26taxstdlife))</f>
        <v>n/a</v>
      </c>
      <c r="R433" s="70"/>
      <c r="S433" s="105"/>
      <c r="T433" s="105"/>
      <c r="U433" s="105"/>
      <c r="V433" s="105"/>
      <c r="W433" s="105"/>
      <c r="X433" s="105"/>
      <c r="Y433" s="105"/>
      <c r="Z433" s="105"/>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192"/>
      <c r="BK433" s="192"/>
      <c r="BL433" s="192"/>
      <c r="BM433" s="192"/>
      <c r="BN433" s="192"/>
      <c r="BO433" s="192"/>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51"/>
      <c r="E434" s="89">
        <v>11</v>
      </c>
      <c r="F434" s="27"/>
      <c r="G434" s="214"/>
      <c r="H434" s="153"/>
      <c r="I434" s="153"/>
      <c r="J434" s="153"/>
      <c r="K434" s="153"/>
      <c r="L434" s="153"/>
      <c r="M434" s="153"/>
      <c r="N434" s="153"/>
      <c r="O434" s="153"/>
      <c r="P434" s="194"/>
      <c r="Q434" s="152"/>
      <c r="R434" s="70"/>
      <c r="S434" s="105"/>
      <c r="T434" s="105"/>
      <c r="U434" s="105"/>
      <c r="V434" s="105"/>
      <c r="W434" s="105"/>
      <c r="X434" s="105"/>
      <c r="Y434" s="105"/>
      <c r="Z434" s="105"/>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192"/>
      <c r="BK434" s="192"/>
      <c r="BL434" s="192"/>
      <c r="BM434" s="192"/>
      <c r="BN434" s="192"/>
      <c r="BO434" s="192"/>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t="str">
        <f>Asset26</f>
        <v>Land &amp; Easements</v>
      </c>
      <c r="D435" s="9"/>
      <c r="E435" s="9"/>
      <c r="F435" s="23"/>
      <c r="G435" s="215">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192"/>
      <c r="BK435" s="192"/>
      <c r="BL435" s="192"/>
      <c r="BM435" s="192"/>
      <c r="BN435" s="192"/>
      <c r="BO435" s="192"/>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3" t="str">
        <f>Asset27</f>
        <v>Land Improvements</v>
      </c>
      <c r="C436" s="33"/>
      <c r="D436" s="34" t="s">
        <v>69</v>
      </c>
      <c r="E436" s="33"/>
      <c r="F436" s="35"/>
      <c r="G436" s="211">
        <f>IF(G$3&gt;A27taxremlife,A27taxvalue-SUM($F436:F436),IF(A27taxremlife="N/A","n/a",A27taxvalue/A27taxremlife))</f>
        <v>0.28647499999999998</v>
      </c>
      <c r="H436" s="69">
        <f>IF(H$3&gt;A27taxremlife,A27taxvalue-SUM($F436:G436),IF(A27taxremlife="N/A","n/a",A27taxvalue/A27taxremlife))</f>
        <v>0.28647499999999998</v>
      </c>
      <c r="I436" s="69">
        <f>IF(I$3&gt;A27taxremlife,A27taxvalue-SUM($F436:H436),IF(A27taxremlife="N/A","n/a",A27taxvalue/A27taxremlife))</f>
        <v>0.28647499999999998</v>
      </c>
      <c r="J436" s="69">
        <f>IF(J$3&gt;A27taxremlife,A27taxvalue-SUM($F436:I436),IF(A27taxremlife="N/A","n/a",A27taxvalue/A27taxremlife))</f>
        <v>0.28647499999999998</v>
      </c>
      <c r="K436" s="69">
        <f>IF(K$3&gt;A27taxremlife,A27taxvalue-SUM($F436:J436),IF(A27taxremlife="N/A","n/a",A27taxvalue/A27taxremlife))</f>
        <v>0.28647499999999998</v>
      </c>
      <c r="L436" s="69">
        <f>IF(L$3&gt;A27taxremlife,A27taxvalue-SUM($F436:K436),IF(A27taxremlife="N/A","n/a",A27taxvalue/A27taxremlife))</f>
        <v>0.28647499999999998</v>
      </c>
      <c r="M436" s="69">
        <f>IF(M$3&gt;A27taxremlife,A27taxvalue-SUM($F436:L436),IF(A27taxremlife="N/A","n/a",A27taxvalue/A27taxremlife))</f>
        <v>0.28647499999999998</v>
      </c>
      <c r="N436" s="69">
        <f>IF(N$3&gt;A27taxremlife,A27taxvalue-SUM($F436:M436),IF(A27taxremlife="N/A","n/a",A27taxvalue/A27taxremlife))</f>
        <v>0.28647499999999998</v>
      </c>
      <c r="O436" s="69">
        <f>IF(O$3&gt;A27taxremlife,A27taxvalue-SUM($F436:N436),IF(A27taxremlife="N/A","n/a",A27taxvalue/A27taxremlife))</f>
        <v>0.28647499999999998</v>
      </c>
      <c r="P436" s="69">
        <f>IF(P$3&gt;A27taxremlife,A27taxvalue-SUM($F436:O436),IF(A27taxremlife="N/A","n/a",A27taxvalue/A27taxremlife))</f>
        <v>0.28647499999999998</v>
      </c>
      <c r="Q436" s="69">
        <f>IF(Q$3&gt;A27taxremlife,A27taxvalue-SUM($F436:P436),IF(A27taxremlife="N/A","n/a",A27taxvalue/A27taxremlife))</f>
        <v>0.28647499999999998</v>
      </c>
      <c r="R436" s="69"/>
      <c r="S436" s="105"/>
      <c r="T436" s="105"/>
      <c r="U436" s="105"/>
      <c r="V436" s="105"/>
      <c r="W436" s="105"/>
      <c r="X436" s="105"/>
      <c r="Y436" s="105"/>
      <c r="Z436" s="105"/>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192"/>
      <c r="BK436" s="192"/>
      <c r="BL436" s="192"/>
      <c r="BM436" s="192"/>
      <c r="BN436" s="192"/>
      <c r="BO436" s="192"/>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50" t="s">
        <v>87</v>
      </c>
      <c r="E437" s="88">
        <v>0</v>
      </c>
      <c r="F437" s="27"/>
      <c r="G437" s="212"/>
      <c r="H437" s="70"/>
      <c r="I437" s="70"/>
      <c r="J437" s="70"/>
      <c r="K437" s="70"/>
      <c r="L437" s="70"/>
      <c r="M437" s="70"/>
      <c r="N437" s="70"/>
      <c r="O437" s="70"/>
      <c r="P437" s="70"/>
      <c r="Q437" s="70"/>
      <c r="R437" s="70"/>
      <c r="S437" s="105"/>
      <c r="T437" s="105"/>
      <c r="U437" s="105"/>
      <c r="V437" s="105"/>
      <c r="W437" s="105"/>
      <c r="X437" s="105"/>
      <c r="Y437" s="105"/>
      <c r="Z437" s="105"/>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192"/>
      <c r="BK437" s="192"/>
      <c r="BL437" s="192"/>
      <c r="BM437" s="192"/>
      <c r="BN437" s="192"/>
      <c r="BO437" s="192"/>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51"/>
      <c r="E438" s="88">
        <v>1</v>
      </c>
      <c r="F438" s="27"/>
      <c r="G438" s="213"/>
      <c r="H438" s="70">
        <f>IF(A27taxstdlife="n/a","n/a",IF(H$3&gt;(A27taxstdlife+$E438),(Input!$G$67-Input!$G$101)-SUM($G438:G438),(Input!$G$67-Input!$G$101)/A27taxstdlife))</f>
        <v>0.13419220000000001</v>
      </c>
      <c r="I438" s="70">
        <f>IF(A27taxstdlife="n/a","n/a",IF(I$3&gt;(A27taxstdlife+$E438),(Input!$G$67-Input!$G$101)-SUM($G438:H438),(Input!$G$67-Input!$G$101)/A27taxstdlife))</f>
        <v>0.13419220000000001</v>
      </c>
      <c r="J438" s="70">
        <f>IF(A27taxstdlife="n/a","n/a",IF(J$3&gt;(A27taxstdlife+$E438),(Input!$G$67-Input!$G$101)-SUM($G438:I438),(Input!$G$67-Input!$G$101)/A27taxstdlife))</f>
        <v>0.13419220000000001</v>
      </c>
      <c r="K438" s="70">
        <f>IF(A27taxstdlife="n/a","n/a",IF(K$3&gt;(A27taxstdlife+$E438),(Input!$G$67-Input!$G$101)-SUM($G438:J438),(Input!$G$67-Input!$G$101)/A27taxstdlife))</f>
        <v>0.13419220000000001</v>
      </c>
      <c r="L438" s="70">
        <f>IF(A27taxstdlife="n/a","n/a",IF(L$3&gt;(A27taxstdlife+$E438),(Input!$G$67-Input!$G$101)-SUM($G438:K438),(Input!$G$67-Input!$G$101)/A27taxstdlife))</f>
        <v>0.13419220000000001</v>
      </c>
      <c r="M438" s="70">
        <f>IF(A27taxstdlife="n/a","n/a",IF(M$3&gt;(A27taxstdlife+$E438),(Input!$G$67-Input!$G$101)-SUM($G438:L438),(Input!$G$67-Input!$G$101)/A27taxstdlife))</f>
        <v>0.13419220000000001</v>
      </c>
      <c r="N438" s="70">
        <f>IF(A27taxstdlife="n/a","n/a",IF(N$3&gt;(A27taxstdlife+$E438),(Input!$G$67-Input!$G$101)-SUM($G438:M438),(Input!$G$67-Input!$G$101)/A27taxstdlife))</f>
        <v>0.13419220000000001</v>
      </c>
      <c r="O438" s="70">
        <f>IF(A27taxstdlife="n/a","n/a",IF(O$3&gt;(A27taxstdlife+$E438),(Input!$G$67-Input!$G$101)-SUM($G438:N438),(Input!$G$67-Input!$G$101)/A27taxstdlife))</f>
        <v>0.13419220000000001</v>
      </c>
      <c r="P438" s="70">
        <f>IF(A27taxstdlife="n/a","n/a",IF(P$3&gt;(A27taxstdlife+$E438),(Input!$G$67-Input!$G$101)-SUM($G438:O438),(Input!$G$67-Input!$G$101)/A27taxstdlife))</f>
        <v>0.13419220000000001</v>
      </c>
      <c r="Q438" s="70">
        <f>IF(A27taxstdlife="n/a","n/a",IF(Q$3&gt;(A27taxstdlife+$E438),(Input!$G$67-Input!$G$101)-SUM($G438:P438),(Input!$G$67-Input!$G$101)/A27taxstdlife))</f>
        <v>0.13419220000000001</v>
      </c>
      <c r="R438" s="70"/>
      <c r="S438" s="105"/>
      <c r="T438" s="105"/>
      <c r="U438" s="105"/>
      <c r="V438" s="105"/>
      <c r="W438" s="105"/>
      <c r="X438" s="105"/>
      <c r="Y438" s="105"/>
      <c r="Z438" s="105"/>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192"/>
      <c r="BK438" s="192"/>
      <c r="BL438" s="192"/>
      <c r="BM438" s="192"/>
      <c r="BN438" s="192"/>
      <c r="BO438" s="192"/>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51"/>
      <c r="E439" s="88">
        <v>2</v>
      </c>
      <c r="F439" s="27"/>
      <c r="G439" s="214"/>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192"/>
      <c r="BK439" s="192"/>
      <c r="BL439" s="192"/>
      <c r="BM439" s="192"/>
      <c r="BN439" s="192"/>
      <c r="BO439" s="192"/>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51"/>
      <c r="E440" s="88">
        <v>3</v>
      </c>
      <c r="F440" s="27"/>
      <c r="G440" s="214"/>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4"/>
      <c r="BK440" s="192"/>
      <c r="BL440" s="192"/>
      <c r="BM440" s="192"/>
      <c r="BN440" s="192"/>
      <c r="BO440" s="192"/>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51"/>
      <c r="E441" s="88">
        <v>4</v>
      </c>
      <c r="F441" s="27"/>
      <c r="G441" s="214"/>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192"/>
      <c r="BK441" s="192"/>
      <c r="BL441" s="192"/>
      <c r="BM441" s="192"/>
      <c r="BN441" s="192"/>
      <c r="BO441" s="192"/>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51"/>
      <c r="E442" s="88">
        <v>5</v>
      </c>
      <c r="F442" s="27"/>
      <c r="G442" s="214"/>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192"/>
      <c r="BK442" s="192"/>
      <c r="BL442" s="192"/>
      <c r="BM442" s="192"/>
      <c r="BN442" s="192"/>
      <c r="BO442" s="19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51"/>
      <c r="E443" s="88">
        <v>6</v>
      </c>
      <c r="F443" s="27"/>
      <c r="G443" s="214"/>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192"/>
      <c r="BK443" s="192"/>
      <c r="BL443" s="192"/>
      <c r="BM443" s="192"/>
      <c r="BN443" s="192"/>
      <c r="BO443" s="192"/>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51"/>
      <c r="E444" s="88">
        <v>7</v>
      </c>
      <c r="F444" s="27"/>
      <c r="G444" s="214"/>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192"/>
      <c r="BK444" s="192"/>
      <c r="BL444" s="192"/>
      <c r="BM444" s="192"/>
      <c r="BN444" s="192"/>
      <c r="BO444" s="192"/>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51"/>
      <c r="E445" s="88">
        <v>8</v>
      </c>
      <c r="F445" s="27"/>
      <c r="G445" s="214"/>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192"/>
      <c r="BK445" s="192"/>
      <c r="BL445" s="192"/>
      <c r="BM445" s="192"/>
      <c r="BN445" s="192"/>
      <c r="BO445" s="192"/>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51"/>
      <c r="E446" s="88">
        <v>9</v>
      </c>
      <c r="F446" s="27"/>
      <c r="G446" s="214"/>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192"/>
      <c r="BK446" s="192"/>
      <c r="BL446" s="192"/>
      <c r="BM446" s="192"/>
      <c r="BN446" s="192"/>
      <c r="BO446" s="192"/>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51"/>
      <c r="E447" s="88">
        <v>10</v>
      </c>
      <c r="F447" s="27"/>
      <c r="G447" s="214"/>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192"/>
      <c r="BK447" s="192"/>
      <c r="BL447" s="192"/>
      <c r="BM447" s="192"/>
      <c r="BN447" s="192"/>
      <c r="BO447" s="192"/>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51"/>
      <c r="E448" s="89">
        <v>11</v>
      </c>
      <c r="F448" s="27"/>
      <c r="G448" s="214"/>
      <c r="H448" s="153"/>
      <c r="I448" s="153"/>
      <c r="J448" s="153"/>
      <c r="K448" s="153"/>
      <c r="L448" s="153"/>
      <c r="M448" s="153"/>
      <c r="N448" s="153"/>
      <c r="O448" s="153"/>
      <c r="P448" s="194"/>
      <c r="Q448" s="152"/>
      <c r="R448" s="70"/>
      <c r="S448" s="105"/>
      <c r="T448" s="105"/>
      <c r="U448" s="105"/>
      <c r="V448" s="105"/>
      <c r="W448" s="105"/>
      <c r="X448" s="105"/>
      <c r="Y448" s="105"/>
      <c r="Z448" s="105"/>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192"/>
      <c r="BK448" s="192"/>
      <c r="BL448" s="192"/>
      <c r="BM448" s="192"/>
      <c r="BN448" s="192"/>
      <c r="BO448" s="192"/>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t="str">
        <f>Asset27</f>
        <v>Land Improvements</v>
      </c>
      <c r="D449" s="9"/>
      <c r="E449" s="9"/>
      <c r="F449" s="23"/>
      <c r="G449" s="215">
        <f t="shared" ref="G449:L449" si="60">-SUM(G436:G448)</f>
        <v>-0.28647499999999998</v>
      </c>
      <c r="H449" s="169">
        <f t="shared" si="60"/>
        <v>-0.42066720000000002</v>
      </c>
      <c r="I449" s="169">
        <f t="shared" si="60"/>
        <v>-0.42066720000000002</v>
      </c>
      <c r="J449" s="169">
        <f t="shared" si="60"/>
        <v>-0.42066720000000002</v>
      </c>
      <c r="K449" s="169">
        <f t="shared" si="60"/>
        <v>-0.42066720000000002</v>
      </c>
      <c r="L449" s="169">
        <f t="shared" si="60"/>
        <v>-0.42066720000000002</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23"/>
      <c r="BJ449" s="192"/>
      <c r="BK449" s="192"/>
      <c r="BL449" s="192"/>
      <c r="BM449" s="192"/>
      <c r="BN449" s="192"/>
      <c r="BO449" s="192"/>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3" t="str">
        <f>Asset28</f>
        <v>Equity Raising Costs</v>
      </c>
      <c r="C450" s="33"/>
      <c r="D450" s="34" t="s">
        <v>69</v>
      </c>
      <c r="E450" s="33"/>
      <c r="F450" s="35"/>
      <c r="G450" s="211" t="str">
        <f>IF(G$3&gt;A28taxremlife,A28taxvalue-SUM($F450:F450),IF(A28taxremlife="N/A","n/a",A28taxvalue/A28taxremlife))</f>
        <v>n/a</v>
      </c>
      <c r="H450" s="69" t="str">
        <f>IF(H$3&gt;A28taxremlife,A28taxvalue-SUM($F450:G450),IF(A28taxremlife="N/A","n/a",A28taxvalue/A28taxremlife))</f>
        <v>n/a</v>
      </c>
      <c r="I450" s="69" t="str">
        <f>IF(I$3&gt;A28taxremlife,A28taxvalue-SUM($F450:H450),IF(A28taxremlife="N/A","n/a",A28taxvalue/A28taxremlife))</f>
        <v>n/a</v>
      </c>
      <c r="J450" s="69" t="str">
        <f>IF(J$3&gt;A28taxremlife,A28taxvalue-SUM($F450:I450),IF(A28taxremlife="N/A","n/a",A28taxvalue/A28taxremlife))</f>
        <v>n/a</v>
      </c>
      <c r="K450" s="69" t="str">
        <f>IF(K$3&gt;A28taxremlife,A28taxvalue-SUM($F450:J450),IF(A28taxremlife="N/A","n/a",A28taxvalue/A28taxremlife))</f>
        <v>n/a</v>
      </c>
      <c r="L450" s="69" t="str">
        <f>IF(L$3&gt;A28taxremlife,A28taxvalue-SUM($F450:K450),IF(A28taxremlife="N/A","n/a",A28taxvalue/A28taxremlife))</f>
        <v>n/a</v>
      </c>
      <c r="M450" s="69" t="str">
        <f>IF(M$3&gt;A28taxremlife,A28taxvalue-SUM($F450:L450),IF(A28taxremlife="N/A","n/a",A28taxvalue/A28taxremlife))</f>
        <v>n/a</v>
      </c>
      <c r="N450" s="69" t="str">
        <f>IF(N$3&gt;A28taxremlife,A28taxvalue-SUM($F450:M450),IF(A28taxremlife="N/A","n/a",A28taxvalue/A28taxremlife))</f>
        <v>n/a</v>
      </c>
      <c r="O450" s="69" t="str">
        <f>IF(O$3&gt;A28taxremlife,A28taxvalue-SUM($F450:N450),IF(A28taxremlife="N/A","n/a",A28taxvalue/A28taxremlife))</f>
        <v>n/a</v>
      </c>
      <c r="P450" s="69" t="str">
        <f>IF(P$3&gt;A28taxremlife,A28taxvalue-SUM($F450:O450),IF(A28taxremlife="N/A","n/a",A28taxvalue/A28taxremlife))</f>
        <v>n/a</v>
      </c>
      <c r="Q450" s="69" t="str">
        <f>IF(Q$3&gt;A28taxremlife,A28taxvalue-SUM($F450:P450),IF(A28taxremlife="N/A","n/a",A28taxvalue/A28taxremlife))</f>
        <v>n/a</v>
      </c>
      <c r="R450" s="69"/>
      <c r="S450" s="105"/>
      <c r="T450" s="105"/>
      <c r="U450" s="105"/>
      <c r="V450" s="105"/>
      <c r="W450" s="105"/>
      <c r="X450" s="105"/>
      <c r="Y450" s="105"/>
      <c r="Z450" s="105"/>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192"/>
      <c r="BK450" s="192"/>
      <c r="BL450" s="192"/>
      <c r="BM450" s="192"/>
      <c r="BN450" s="192"/>
      <c r="BO450" s="192"/>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50" t="s">
        <v>87</v>
      </c>
      <c r="E451" s="88">
        <v>0</v>
      </c>
      <c r="F451" s="27"/>
      <c r="G451" s="212"/>
      <c r="H451" s="70"/>
      <c r="I451" s="70"/>
      <c r="J451" s="70"/>
      <c r="K451" s="70"/>
      <c r="L451" s="70"/>
      <c r="M451" s="70"/>
      <c r="N451" s="70"/>
      <c r="O451" s="70"/>
      <c r="P451" s="70"/>
      <c r="Q451" s="70"/>
      <c r="R451" s="70"/>
      <c r="S451" s="105"/>
      <c r="T451" s="105"/>
      <c r="U451" s="105"/>
      <c r="V451" s="105"/>
      <c r="W451" s="105"/>
      <c r="X451" s="105"/>
      <c r="Y451" s="105"/>
      <c r="Z451" s="105"/>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192"/>
      <c r="BK451" s="192"/>
      <c r="BL451" s="192"/>
      <c r="BM451" s="192"/>
      <c r="BN451" s="192"/>
      <c r="BO451" s="192"/>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51"/>
      <c r="E452" s="88">
        <v>1</v>
      </c>
      <c r="F452" s="27"/>
      <c r="G452" s="213"/>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192"/>
      <c r="BK452" s="192"/>
      <c r="BL452" s="192"/>
      <c r="BM452" s="192"/>
      <c r="BN452" s="192"/>
      <c r="BO452" s="19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51"/>
      <c r="E453" s="88">
        <v>2</v>
      </c>
      <c r="F453" s="27"/>
      <c r="G453" s="214"/>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192"/>
      <c r="BK453" s="192"/>
      <c r="BL453" s="192"/>
      <c r="BM453" s="192"/>
      <c r="BN453" s="192"/>
      <c r="BO453" s="192"/>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51"/>
      <c r="E454" s="88">
        <v>3</v>
      </c>
      <c r="F454" s="27"/>
      <c r="G454" s="214"/>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4"/>
      <c r="BK454" s="192"/>
      <c r="BL454" s="192"/>
      <c r="BM454" s="192"/>
      <c r="BN454" s="192"/>
      <c r="BO454" s="192"/>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51"/>
      <c r="E455" s="88">
        <v>4</v>
      </c>
      <c r="F455" s="27"/>
      <c r="G455" s="214"/>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192"/>
      <c r="BK455" s="192"/>
      <c r="BL455" s="192"/>
      <c r="BM455" s="192"/>
      <c r="BN455" s="192"/>
      <c r="BO455" s="192"/>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51"/>
      <c r="E456" s="88">
        <v>5</v>
      </c>
      <c r="F456" s="27"/>
      <c r="G456" s="214"/>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192"/>
      <c r="BK456" s="192"/>
      <c r="BL456" s="192"/>
      <c r="BM456" s="192"/>
      <c r="BN456" s="192"/>
      <c r="BO456" s="192"/>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51"/>
      <c r="E457" s="88">
        <v>6</v>
      </c>
      <c r="F457" s="27"/>
      <c r="G457" s="214"/>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192"/>
      <c r="BK457" s="192"/>
      <c r="BL457" s="192"/>
      <c r="BM457" s="192"/>
      <c r="BN457" s="192"/>
      <c r="BO457" s="192"/>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51"/>
      <c r="E458" s="88">
        <v>7</v>
      </c>
      <c r="F458" s="27"/>
      <c r="G458" s="214"/>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192"/>
      <c r="BK458" s="192"/>
      <c r="BL458" s="192"/>
      <c r="BM458" s="192"/>
      <c r="BN458" s="192"/>
      <c r="BO458" s="192"/>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51"/>
      <c r="E459" s="88">
        <v>8</v>
      </c>
      <c r="F459" s="27"/>
      <c r="G459" s="214"/>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192"/>
      <c r="BK459" s="192"/>
      <c r="BL459" s="192"/>
      <c r="BM459" s="192"/>
      <c r="BN459" s="192"/>
      <c r="BO459" s="192"/>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51"/>
      <c r="E460" s="88">
        <v>9</v>
      </c>
      <c r="F460" s="27"/>
      <c r="G460" s="214"/>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192"/>
      <c r="BK460" s="192"/>
      <c r="BL460" s="192"/>
      <c r="BM460" s="192"/>
      <c r="BN460" s="192"/>
      <c r="BO460" s="192"/>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51"/>
      <c r="E461" s="88">
        <v>10</v>
      </c>
      <c r="F461" s="27"/>
      <c r="G461" s="214"/>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192"/>
      <c r="BK461" s="192"/>
      <c r="BL461" s="192"/>
      <c r="BM461" s="192"/>
      <c r="BN461" s="192"/>
      <c r="BO461" s="192"/>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51"/>
      <c r="E462" s="89">
        <v>11</v>
      </c>
      <c r="F462" s="27"/>
      <c r="G462" s="214"/>
      <c r="H462" s="153"/>
      <c r="I462" s="153"/>
      <c r="J462" s="153"/>
      <c r="K462" s="153"/>
      <c r="L462" s="153"/>
      <c r="M462" s="153"/>
      <c r="N462" s="153"/>
      <c r="O462" s="153"/>
      <c r="P462" s="194"/>
      <c r="Q462" s="152"/>
      <c r="R462" s="70"/>
      <c r="S462" s="105"/>
      <c r="T462" s="105"/>
      <c r="U462" s="105"/>
      <c r="V462" s="105"/>
      <c r="W462" s="105"/>
      <c r="X462" s="105"/>
      <c r="Y462" s="105"/>
      <c r="Z462" s="105"/>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192"/>
      <c r="BK462" s="192"/>
      <c r="BL462" s="192"/>
      <c r="BM462" s="192"/>
      <c r="BN462" s="192"/>
      <c r="BO462" s="19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t="str">
        <f>Asset28</f>
        <v>Equity Raising Costs</v>
      </c>
      <c r="D463" s="9"/>
      <c r="E463" s="9"/>
      <c r="F463" s="23"/>
      <c r="G463" s="215">
        <f t="shared" ref="G463:L463" si="61">-SUM(G450:G462)</f>
        <v>0</v>
      </c>
      <c r="H463" s="169">
        <f t="shared" si="61"/>
        <v>0</v>
      </c>
      <c r="I463" s="169">
        <f t="shared" si="61"/>
        <v>0</v>
      </c>
      <c r="J463" s="169">
        <f t="shared" si="61"/>
        <v>0</v>
      </c>
      <c r="K463" s="169">
        <f t="shared" si="61"/>
        <v>0</v>
      </c>
      <c r="L463" s="169">
        <f t="shared" si="61"/>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223"/>
      <c r="BE463" s="223"/>
      <c r="BF463" s="223"/>
      <c r="BG463" s="223"/>
      <c r="BH463" s="223"/>
      <c r="BI463" s="223"/>
      <c r="BJ463" s="192"/>
      <c r="BK463" s="192"/>
      <c r="BL463" s="192"/>
      <c r="BM463" s="192"/>
      <c r="BN463" s="192"/>
      <c r="BO463" s="192"/>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3" t="str">
        <f>Asset29</f>
        <v>Not Used</v>
      </c>
      <c r="C464" s="33"/>
      <c r="D464" s="34" t="s">
        <v>69</v>
      </c>
      <c r="E464" s="33"/>
      <c r="F464" s="35"/>
      <c r="G464" s="211" t="str">
        <f>IF(G$3&gt;A29taxremlife,A29taxvalue-SUM($F464:F464),IF(A29taxremlife="N/A","n/a",A29taxvalue/A29taxremlife))</f>
        <v>n/a</v>
      </c>
      <c r="H464" s="69" t="str">
        <f>IF(H$3&gt;A29taxremlife,A29taxvalue-SUM($F464:G464),IF(A29taxremlife="N/A","n/a",A29taxvalue/A29taxremlife))</f>
        <v>n/a</v>
      </c>
      <c r="I464" s="69" t="str">
        <f>IF(I$3&gt;A29taxremlife,A29taxvalue-SUM($F464:H464),IF(A29taxremlife="N/A","n/a",A29taxvalue/A29taxremlife))</f>
        <v>n/a</v>
      </c>
      <c r="J464" s="69" t="str">
        <f>IF(J$3&gt;A29taxremlife,A29taxvalue-SUM($F464:I464),IF(A29taxremlife="N/A","n/a",A29taxvalue/A29taxremlife))</f>
        <v>n/a</v>
      </c>
      <c r="K464" s="69" t="str">
        <f>IF(K$3&gt;A29taxremlife,A29taxvalue-SUM($F464:J464),IF(A29taxremlife="N/A","n/a",A29taxvalue/A29taxremlife))</f>
        <v>n/a</v>
      </c>
      <c r="L464" s="69" t="str">
        <f>IF(L$3&gt;A29taxremlife,A29taxvalue-SUM($F464:K464),IF(A29taxremlife="N/A","n/a",A29taxvalue/A29taxremlife))</f>
        <v>n/a</v>
      </c>
      <c r="M464" s="69" t="str">
        <f>IF(M$3&gt;A29taxremlife,A29taxvalue-SUM($F464:L464),IF(A29taxremlife="N/A","n/a",A29taxvalue/A29taxremlife))</f>
        <v>n/a</v>
      </c>
      <c r="N464" s="69" t="str">
        <f>IF(N$3&gt;A29taxremlife,A29taxvalue-SUM($F464:M464),IF(A29taxremlife="N/A","n/a",A29taxvalue/A29taxremlife))</f>
        <v>n/a</v>
      </c>
      <c r="O464" s="69" t="str">
        <f>IF(O$3&gt;A29taxremlife,A29taxvalue-SUM($F464:N464),IF(A29taxremlife="N/A","n/a",A29taxvalue/A29taxremlife))</f>
        <v>n/a</v>
      </c>
      <c r="P464" s="69" t="str">
        <f>IF(P$3&gt;A29taxremlife,A29taxvalue-SUM($F464:O464),IF(A29taxremlife="N/A","n/a",A29taxvalue/A29taxremlife))</f>
        <v>n/a</v>
      </c>
      <c r="Q464" s="69" t="str">
        <f>IF(Q$3&gt;A29taxremlife,A29taxvalue-SUM($F464:P464),IF(A29taxremlife="N/A","n/a",A29taxvalue/A29taxremlife))</f>
        <v>n/a</v>
      </c>
      <c r="R464" s="69"/>
      <c r="S464" s="105"/>
      <c r="T464" s="105"/>
      <c r="U464" s="105"/>
      <c r="V464" s="105"/>
      <c r="W464" s="105"/>
      <c r="X464" s="105"/>
      <c r="Y464" s="105"/>
      <c r="Z464" s="105"/>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192"/>
      <c r="BK464" s="192"/>
      <c r="BL464" s="192"/>
      <c r="BM464" s="192"/>
      <c r="BN464" s="192"/>
      <c r="BO464" s="192"/>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50" t="s">
        <v>87</v>
      </c>
      <c r="E465" s="88">
        <v>0</v>
      </c>
      <c r="F465" s="27"/>
      <c r="G465" s="212"/>
      <c r="H465" s="70"/>
      <c r="I465" s="70"/>
      <c r="J465" s="70"/>
      <c r="K465" s="70"/>
      <c r="L465" s="70"/>
      <c r="M465" s="70"/>
      <c r="N465" s="70"/>
      <c r="O465" s="70"/>
      <c r="P465" s="70"/>
      <c r="Q465" s="70"/>
      <c r="R465" s="70"/>
      <c r="S465" s="105"/>
      <c r="T465" s="105"/>
      <c r="U465" s="105"/>
      <c r="V465" s="105"/>
      <c r="W465" s="105"/>
      <c r="X465" s="105"/>
      <c r="Y465" s="105"/>
      <c r="Z465" s="105"/>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192"/>
      <c r="BK465" s="192"/>
      <c r="BL465" s="192"/>
      <c r="BM465" s="192"/>
      <c r="BN465" s="192"/>
      <c r="BO465" s="192"/>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51"/>
      <c r="E466" s="88">
        <v>1</v>
      </c>
      <c r="F466" s="27"/>
      <c r="G466" s="213"/>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192"/>
      <c r="BK466" s="192"/>
      <c r="BL466" s="192"/>
      <c r="BM466" s="192"/>
      <c r="BN466" s="192"/>
      <c r="BO466" s="192"/>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51"/>
      <c r="E467" s="88">
        <v>2</v>
      </c>
      <c r="F467" s="27"/>
      <c r="G467" s="214"/>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192"/>
      <c r="BK467" s="192"/>
      <c r="BL467" s="192"/>
      <c r="BM467" s="192"/>
      <c r="BN467" s="192"/>
      <c r="BO467" s="192"/>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51"/>
      <c r="E468" s="88">
        <v>3</v>
      </c>
      <c r="F468" s="27"/>
      <c r="G468" s="214"/>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4"/>
      <c r="BK468" s="192"/>
      <c r="BL468" s="192"/>
      <c r="BM468" s="192"/>
      <c r="BN468" s="192"/>
      <c r="BO468" s="192"/>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51"/>
      <c r="E469" s="88">
        <v>4</v>
      </c>
      <c r="F469" s="27"/>
      <c r="G469" s="214"/>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192"/>
      <c r="BK469" s="192"/>
      <c r="BL469" s="192"/>
      <c r="BM469" s="192"/>
      <c r="BN469" s="192"/>
      <c r="BO469" s="192"/>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51"/>
      <c r="E470" s="88">
        <v>5</v>
      </c>
      <c r="F470" s="27"/>
      <c r="G470" s="214"/>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192"/>
      <c r="BK470" s="192"/>
      <c r="BL470" s="192"/>
      <c r="BM470" s="192"/>
      <c r="BN470" s="192"/>
      <c r="BO470" s="192"/>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51"/>
      <c r="E471" s="88">
        <v>6</v>
      </c>
      <c r="F471" s="27"/>
      <c r="G471" s="214"/>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192"/>
      <c r="BK471" s="192"/>
      <c r="BL471" s="192"/>
      <c r="BM471" s="192"/>
      <c r="BN471" s="192"/>
      <c r="BO471" s="192"/>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51"/>
      <c r="E472" s="88">
        <v>7</v>
      </c>
      <c r="F472" s="27"/>
      <c r="G472" s="214"/>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192"/>
      <c r="BK472" s="192"/>
      <c r="BL472" s="192"/>
      <c r="BM472" s="192"/>
      <c r="BN472" s="192"/>
      <c r="BO472" s="19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51"/>
      <c r="E473" s="88">
        <v>8</v>
      </c>
      <c r="F473" s="27"/>
      <c r="G473" s="214"/>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192"/>
      <c r="BK473" s="192"/>
      <c r="BL473" s="192"/>
      <c r="BM473" s="192"/>
      <c r="BN473" s="192"/>
      <c r="BO473" s="192"/>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51"/>
      <c r="E474" s="88">
        <v>9</v>
      </c>
      <c r="F474" s="27"/>
      <c r="G474" s="214"/>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192"/>
      <c r="BK474" s="192"/>
      <c r="BL474" s="192"/>
      <c r="BM474" s="192"/>
      <c r="BN474" s="192"/>
      <c r="BO474" s="192"/>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51"/>
      <c r="E475" s="88">
        <v>10</v>
      </c>
      <c r="F475" s="27"/>
      <c r="G475" s="214"/>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192"/>
      <c r="BK475" s="192"/>
      <c r="BL475" s="192"/>
      <c r="BM475" s="192"/>
      <c r="BN475" s="192"/>
      <c r="BO475" s="192"/>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51"/>
      <c r="E476" s="89">
        <v>11</v>
      </c>
      <c r="F476" s="27"/>
      <c r="G476" s="214"/>
      <c r="H476" s="153"/>
      <c r="I476" s="153"/>
      <c r="J476" s="153"/>
      <c r="K476" s="153"/>
      <c r="L476" s="153"/>
      <c r="M476" s="153"/>
      <c r="N476" s="153"/>
      <c r="O476" s="153"/>
      <c r="P476" s="194"/>
      <c r="Q476" s="152"/>
      <c r="R476" s="70"/>
      <c r="S476" s="105"/>
      <c r="T476" s="105"/>
      <c r="U476" s="105"/>
      <c r="V476" s="105"/>
      <c r="W476" s="105"/>
      <c r="X476" s="105"/>
      <c r="Y476" s="105"/>
      <c r="Z476" s="105"/>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192"/>
      <c r="BK476" s="192"/>
      <c r="BL476" s="192"/>
      <c r="BM476" s="192"/>
      <c r="BN476" s="192"/>
      <c r="BO476" s="192"/>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t="str">
        <f>Asset29</f>
        <v>Not Used</v>
      </c>
      <c r="D477" s="9"/>
      <c r="E477" s="9"/>
      <c r="F477" s="23"/>
      <c r="G477" s="215">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192"/>
      <c r="BK477" s="192"/>
      <c r="BL477" s="192"/>
      <c r="BM477" s="192"/>
      <c r="BN477" s="192"/>
      <c r="BO477" s="192"/>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3" t="str">
        <f>Asset30</f>
        <v>Not Used</v>
      </c>
      <c r="C478" s="33"/>
      <c r="D478" s="34" t="s">
        <v>69</v>
      </c>
      <c r="E478" s="33"/>
      <c r="F478" s="35"/>
      <c r="G478" s="211" t="str">
        <f>IF(G$3&gt;A30taxremlife,A30taxvalue-SUM($F478:F478),IF(A30taxremlife="N/A","n/a",A30taxvalue/A30taxremlife))</f>
        <v>n/a</v>
      </c>
      <c r="H478" s="69" t="str">
        <f>IF(H$3&gt;A30taxremlife,A30taxvalue-SUM($F478:G478),IF(A30taxremlife="N/A","n/a",A30taxvalue/A30taxremlife))</f>
        <v>n/a</v>
      </c>
      <c r="I478" s="69" t="str">
        <f>IF(I$3&gt;A30taxremlife,A30taxvalue-SUM($F478:H478),IF(A30taxremlife="N/A","n/a",A30taxvalue/A30taxremlife))</f>
        <v>n/a</v>
      </c>
      <c r="J478" s="69" t="str">
        <f>IF(J$3&gt;A30taxremlife,A30taxvalue-SUM($F478:I478),IF(A30taxremlife="N/A","n/a",A30taxvalue/A30taxremlife))</f>
        <v>n/a</v>
      </c>
      <c r="K478" s="69" t="str">
        <f>IF(K$3&gt;A30taxremlife,A30taxvalue-SUM($F478:J478),IF(A30taxremlife="N/A","n/a",A30taxvalue/A30taxremlife))</f>
        <v>n/a</v>
      </c>
      <c r="L478" s="69" t="str">
        <f>IF(L$3&gt;A30taxremlife,A30taxvalue-SUM($F478:K478),IF(A30taxremlife="N/A","n/a",A30taxvalue/A30taxremlife))</f>
        <v>n/a</v>
      </c>
      <c r="M478" s="69" t="str">
        <f>IF(M$3&gt;A30taxremlife,A30taxvalue-SUM($F478:L478),IF(A30taxremlife="N/A","n/a",A30taxvalue/A30taxremlife))</f>
        <v>n/a</v>
      </c>
      <c r="N478" s="69" t="str">
        <f>IF(N$3&gt;A30taxremlife,A30taxvalue-SUM($F478:M478),IF(A30taxremlife="N/A","n/a",A30taxvalue/A30taxremlife))</f>
        <v>n/a</v>
      </c>
      <c r="O478" s="69" t="str">
        <f>IF(O$3&gt;A30taxremlife,A30taxvalue-SUM($F478:N478),IF(A30taxremlife="N/A","n/a",A30taxvalue/A30taxremlife))</f>
        <v>n/a</v>
      </c>
      <c r="P478" s="69" t="str">
        <f>IF(P$3&gt;A30taxremlife,A30taxvalue-SUM($F478:O478),IF(A30taxremlife="N/A","n/a",A30taxvalue/A30taxremlife))</f>
        <v>n/a</v>
      </c>
      <c r="Q478" s="69" t="str">
        <f>IF(Q$3&gt;A30taxremlife,A30taxvalue-SUM($F478:P478),IF(A30taxremlife="N/A","n/a",A30taxvalue/A30taxremlife))</f>
        <v>n/a</v>
      </c>
      <c r="R478" s="69"/>
      <c r="S478" s="105"/>
      <c r="T478" s="105"/>
      <c r="U478" s="105"/>
      <c r="V478" s="105"/>
      <c r="W478" s="105"/>
      <c r="X478" s="105"/>
      <c r="Y478" s="105"/>
      <c r="Z478" s="105"/>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192"/>
      <c r="BK478" s="192"/>
      <c r="BL478" s="192"/>
      <c r="BM478" s="192"/>
      <c r="BN478" s="192"/>
      <c r="BO478" s="192"/>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50" t="s">
        <v>87</v>
      </c>
      <c r="E479" s="88">
        <v>0</v>
      </c>
      <c r="F479" s="27"/>
      <c r="G479" s="212"/>
      <c r="H479" s="70"/>
      <c r="I479" s="70"/>
      <c r="J479" s="70"/>
      <c r="K479" s="70"/>
      <c r="L479" s="70"/>
      <c r="M479" s="70"/>
      <c r="N479" s="70"/>
      <c r="O479" s="70"/>
      <c r="P479" s="70"/>
      <c r="Q479" s="70"/>
      <c r="R479" s="70"/>
      <c r="S479" s="105"/>
      <c r="T479" s="105"/>
      <c r="U479" s="105"/>
      <c r="V479" s="105"/>
      <c r="W479" s="105"/>
      <c r="X479" s="105"/>
      <c r="Y479" s="105"/>
      <c r="Z479" s="105"/>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192"/>
      <c r="BK479" s="192"/>
      <c r="BL479" s="192"/>
      <c r="BM479" s="192"/>
      <c r="BN479" s="192"/>
      <c r="BO479" s="192"/>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51"/>
      <c r="E480" s="88">
        <v>1</v>
      </c>
      <c r="F480" s="27"/>
      <c r="G480" s="213"/>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192"/>
      <c r="BK480" s="192"/>
      <c r="BL480" s="192"/>
      <c r="BM480" s="192"/>
      <c r="BN480" s="192"/>
      <c r="BO480" s="192"/>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51"/>
      <c r="E481" s="88">
        <v>2</v>
      </c>
      <c r="F481" s="27"/>
      <c r="G481" s="214"/>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192"/>
      <c r="BK481" s="192"/>
      <c r="BL481" s="192"/>
      <c r="BM481" s="192"/>
      <c r="BN481" s="192"/>
      <c r="BO481" s="192"/>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51"/>
      <c r="E482" s="88">
        <v>3</v>
      </c>
      <c r="F482" s="27"/>
      <c r="G482" s="214"/>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4"/>
      <c r="BK482" s="192"/>
      <c r="BL482" s="192"/>
      <c r="BM482" s="192"/>
      <c r="BN482" s="192"/>
      <c r="BO482" s="19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51"/>
      <c r="E483" s="88">
        <v>4</v>
      </c>
      <c r="F483" s="27"/>
      <c r="G483" s="214"/>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192"/>
      <c r="BK483" s="192"/>
      <c r="BL483" s="192"/>
      <c r="BM483" s="192"/>
      <c r="BN483" s="192"/>
      <c r="BO483" s="192"/>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51"/>
      <c r="E484" s="88">
        <v>5</v>
      </c>
      <c r="F484" s="27"/>
      <c r="G484" s="214"/>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192"/>
      <c r="BK484" s="192"/>
      <c r="BL484" s="192"/>
      <c r="BM484" s="192"/>
      <c r="BN484" s="192"/>
      <c r="BO484" s="192"/>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51"/>
      <c r="E485" s="88">
        <v>6</v>
      </c>
      <c r="F485" s="27"/>
      <c r="G485" s="214"/>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192"/>
      <c r="BK485" s="192"/>
      <c r="BL485" s="192"/>
      <c r="BM485" s="192"/>
      <c r="BN485" s="192"/>
      <c r="BO485" s="192"/>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51"/>
      <c r="E486" s="88">
        <v>7</v>
      </c>
      <c r="F486" s="27"/>
      <c r="G486" s="214"/>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192"/>
      <c r="BK486" s="192"/>
      <c r="BL486" s="192"/>
      <c r="BM486" s="192"/>
      <c r="BN486" s="192"/>
      <c r="BO486" s="192"/>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51"/>
      <c r="E487" s="88">
        <v>8</v>
      </c>
      <c r="F487" s="27"/>
      <c r="G487" s="214"/>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192"/>
      <c r="BK487" s="192"/>
      <c r="BL487" s="192"/>
      <c r="BM487" s="192"/>
      <c r="BN487" s="192"/>
      <c r="BO487" s="192"/>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51"/>
      <c r="E488" s="88">
        <v>9</v>
      </c>
      <c r="F488" s="27"/>
      <c r="G488" s="214"/>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192"/>
      <c r="BK488" s="192"/>
      <c r="BL488" s="192"/>
      <c r="BM488" s="192"/>
      <c r="BN488" s="192"/>
      <c r="BO488" s="192"/>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51"/>
      <c r="E489" s="88">
        <v>10</v>
      </c>
      <c r="F489" s="27"/>
      <c r="G489" s="214"/>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192"/>
      <c r="BK489" s="192"/>
      <c r="BL489" s="192"/>
      <c r="BM489" s="192"/>
      <c r="BN489" s="192"/>
      <c r="BO489" s="192"/>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51"/>
      <c r="E490" s="89">
        <v>11</v>
      </c>
      <c r="F490" s="27"/>
      <c r="G490" s="214"/>
      <c r="H490" s="153"/>
      <c r="I490" s="153"/>
      <c r="J490" s="153"/>
      <c r="K490" s="153"/>
      <c r="L490" s="153"/>
      <c r="M490" s="153"/>
      <c r="N490" s="153"/>
      <c r="O490" s="153"/>
      <c r="P490" s="194"/>
      <c r="Q490" s="152"/>
      <c r="R490" s="70"/>
      <c r="S490" s="105"/>
      <c r="T490" s="105"/>
      <c r="U490" s="105"/>
      <c r="V490" s="105"/>
      <c r="W490" s="105"/>
      <c r="X490" s="105"/>
      <c r="Y490" s="105"/>
      <c r="Z490" s="105"/>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192"/>
      <c r="BK490" s="192"/>
      <c r="BL490" s="192"/>
      <c r="BM490" s="192"/>
      <c r="BN490" s="192"/>
      <c r="BO490" s="192"/>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t="str">
        <f>Asset30</f>
        <v>Not Used</v>
      </c>
      <c r="D491" s="9"/>
      <c r="E491" s="9"/>
      <c r="F491" s="23"/>
      <c r="G491" s="215">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192"/>
      <c r="BK491" s="192"/>
      <c r="BL491" s="192"/>
      <c r="BM491" s="192"/>
      <c r="BN491" s="192"/>
      <c r="BO491" s="192"/>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2"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row>
    <row r="493" spans="1:256" s="192"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row>
    <row r="494" spans="1:256" s="192"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row>
    <row r="495" spans="1:256" s="192"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row>
    <row r="496" spans="1:256" s="192"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row>
    <row r="497" spans="1:61" s="192"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row>
    <row r="498" spans="1:61" s="192"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row>
    <row r="499" spans="1:61" s="192"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row>
    <row r="500" spans="1:61" s="192"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row>
    <row r="501" spans="1:61" s="192"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row>
  </sheetData>
  <mergeCells count="30">
    <mergeCell ref="D129:D140"/>
    <mergeCell ref="D143:D154"/>
    <mergeCell ref="D157:D168"/>
    <mergeCell ref="D171:D182"/>
    <mergeCell ref="D73:D84"/>
    <mergeCell ref="D87:D98"/>
    <mergeCell ref="D101:D112"/>
    <mergeCell ref="D115:D126"/>
    <mergeCell ref="D241:D252"/>
    <mergeCell ref="D255:D266"/>
    <mergeCell ref="D269:D280"/>
    <mergeCell ref="D283:D294"/>
    <mergeCell ref="D185:D196"/>
    <mergeCell ref="D199:D210"/>
    <mergeCell ref="D213:D224"/>
    <mergeCell ref="D227:D238"/>
    <mergeCell ref="D353:D364"/>
    <mergeCell ref="D367:D378"/>
    <mergeCell ref="D381:D392"/>
    <mergeCell ref="D395:D406"/>
    <mergeCell ref="D297:D308"/>
    <mergeCell ref="D311:D322"/>
    <mergeCell ref="D325:D336"/>
    <mergeCell ref="D339:D350"/>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659"/>
  <sheetViews>
    <sheetView topLeftCell="A47" zoomScale="80" zoomScaleNormal="80" workbookViewId="0">
      <selection activeCell="F383" sqref="F383"/>
    </sheetView>
  </sheetViews>
  <sheetFormatPr defaultRowHeight="12.75" outlineLevelRow="1"/>
  <cols>
    <col min="1" max="1" width="4.140625" customWidth="1"/>
    <col min="2" max="2" width="12.140625" style="300" customWidth="1"/>
    <col min="3" max="3" width="29.42578125" customWidth="1"/>
    <col min="4" max="4" width="5.42578125" customWidth="1"/>
    <col min="5" max="5" width="13.7109375" style="301" customWidth="1"/>
    <col min="6" max="6" width="16" style="301" customWidth="1"/>
    <col min="7" max="7" width="4.140625" style="302" customWidth="1"/>
    <col min="8" max="8" width="6.85546875" style="303" customWidth="1"/>
    <col min="9" max="9" width="9.140625" style="304" customWidth="1"/>
    <col min="10" max="10" width="16.140625" style="303" bestFit="1" customWidth="1"/>
    <col min="11" max="11" width="13.85546875" style="304" customWidth="1"/>
    <col min="12" max="12" width="9.140625" style="305" customWidth="1"/>
    <col min="257" max="257" width="4.140625" customWidth="1"/>
    <col min="258" max="258" width="12.140625" customWidth="1"/>
    <col min="259" max="259" width="29" customWidth="1"/>
    <col min="260" max="260" width="5.42578125" customWidth="1"/>
    <col min="261" max="261" width="18.140625" bestFit="1" customWidth="1"/>
    <col min="262" max="262" width="20.5703125" bestFit="1" customWidth="1"/>
    <col min="263" max="263" width="4.140625" customWidth="1"/>
    <col min="264" max="265" width="6.85546875" customWidth="1"/>
    <col min="266" max="266" width="16.140625" bestFit="1" customWidth="1"/>
    <col min="267" max="267" width="24.28515625" bestFit="1" customWidth="1"/>
    <col min="268" max="268" width="9.140625" customWidth="1"/>
    <col min="513" max="513" width="4.140625" customWidth="1"/>
    <col min="514" max="514" width="12.140625" customWidth="1"/>
    <col min="515" max="515" width="29" customWidth="1"/>
    <col min="516" max="516" width="5.42578125" customWidth="1"/>
    <col min="517" max="517" width="18.140625" bestFit="1" customWidth="1"/>
    <col min="518" max="518" width="20.5703125" bestFit="1" customWidth="1"/>
    <col min="519" max="519" width="4.140625" customWidth="1"/>
    <col min="520" max="521" width="6.85546875" customWidth="1"/>
    <col min="522" max="522" width="16.140625" bestFit="1" customWidth="1"/>
    <col min="523" max="523" width="24.28515625" bestFit="1" customWidth="1"/>
    <col min="524" max="524" width="9.140625" customWidth="1"/>
    <col min="769" max="769" width="4.140625" customWidth="1"/>
    <col min="770" max="770" width="12.140625" customWidth="1"/>
    <col min="771" max="771" width="29" customWidth="1"/>
    <col min="772" max="772" width="5.42578125" customWidth="1"/>
    <col min="773" max="773" width="18.140625" bestFit="1" customWidth="1"/>
    <col min="774" max="774" width="20.5703125" bestFit="1" customWidth="1"/>
    <col min="775" max="775" width="4.140625" customWidth="1"/>
    <col min="776" max="777" width="6.85546875" customWidth="1"/>
    <col min="778" max="778" width="16.140625" bestFit="1" customWidth="1"/>
    <col min="779" max="779" width="24.28515625" bestFit="1" customWidth="1"/>
    <col min="780" max="780" width="9.140625" customWidth="1"/>
    <col min="1025" max="1025" width="4.140625" customWidth="1"/>
    <col min="1026" max="1026" width="12.140625" customWidth="1"/>
    <col min="1027" max="1027" width="29" customWidth="1"/>
    <col min="1028" max="1028" width="5.42578125" customWidth="1"/>
    <col min="1029" max="1029" width="18.140625" bestFit="1" customWidth="1"/>
    <col min="1030" max="1030" width="20.5703125" bestFit="1" customWidth="1"/>
    <col min="1031" max="1031" width="4.140625" customWidth="1"/>
    <col min="1032" max="1033" width="6.85546875" customWidth="1"/>
    <col min="1034" max="1034" width="16.140625" bestFit="1" customWidth="1"/>
    <col min="1035" max="1035" width="24.28515625" bestFit="1" customWidth="1"/>
    <col min="1036" max="1036" width="9.140625" customWidth="1"/>
    <col min="1281" max="1281" width="4.140625" customWidth="1"/>
    <col min="1282" max="1282" width="12.140625" customWidth="1"/>
    <col min="1283" max="1283" width="29" customWidth="1"/>
    <col min="1284" max="1284" width="5.42578125" customWidth="1"/>
    <col min="1285" max="1285" width="18.140625" bestFit="1" customWidth="1"/>
    <col min="1286" max="1286" width="20.5703125" bestFit="1" customWidth="1"/>
    <col min="1287" max="1287" width="4.140625" customWidth="1"/>
    <col min="1288" max="1289" width="6.85546875" customWidth="1"/>
    <col min="1290" max="1290" width="16.140625" bestFit="1" customWidth="1"/>
    <col min="1291" max="1291" width="24.28515625" bestFit="1" customWidth="1"/>
    <col min="1292" max="1292" width="9.140625" customWidth="1"/>
    <col min="1537" max="1537" width="4.140625" customWidth="1"/>
    <col min="1538" max="1538" width="12.140625" customWidth="1"/>
    <col min="1539" max="1539" width="29" customWidth="1"/>
    <col min="1540" max="1540" width="5.42578125" customWidth="1"/>
    <col min="1541" max="1541" width="18.140625" bestFit="1" customWidth="1"/>
    <col min="1542" max="1542" width="20.5703125" bestFit="1" customWidth="1"/>
    <col min="1543" max="1543" width="4.140625" customWidth="1"/>
    <col min="1544" max="1545" width="6.85546875" customWidth="1"/>
    <col min="1546" max="1546" width="16.140625" bestFit="1" customWidth="1"/>
    <col min="1547" max="1547" width="24.28515625" bestFit="1" customWidth="1"/>
    <col min="1548" max="1548" width="9.140625" customWidth="1"/>
    <col min="1793" max="1793" width="4.140625" customWidth="1"/>
    <col min="1794" max="1794" width="12.140625" customWidth="1"/>
    <col min="1795" max="1795" width="29" customWidth="1"/>
    <col min="1796" max="1796" width="5.42578125" customWidth="1"/>
    <col min="1797" max="1797" width="18.140625" bestFit="1" customWidth="1"/>
    <col min="1798" max="1798" width="20.5703125" bestFit="1" customWidth="1"/>
    <col min="1799" max="1799" width="4.140625" customWidth="1"/>
    <col min="1800" max="1801" width="6.85546875" customWidth="1"/>
    <col min="1802" max="1802" width="16.140625" bestFit="1" customWidth="1"/>
    <col min="1803" max="1803" width="24.28515625" bestFit="1" customWidth="1"/>
    <col min="1804" max="1804" width="9.140625" customWidth="1"/>
    <col min="2049" max="2049" width="4.140625" customWidth="1"/>
    <col min="2050" max="2050" width="12.140625" customWidth="1"/>
    <col min="2051" max="2051" width="29" customWidth="1"/>
    <col min="2052" max="2052" width="5.42578125" customWidth="1"/>
    <col min="2053" max="2053" width="18.140625" bestFit="1" customWidth="1"/>
    <col min="2054" max="2054" width="20.5703125" bestFit="1" customWidth="1"/>
    <col min="2055" max="2055" width="4.140625" customWidth="1"/>
    <col min="2056" max="2057" width="6.85546875" customWidth="1"/>
    <col min="2058" max="2058" width="16.140625" bestFit="1" customWidth="1"/>
    <col min="2059" max="2059" width="24.28515625" bestFit="1" customWidth="1"/>
    <col min="2060" max="2060" width="9.140625" customWidth="1"/>
    <col min="2305" max="2305" width="4.140625" customWidth="1"/>
    <col min="2306" max="2306" width="12.140625" customWidth="1"/>
    <col min="2307" max="2307" width="29" customWidth="1"/>
    <col min="2308" max="2308" width="5.42578125" customWidth="1"/>
    <col min="2309" max="2309" width="18.140625" bestFit="1" customWidth="1"/>
    <col min="2310" max="2310" width="20.5703125" bestFit="1" customWidth="1"/>
    <col min="2311" max="2311" width="4.140625" customWidth="1"/>
    <col min="2312" max="2313" width="6.85546875" customWidth="1"/>
    <col min="2314" max="2314" width="16.140625" bestFit="1" customWidth="1"/>
    <col min="2315" max="2315" width="24.28515625" bestFit="1" customWidth="1"/>
    <col min="2316" max="2316" width="9.140625" customWidth="1"/>
    <col min="2561" max="2561" width="4.140625" customWidth="1"/>
    <col min="2562" max="2562" width="12.140625" customWidth="1"/>
    <col min="2563" max="2563" width="29" customWidth="1"/>
    <col min="2564" max="2564" width="5.42578125" customWidth="1"/>
    <col min="2565" max="2565" width="18.140625" bestFit="1" customWidth="1"/>
    <col min="2566" max="2566" width="20.5703125" bestFit="1" customWidth="1"/>
    <col min="2567" max="2567" width="4.140625" customWidth="1"/>
    <col min="2568" max="2569" width="6.85546875" customWidth="1"/>
    <col min="2570" max="2570" width="16.140625" bestFit="1" customWidth="1"/>
    <col min="2571" max="2571" width="24.28515625" bestFit="1" customWidth="1"/>
    <col min="2572" max="2572" width="9.140625" customWidth="1"/>
    <col min="2817" max="2817" width="4.140625" customWidth="1"/>
    <col min="2818" max="2818" width="12.140625" customWidth="1"/>
    <col min="2819" max="2819" width="29" customWidth="1"/>
    <col min="2820" max="2820" width="5.42578125" customWidth="1"/>
    <col min="2821" max="2821" width="18.140625" bestFit="1" customWidth="1"/>
    <col min="2822" max="2822" width="20.5703125" bestFit="1" customWidth="1"/>
    <col min="2823" max="2823" width="4.140625" customWidth="1"/>
    <col min="2824" max="2825" width="6.85546875" customWidth="1"/>
    <col min="2826" max="2826" width="16.140625" bestFit="1" customWidth="1"/>
    <col min="2827" max="2827" width="24.28515625" bestFit="1" customWidth="1"/>
    <col min="2828" max="2828" width="9.140625" customWidth="1"/>
    <col min="3073" max="3073" width="4.140625" customWidth="1"/>
    <col min="3074" max="3074" width="12.140625" customWidth="1"/>
    <col min="3075" max="3075" width="29" customWidth="1"/>
    <col min="3076" max="3076" width="5.42578125" customWidth="1"/>
    <col min="3077" max="3077" width="18.140625" bestFit="1" customWidth="1"/>
    <col min="3078" max="3078" width="20.5703125" bestFit="1" customWidth="1"/>
    <col min="3079" max="3079" width="4.140625" customWidth="1"/>
    <col min="3080" max="3081" width="6.85546875" customWidth="1"/>
    <col min="3082" max="3082" width="16.140625" bestFit="1" customWidth="1"/>
    <col min="3083" max="3083" width="24.28515625" bestFit="1" customWidth="1"/>
    <col min="3084" max="3084" width="9.140625" customWidth="1"/>
    <col min="3329" max="3329" width="4.140625" customWidth="1"/>
    <col min="3330" max="3330" width="12.140625" customWidth="1"/>
    <col min="3331" max="3331" width="29" customWidth="1"/>
    <col min="3332" max="3332" width="5.42578125" customWidth="1"/>
    <col min="3333" max="3333" width="18.140625" bestFit="1" customWidth="1"/>
    <col min="3334" max="3334" width="20.5703125" bestFit="1" customWidth="1"/>
    <col min="3335" max="3335" width="4.140625" customWidth="1"/>
    <col min="3336" max="3337" width="6.85546875" customWidth="1"/>
    <col min="3338" max="3338" width="16.140625" bestFit="1" customWidth="1"/>
    <col min="3339" max="3339" width="24.28515625" bestFit="1" customWidth="1"/>
    <col min="3340" max="3340" width="9.140625" customWidth="1"/>
    <col min="3585" max="3585" width="4.140625" customWidth="1"/>
    <col min="3586" max="3586" width="12.140625" customWidth="1"/>
    <col min="3587" max="3587" width="29" customWidth="1"/>
    <col min="3588" max="3588" width="5.42578125" customWidth="1"/>
    <col min="3589" max="3589" width="18.140625" bestFit="1" customWidth="1"/>
    <col min="3590" max="3590" width="20.5703125" bestFit="1" customWidth="1"/>
    <col min="3591" max="3591" width="4.140625" customWidth="1"/>
    <col min="3592" max="3593" width="6.85546875" customWidth="1"/>
    <col min="3594" max="3594" width="16.140625" bestFit="1" customWidth="1"/>
    <col min="3595" max="3595" width="24.28515625" bestFit="1" customWidth="1"/>
    <col min="3596" max="3596" width="9.140625" customWidth="1"/>
    <col min="3841" max="3841" width="4.140625" customWidth="1"/>
    <col min="3842" max="3842" width="12.140625" customWidth="1"/>
    <col min="3843" max="3843" width="29" customWidth="1"/>
    <col min="3844" max="3844" width="5.42578125" customWidth="1"/>
    <col min="3845" max="3845" width="18.140625" bestFit="1" customWidth="1"/>
    <col min="3846" max="3846" width="20.5703125" bestFit="1" customWidth="1"/>
    <col min="3847" max="3847" width="4.140625" customWidth="1"/>
    <col min="3848" max="3849" width="6.85546875" customWidth="1"/>
    <col min="3850" max="3850" width="16.140625" bestFit="1" customWidth="1"/>
    <col min="3851" max="3851" width="24.28515625" bestFit="1" customWidth="1"/>
    <col min="3852" max="3852" width="9.140625" customWidth="1"/>
    <col min="4097" max="4097" width="4.140625" customWidth="1"/>
    <col min="4098" max="4098" width="12.140625" customWidth="1"/>
    <col min="4099" max="4099" width="29" customWidth="1"/>
    <col min="4100" max="4100" width="5.42578125" customWidth="1"/>
    <col min="4101" max="4101" width="18.140625" bestFit="1" customWidth="1"/>
    <col min="4102" max="4102" width="20.5703125" bestFit="1" customWidth="1"/>
    <col min="4103" max="4103" width="4.140625" customWidth="1"/>
    <col min="4104" max="4105" width="6.85546875" customWidth="1"/>
    <col min="4106" max="4106" width="16.140625" bestFit="1" customWidth="1"/>
    <col min="4107" max="4107" width="24.28515625" bestFit="1" customWidth="1"/>
    <col min="4108" max="4108" width="9.140625" customWidth="1"/>
    <col min="4353" max="4353" width="4.140625" customWidth="1"/>
    <col min="4354" max="4354" width="12.140625" customWidth="1"/>
    <col min="4355" max="4355" width="29" customWidth="1"/>
    <col min="4356" max="4356" width="5.42578125" customWidth="1"/>
    <col min="4357" max="4357" width="18.140625" bestFit="1" customWidth="1"/>
    <col min="4358" max="4358" width="20.5703125" bestFit="1" customWidth="1"/>
    <col min="4359" max="4359" width="4.140625" customWidth="1"/>
    <col min="4360" max="4361" width="6.85546875" customWidth="1"/>
    <col min="4362" max="4362" width="16.140625" bestFit="1" customWidth="1"/>
    <col min="4363" max="4363" width="24.28515625" bestFit="1" customWidth="1"/>
    <col min="4364" max="4364" width="9.140625" customWidth="1"/>
    <col min="4609" max="4609" width="4.140625" customWidth="1"/>
    <col min="4610" max="4610" width="12.140625" customWidth="1"/>
    <col min="4611" max="4611" width="29" customWidth="1"/>
    <col min="4612" max="4612" width="5.42578125" customWidth="1"/>
    <col min="4613" max="4613" width="18.140625" bestFit="1" customWidth="1"/>
    <col min="4614" max="4614" width="20.5703125" bestFit="1" customWidth="1"/>
    <col min="4615" max="4615" width="4.140625" customWidth="1"/>
    <col min="4616" max="4617" width="6.85546875" customWidth="1"/>
    <col min="4618" max="4618" width="16.140625" bestFit="1" customWidth="1"/>
    <col min="4619" max="4619" width="24.28515625" bestFit="1" customWidth="1"/>
    <col min="4620" max="4620" width="9.140625" customWidth="1"/>
    <col min="4865" max="4865" width="4.140625" customWidth="1"/>
    <col min="4866" max="4866" width="12.140625" customWidth="1"/>
    <col min="4867" max="4867" width="29" customWidth="1"/>
    <col min="4868" max="4868" width="5.42578125" customWidth="1"/>
    <col min="4869" max="4869" width="18.140625" bestFit="1" customWidth="1"/>
    <col min="4870" max="4870" width="20.5703125" bestFit="1" customWidth="1"/>
    <col min="4871" max="4871" width="4.140625" customWidth="1"/>
    <col min="4872" max="4873" width="6.85546875" customWidth="1"/>
    <col min="4874" max="4874" width="16.140625" bestFit="1" customWidth="1"/>
    <col min="4875" max="4875" width="24.28515625" bestFit="1" customWidth="1"/>
    <col min="4876" max="4876" width="9.140625" customWidth="1"/>
    <col min="5121" max="5121" width="4.140625" customWidth="1"/>
    <col min="5122" max="5122" width="12.140625" customWidth="1"/>
    <col min="5123" max="5123" width="29" customWidth="1"/>
    <col min="5124" max="5124" width="5.42578125" customWidth="1"/>
    <col min="5125" max="5125" width="18.140625" bestFit="1" customWidth="1"/>
    <col min="5126" max="5126" width="20.5703125" bestFit="1" customWidth="1"/>
    <col min="5127" max="5127" width="4.140625" customWidth="1"/>
    <col min="5128" max="5129" width="6.85546875" customWidth="1"/>
    <col min="5130" max="5130" width="16.140625" bestFit="1" customWidth="1"/>
    <col min="5131" max="5131" width="24.28515625" bestFit="1" customWidth="1"/>
    <col min="5132" max="5132" width="9.140625" customWidth="1"/>
    <col min="5377" max="5377" width="4.140625" customWidth="1"/>
    <col min="5378" max="5378" width="12.140625" customWidth="1"/>
    <col min="5379" max="5379" width="29" customWidth="1"/>
    <col min="5380" max="5380" width="5.42578125" customWidth="1"/>
    <col min="5381" max="5381" width="18.140625" bestFit="1" customWidth="1"/>
    <col min="5382" max="5382" width="20.5703125" bestFit="1" customWidth="1"/>
    <col min="5383" max="5383" width="4.140625" customWidth="1"/>
    <col min="5384" max="5385" width="6.85546875" customWidth="1"/>
    <col min="5386" max="5386" width="16.140625" bestFit="1" customWidth="1"/>
    <col min="5387" max="5387" width="24.28515625" bestFit="1" customWidth="1"/>
    <col min="5388" max="5388" width="9.140625" customWidth="1"/>
    <col min="5633" max="5633" width="4.140625" customWidth="1"/>
    <col min="5634" max="5634" width="12.140625" customWidth="1"/>
    <col min="5635" max="5635" width="29" customWidth="1"/>
    <col min="5636" max="5636" width="5.42578125" customWidth="1"/>
    <col min="5637" max="5637" width="18.140625" bestFit="1" customWidth="1"/>
    <col min="5638" max="5638" width="20.5703125" bestFit="1" customWidth="1"/>
    <col min="5639" max="5639" width="4.140625" customWidth="1"/>
    <col min="5640" max="5641" width="6.85546875" customWidth="1"/>
    <col min="5642" max="5642" width="16.140625" bestFit="1" customWidth="1"/>
    <col min="5643" max="5643" width="24.28515625" bestFit="1" customWidth="1"/>
    <col min="5644" max="5644" width="9.140625" customWidth="1"/>
    <col min="5889" max="5889" width="4.140625" customWidth="1"/>
    <col min="5890" max="5890" width="12.140625" customWidth="1"/>
    <col min="5891" max="5891" width="29" customWidth="1"/>
    <col min="5892" max="5892" width="5.42578125" customWidth="1"/>
    <col min="5893" max="5893" width="18.140625" bestFit="1" customWidth="1"/>
    <col min="5894" max="5894" width="20.5703125" bestFit="1" customWidth="1"/>
    <col min="5895" max="5895" width="4.140625" customWidth="1"/>
    <col min="5896" max="5897" width="6.85546875" customWidth="1"/>
    <col min="5898" max="5898" width="16.140625" bestFit="1" customWidth="1"/>
    <col min="5899" max="5899" width="24.28515625" bestFit="1" customWidth="1"/>
    <col min="5900" max="5900" width="9.140625" customWidth="1"/>
    <col min="6145" max="6145" width="4.140625" customWidth="1"/>
    <col min="6146" max="6146" width="12.140625" customWidth="1"/>
    <col min="6147" max="6147" width="29" customWidth="1"/>
    <col min="6148" max="6148" width="5.42578125" customWidth="1"/>
    <col min="6149" max="6149" width="18.140625" bestFit="1" customWidth="1"/>
    <col min="6150" max="6150" width="20.5703125" bestFit="1" customWidth="1"/>
    <col min="6151" max="6151" width="4.140625" customWidth="1"/>
    <col min="6152" max="6153" width="6.85546875" customWidth="1"/>
    <col min="6154" max="6154" width="16.140625" bestFit="1" customWidth="1"/>
    <col min="6155" max="6155" width="24.28515625" bestFit="1" customWidth="1"/>
    <col min="6156" max="6156" width="9.140625" customWidth="1"/>
    <col min="6401" max="6401" width="4.140625" customWidth="1"/>
    <col min="6402" max="6402" width="12.140625" customWidth="1"/>
    <col min="6403" max="6403" width="29" customWidth="1"/>
    <col min="6404" max="6404" width="5.42578125" customWidth="1"/>
    <col min="6405" max="6405" width="18.140625" bestFit="1" customWidth="1"/>
    <col min="6406" max="6406" width="20.5703125" bestFit="1" customWidth="1"/>
    <col min="6407" max="6407" width="4.140625" customWidth="1"/>
    <col min="6408" max="6409" width="6.85546875" customWidth="1"/>
    <col min="6410" max="6410" width="16.140625" bestFit="1" customWidth="1"/>
    <col min="6411" max="6411" width="24.28515625" bestFit="1" customWidth="1"/>
    <col min="6412" max="6412" width="9.140625" customWidth="1"/>
    <col min="6657" max="6657" width="4.140625" customWidth="1"/>
    <col min="6658" max="6658" width="12.140625" customWidth="1"/>
    <col min="6659" max="6659" width="29" customWidth="1"/>
    <col min="6660" max="6660" width="5.42578125" customWidth="1"/>
    <col min="6661" max="6661" width="18.140625" bestFit="1" customWidth="1"/>
    <col min="6662" max="6662" width="20.5703125" bestFit="1" customWidth="1"/>
    <col min="6663" max="6663" width="4.140625" customWidth="1"/>
    <col min="6664" max="6665" width="6.85546875" customWidth="1"/>
    <col min="6666" max="6666" width="16.140625" bestFit="1" customWidth="1"/>
    <col min="6667" max="6667" width="24.28515625" bestFit="1" customWidth="1"/>
    <col min="6668" max="6668" width="9.140625" customWidth="1"/>
    <col min="6913" max="6913" width="4.140625" customWidth="1"/>
    <col min="6914" max="6914" width="12.140625" customWidth="1"/>
    <col min="6915" max="6915" width="29" customWidth="1"/>
    <col min="6916" max="6916" width="5.42578125" customWidth="1"/>
    <col min="6917" max="6917" width="18.140625" bestFit="1" customWidth="1"/>
    <col min="6918" max="6918" width="20.5703125" bestFit="1" customWidth="1"/>
    <col min="6919" max="6919" width="4.140625" customWidth="1"/>
    <col min="6920" max="6921" width="6.85546875" customWidth="1"/>
    <col min="6922" max="6922" width="16.140625" bestFit="1" customWidth="1"/>
    <col min="6923" max="6923" width="24.28515625" bestFit="1" customWidth="1"/>
    <col min="6924" max="6924" width="9.140625" customWidth="1"/>
    <col min="7169" max="7169" width="4.140625" customWidth="1"/>
    <col min="7170" max="7170" width="12.140625" customWidth="1"/>
    <col min="7171" max="7171" width="29" customWidth="1"/>
    <col min="7172" max="7172" width="5.42578125" customWidth="1"/>
    <col min="7173" max="7173" width="18.140625" bestFit="1" customWidth="1"/>
    <col min="7174" max="7174" width="20.5703125" bestFit="1" customWidth="1"/>
    <col min="7175" max="7175" width="4.140625" customWidth="1"/>
    <col min="7176" max="7177" width="6.85546875" customWidth="1"/>
    <col min="7178" max="7178" width="16.140625" bestFit="1" customWidth="1"/>
    <col min="7179" max="7179" width="24.28515625" bestFit="1" customWidth="1"/>
    <col min="7180" max="7180" width="9.140625" customWidth="1"/>
    <col min="7425" max="7425" width="4.140625" customWidth="1"/>
    <col min="7426" max="7426" width="12.140625" customWidth="1"/>
    <col min="7427" max="7427" width="29" customWidth="1"/>
    <col min="7428" max="7428" width="5.42578125" customWidth="1"/>
    <col min="7429" max="7429" width="18.140625" bestFit="1" customWidth="1"/>
    <col min="7430" max="7430" width="20.5703125" bestFit="1" customWidth="1"/>
    <col min="7431" max="7431" width="4.140625" customWidth="1"/>
    <col min="7432" max="7433" width="6.85546875" customWidth="1"/>
    <col min="7434" max="7434" width="16.140625" bestFit="1" customWidth="1"/>
    <col min="7435" max="7435" width="24.28515625" bestFit="1" customWidth="1"/>
    <col min="7436" max="7436" width="9.140625" customWidth="1"/>
    <col min="7681" max="7681" width="4.140625" customWidth="1"/>
    <col min="7682" max="7682" width="12.140625" customWidth="1"/>
    <col min="7683" max="7683" width="29" customWidth="1"/>
    <col min="7684" max="7684" width="5.42578125" customWidth="1"/>
    <col min="7685" max="7685" width="18.140625" bestFit="1" customWidth="1"/>
    <col min="7686" max="7686" width="20.5703125" bestFit="1" customWidth="1"/>
    <col min="7687" max="7687" width="4.140625" customWidth="1"/>
    <col min="7688" max="7689" width="6.85546875" customWidth="1"/>
    <col min="7690" max="7690" width="16.140625" bestFit="1" customWidth="1"/>
    <col min="7691" max="7691" width="24.28515625" bestFit="1" customWidth="1"/>
    <col min="7692" max="7692" width="9.140625" customWidth="1"/>
    <col min="7937" max="7937" width="4.140625" customWidth="1"/>
    <col min="7938" max="7938" width="12.140625" customWidth="1"/>
    <col min="7939" max="7939" width="29" customWidth="1"/>
    <col min="7940" max="7940" width="5.42578125" customWidth="1"/>
    <col min="7941" max="7941" width="18.140625" bestFit="1" customWidth="1"/>
    <col min="7942" max="7942" width="20.5703125" bestFit="1" customWidth="1"/>
    <col min="7943" max="7943" width="4.140625" customWidth="1"/>
    <col min="7944" max="7945" width="6.85546875" customWidth="1"/>
    <col min="7946" max="7946" width="16.140625" bestFit="1" customWidth="1"/>
    <col min="7947" max="7947" width="24.28515625" bestFit="1" customWidth="1"/>
    <col min="7948" max="7948" width="9.140625" customWidth="1"/>
    <col min="8193" max="8193" width="4.140625" customWidth="1"/>
    <col min="8194" max="8194" width="12.140625" customWidth="1"/>
    <col min="8195" max="8195" width="29" customWidth="1"/>
    <col min="8196" max="8196" width="5.42578125" customWidth="1"/>
    <col min="8197" max="8197" width="18.140625" bestFit="1" customWidth="1"/>
    <col min="8198" max="8198" width="20.5703125" bestFit="1" customWidth="1"/>
    <col min="8199" max="8199" width="4.140625" customWidth="1"/>
    <col min="8200" max="8201" width="6.85546875" customWidth="1"/>
    <col min="8202" max="8202" width="16.140625" bestFit="1" customWidth="1"/>
    <col min="8203" max="8203" width="24.28515625" bestFit="1" customWidth="1"/>
    <col min="8204" max="8204" width="9.140625" customWidth="1"/>
    <col min="8449" max="8449" width="4.140625" customWidth="1"/>
    <col min="8450" max="8450" width="12.140625" customWidth="1"/>
    <col min="8451" max="8451" width="29" customWidth="1"/>
    <col min="8452" max="8452" width="5.42578125" customWidth="1"/>
    <col min="8453" max="8453" width="18.140625" bestFit="1" customWidth="1"/>
    <col min="8454" max="8454" width="20.5703125" bestFit="1" customWidth="1"/>
    <col min="8455" max="8455" width="4.140625" customWidth="1"/>
    <col min="8456" max="8457" width="6.85546875" customWidth="1"/>
    <col min="8458" max="8458" width="16.140625" bestFit="1" customWidth="1"/>
    <col min="8459" max="8459" width="24.28515625" bestFit="1" customWidth="1"/>
    <col min="8460" max="8460" width="9.140625" customWidth="1"/>
    <col min="8705" max="8705" width="4.140625" customWidth="1"/>
    <col min="8706" max="8706" width="12.140625" customWidth="1"/>
    <col min="8707" max="8707" width="29" customWidth="1"/>
    <col min="8708" max="8708" width="5.42578125" customWidth="1"/>
    <col min="8709" max="8709" width="18.140625" bestFit="1" customWidth="1"/>
    <col min="8710" max="8710" width="20.5703125" bestFit="1" customWidth="1"/>
    <col min="8711" max="8711" width="4.140625" customWidth="1"/>
    <col min="8712" max="8713" width="6.85546875" customWidth="1"/>
    <col min="8714" max="8714" width="16.140625" bestFit="1" customWidth="1"/>
    <col min="8715" max="8715" width="24.28515625" bestFit="1" customWidth="1"/>
    <col min="8716" max="8716" width="9.140625" customWidth="1"/>
    <col min="8961" max="8961" width="4.140625" customWidth="1"/>
    <col min="8962" max="8962" width="12.140625" customWidth="1"/>
    <col min="8963" max="8963" width="29" customWidth="1"/>
    <col min="8964" max="8964" width="5.42578125" customWidth="1"/>
    <col min="8965" max="8965" width="18.140625" bestFit="1" customWidth="1"/>
    <col min="8966" max="8966" width="20.5703125" bestFit="1" customWidth="1"/>
    <col min="8967" max="8967" width="4.140625" customWidth="1"/>
    <col min="8968" max="8969" width="6.85546875" customWidth="1"/>
    <col min="8970" max="8970" width="16.140625" bestFit="1" customWidth="1"/>
    <col min="8971" max="8971" width="24.28515625" bestFit="1" customWidth="1"/>
    <col min="8972" max="8972" width="9.140625" customWidth="1"/>
    <col min="9217" max="9217" width="4.140625" customWidth="1"/>
    <col min="9218" max="9218" width="12.140625" customWidth="1"/>
    <col min="9219" max="9219" width="29" customWidth="1"/>
    <col min="9220" max="9220" width="5.42578125" customWidth="1"/>
    <col min="9221" max="9221" width="18.140625" bestFit="1" customWidth="1"/>
    <col min="9222" max="9222" width="20.5703125" bestFit="1" customWidth="1"/>
    <col min="9223" max="9223" width="4.140625" customWidth="1"/>
    <col min="9224" max="9225" width="6.85546875" customWidth="1"/>
    <col min="9226" max="9226" width="16.140625" bestFit="1" customWidth="1"/>
    <col min="9227" max="9227" width="24.28515625" bestFit="1" customWidth="1"/>
    <col min="9228" max="9228" width="9.140625" customWidth="1"/>
    <col min="9473" max="9473" width="4.140625" customWidth="1"/>
    <col min="9474" max="9474" width="12.140625" customWidth="1"/>
    <col min="9475" max="9475" width="29" customWidth="1"/>
    <col min="9476" max="9476" width="5.42578125" customWidth="1"/>
    <col min="9477" max="9477" width="18.140625" bestFit="1" customWidth="1"/>
    <col min="9478" max="9478" width="20.5703125" bestFit="1" customWidth="1"/>
    <col min="9479" max="9479" width="4.140625" customWidth="1"/>
    <col min="9480" max="9481" width="6.85546875" customWidth="1"/>
    <col min="9482" max="9482" width="16.140625" bestFit="1" customWidth="1"/>
    <col min="9483" max="9483" width="24.28515625" bestFit="1" customWidth="1"/>
    <col min="9484" max="9484" width="9.140625" customWidth="1"/>
    <col min="9729" max="9729" width="4.140625" customWidth="1"/>
    <col min="9730" max="9730" width="12.140625" customWidth="1"/>
    <col min="9731" max="9731" width="29" customWidth="1"/>
    <col min="9732" max="9732" width="5.42578125" customWidth="1"/>
    <col min="9733" max="9733" width="18.140625" bestFit="1" customWidth="1"/>
    <col min="9734" max="9734" width="20.5703125" bestFit="1" customWidth="1"/>
    <col min="9735" max="9735" width="4.140625" customWidth="1"/>
    <col min="9736" max="9737" width="6.85546875" customWidth="1"/>
    <col min="9738" max="9738" width="16.140625" bestFit="1" customWidth="1"/>
    <col min="9739" max="9739" width="24.28515625" bestFit="1" customWidth="1"/>
    <col min="9740" max="9740" width="9.140625" customWidth="1"/>
    <col min="9985" max="9985" width="4.140625" customWidth="1"/>
    <col min="9986" max="9986" width="12.140625" customWidth="1"/>
    <col min="9987" max="9987" width="29" customWidth="1"/>
    <col min="9988" max="9988" width="5.42578125" customWidth="1"/>
    <col min="9989" max="9989" width="18.140625" bestFit="1" customWidth="1"/>
    <col min="9990" max="9990" width="20.5703125" bestFit="1" customWidth="1"/>
    <col min="9991" max="9991" width="4.140625" customWidth="1"/>
    <col min="9992" max="9993" width="6.85546875" customWidth="1"/>
    <col min="9994" max="9994" width="16.140625" bestFit="1" customWidth="1"/>
    <col min="9995" max="9995" width="24.28515625" bestFit="1" customWidth="1"/>
    <col min="9996" max="9996" width="9.140625" customWidth="1"/>
    <col min="10241" max="10241" width="4.140625" customWidth="1"/>
    <col min="10242" max="10242" width="12.140625" customWidth="1"/>
    <col min="10243" max="10243" width="29" customWidth="1"/>
    <col min="10244" max="10244" width="5.42578125" customWidth="1"/>
    <col min="10245" max="10245" width="18.140625" bestFit="1" customWidth="1"/>
    <col min="10246" max="10246" width="20.5703125" bestFit="1" customWidth="1"/>
    <col min="10247" max="10247" width="4.140625" customWidth="1"/>
    <col min="10248" max="10249" width="6.85546875" customWidth="1"/>
    <col min="10250" max="10250" width="16.140625" bestFit="1" customWidth="1"/>
    <col min="10251" max="10251" width="24.28515625" bestFit="1" customWidth="1"/>
    <col min="10252" max="10252" width="9.140625" customWidth="1"/>
    <col min="10497" max="10497" width="4.140625" customWidth="1"/>
    <col min="10498" max="10498" width="12.140625" customWidth="1"/>
    <col min="10499" max="10499" width="29" customWidth="1"/>
    <col min="10500" max="10500" width="5.42578125" customWidth="1"/>
    <col min="10501" max="10501" width="18.140625" bestFit="1" customWidth="1"/>
    <col min="10502" max="10502" width="20.5703125" bestFit="1" customWidth="1"/>
    <col min="10503" max="10503" width="4.140625" customWidth="1"/>
    <col min="10504" max="10505" width="6.85546875" customWidth="1"/>
    <col min="10506" max="10506" width="16.140625" bestFit="1" customWidth="1"/>
    <col min="10507" max="10507" width="24.28515625" bestFit="1" customWidth="1"/>
    <col min="10508" max="10508" width="9.140625" customWidth="1"/>
    <col min="10753" max="10753" width="4.140625" customWidth="1"/>
    <col min="10754" max="10754" width="12.140625" customWidth="1"/>
    <col min="10755" max="10755" width="29" customWidth="1"/>
    <col min="10756" max="10756" width="5.42578125" customWidth="1"/>
    <col min="10757" max="10757" width="18.140625" bestFit="1" customWidth="1"/>
    <col min="10758" max="10758" width="20.5703125" bestFit="1" customWidth="1"/>
    <col min="10759" max="10759" width="4.140625" customWidth="1"/>
    <col min="10760" max="10761" width="6.85546875" customWidth="1"/>
    <col min="10762" max="10762" width="16.140625" bestFit="1" customWidth="1"/>
    <col min="10763" max="10763" width="24.28515625" bestFit="1" customWidth="1"/>
    <col min="10764" max="10764" width="9.140625" customWidth="1"/>
    <col min="11009" max="11009" width="4.140625" customWidth="1"/>
    <col min="11010" max="11010" width="12.140625" customWidth="1"/>
    <col min="11011" max="11011" width="29" customWidth="1"/>
    <col min="11012" max="11012" width="5.42578125" customWidth="1"/>
    <col min="11013" max="11013" width="18.140625" bestFit="1" customWidth="1"/>
    <col min="11014" max="11014" width="20.5703125" bestFit="1" customWidth="1"/>
    <col min="11015" max="11015" width="4.140625" customWidth="1"/>
    <col min="11016" max="11017" width="6.85546875" customWidth="1"/>
    <col min="11018" max="11018" width="16.140625" bestFit="1" customWidth="1"/>
    <col min="11019" max="11019" width="24.28515625" bestFit="1" customWidth="1"/>
    <col min="11020" max="11020" width="9.140625" customWidth="1"/>
    <col min="11265" max="11265" width="4.140625" customWidth="1"/>
    <col min="11266" max="11266" width="12.140625" customWidth="1"/>
    <col min="11267" max="11267" width="29" customWidth="1"/>
    <col min="11268" max="11268" width="5.42578125" customWidth="1"/>
    <col min="11269" max="11269" width="18.140625" bestFit="1" customWidth="1"/>
    <col min="11270" max="11270" width="20.5703125" bestFit="1" customWidth="1"/>
    <col min="11271" max="11271" width="4.140625" customWidth="1"/>
    <col min="11272" max="11273" width="6.85546875" customWidth="1"/>
    <col min="11274" max="11274" width="16.140625" bestFit="1" customWidth="1"/>
    <col min="11275" max="11275" width="24.28515625" bestFit="1" customWidth="1"/>
    <col min="11276" max="11276" width="9.140625" customWidth="1"/>
    <col min="11521" max="11521" width="4.140625" customWidth="1"/>
    <col min="11522" max="11522" width="12.140625" customWidth="1"/>
    <col min="11523" max="11523" width="29" customWidth="1"/>
    <col min="11524" max="11524" width="5.42578125" customWidth="1"/>
    <col min="11525" max="11525" width="18.140625" bestFit="1" customWidth="1"/>
    <col min="11526" max="11526" width="20.5703125" bestFit="1" customWidth="1"/>
    <col min="11527" max="11527" width="4.140625" customWidth="1"/>
    <col min="11528" max="11529" width="6.85546875" customWidth="1"/>
    <col min="11530" max="11530" width="16.140625" bestFit="1" customWidth="1"/>
    <col min="11531" max="11531" width="24.28515625" bestFit="1" customWidth="1"/>
    <col min="11532" max="11532" width="9.140625" customWidth="1"/>
    <col min="11777" max="11777" width="4.140625" customWidth="1"/>
    <col min="11778" max="11778" width="12.140625" customWidth="1"/>
    <col min="11779" max="11779" width="29" customWidth="1"/>
    <col min="11780" max="11780" width="5.42578125" customWidth="1"/>
    <col min="11781" max="11781" width="18.140625" bestFit="1" customWidth="1"/>
    <col min="11782" max="11782" width="20.5703125" bestFit="1" customWidth="1"/>
    <col min="11783" max="11783" width="4.140625" customWidth="1"/>
    <col min="11784" max="11785" width="6.85546875" customWidth="1"/>
    <col min="11786" max="11786" width="16.140625" bestFit="1" customWidth="1"/>
    <col min="11787" max="11787" width="24.28515625" bestFit="1" customWidth="1"/>
    <col min="11788" max="11788" width="9.140625" customWidth="1"/>
    <col min="12033" max="12033" width="4.140625" customWidth="1"/>
    <col min="12034" max="12034" width="12.140625" customWidth="1"/>
    <col min="12035" max="12035" width="29" customWidth="1"/>
    <col min="12036" max="12036" width="5.42578125" customWidth="1"/>
    <col min="12037" max="12037" width="18.140625" bestFit="1" customWidth="1"/>
    <col min="12038" max="12038" width="20.5703125" bestFit="1" customWidth="1"/>
    <col min="12039" max="12039" width="4.140625" customWidth="1"/>
    <col min="12040" max="12041" width="6.85546875" customWidth="1"/>
    <col min="12042" max="12042" width="16.140625" bestFit="1" customWidth="1"/>
    <col min="12043" max="12043" width="24.28515625" bestFit="1" customWidth="1"/>
    <col min="12044" max="12044" width="9.140625" customWidth="1"/>
    <col min="12289" max="12289" width="4.140625" customWidth="1"/>
    <col min="12290" max="12290" width="12.140625" customWidth="1"/>
    <col min="12291" max="12291" width="29" customWidth="1"/>
    <col min="12292" max="12292" width="5.42578125" customWidth="1"/>
    <col min="12293" max="12293" width="18.140625" bestFit="1" customWidth="1"/>
    <col min="12294" max="12294" width="20.5703125" bestFit="1" customWidth="1"/>
    <col min="12295" max="12295" width="4.140625" customWidth="1"/>
    <col min="12296" max="12297" width="6.85546875" customWidth="1"/>
    <col min="12298" max="12298" width="16.140625" bestFit="1" customWidth="1"/>
    <col min="12299" max="12299" width="24.28515625" bestFit="1" customWidth="1"/>
    <col min="12300" max="12300" width="9.140625" customWidth="1"/>
    <col min="12545" max="12545" width="4.140625" customWidth="1"/>
    <col min="12546" max="12546" width="12.140625" customWidth="1"/>
    <col min="12547" max="12547" width="29" customWidth="1"/>
    <col min="12548" max="12548" width="5.42578125" customWidth="1"/>
    <col min="12549" max="12549" width="18.140625" bestFit="1" customWidth="1"/>
    <col min="12550" max="12550" width="20.5703125" bestFit="1" customWidth="1"/>
    <col min="12551" max="12551" width="4.140625" customWidth="1"/>
    <col min="12552" max="12553" width="6.85546875" customWidth="1"/>
    <col min="12554" max="12554" width="16.140625" bestFit="1" customWidth="1"/>
    <col min="12555" max="12555" width="24.28515625" bestFit="1" customWidth="1"/>
    <col min="12556" max="12556" width="9.140625" customWidth="1"/>
    <col min="12801" max="12801" width="4.140625" customWidth="1"/>
    <col min="12802" max="12802" width="12.140625" customWidth="1"/>
    <col min="12803" max="12803" width="29" customWidth="1"/>
    <col min="12804" max="12804" width="5.42578125" customWidth="1"/>
    <col min="12805" max="12805" width="18.140625" bestFit="1" customWidth="1"/>
    <col min="12806" max="12806" width="20.5703125" bestFit="1" customWidth="1"/>
    <col min="12807" max="12807" width="4.140625" customWidth="1"/>
    <col min="12808" max="12809" width="6.85546875" customWidth="1"/>
    <col min="12810" max="12810" width="16.140625" bestFit="1" customWidth="1"/>
    <col min="12811" max="12811" width="24.28515625" bestFit="1" customWidth="1"/>
    <col min="12812" max="12812" width="9.140625" customWidth="1"/>
    <col min="13057" max="13057" width="4.140625" customWidth="1"/>
    <col min="13058" max="13058" width="12.140625" customWidth="1"/>
    <col min="13059" max="13059" width="29" customWidth="1"/>
    <col min="13060" max="13060" width="5.42578125" customWidth="1"/>
    <col min="13061" max="13061" width="18.140625" bestFit="1" customWidth="1"/>
    <col min="13062" max="13062" width="20.5703125" bestFit="1" customWidth="1"/>
    <col min="13063" max="13063" width="4.140625" customWidth="1"/>
    <col min="13064" max="13065" width="6.85546875" customWidth="1"/>
    <col min="13066" max="13066" width="16.140625" bestFit="1" customWidth="1"/>
    <col min="13067" max="13067" width="24.28515625" bestFit="1" customWidth="1"/>
    <col min="13068" max="13068" width="9.140625" customWidth="1"/>
    <col min="13313" max="13313" width="4.140625" customWidth="1"/>
    <col min="13314" max="13314" width="12.140625" customWidth="1"/>
    <col min="13315" max="13315" width="29" customWidth="1"/>
    <col min="13316" max="13316" width="5.42578125" customWidth="1"/>
    <col min="13317" max="13317" width="18.140625" bestFit="1" customWidth="1"/>
    <col min="13318" max="13318" width="20.5703125" bestFit="1" customWidth="1"/>
    <col min="13319" max="13319" width="4.140625" customWidth="1"/>
    <col min="13320" max="13321" width="6.85546875" customWidth="1"/>
    <col min="13322" max="13322" width="16.140625" bestFit="1" customWidth="1"/>
    <col min="13323" max="13323" width="24.28515625" bestFit="1" customWidth="1"/>
    <col min="13324" max="13324" width="9.140625" customWidth="1"/>
    <col min="13569" max="13569" width="4.140625" customWidth="1"/>
    <col min="13570" max="13570" width="12.140625" customWidth="1"/>
    <col min="13571" max="13571" width="29" customWidth="1"/>
    <col min="13572" max="13572" width="5.42578125" customWidth="1"/>
    <col min="13573" max="13573" width="18.140625" bestFit="1" customWidth="1"/>
    <col min="13574" max="13574" width="20.5703125" bestFit="1" customWidth="1"/>
    <col min="13575" max="13575" width="4.140625" customWidth="1"/>
    <col min="13576" max="13577" width="6.85546875" customWidth="1"/>
    <col min="13578" max="13578" width="16.140625" bestFit="1" customWidth="1"/>
    <col min="13579" max="13579" width="24.28515625" bestFit="1" customWidth="1"/>
    <col min="13580" max="13580" width="9.140625" customWidth="1"/>
    <col min="13825" max="13825" width="4.140625" customWidth="1"/>
    <col min="13826" max="13826" width="12.140625" customWidth="1"/>
    <col min="13827" max="13827" width="29" customWidth="1"/>
    <col min="13828" max="13828" width="5.42578125" customWidth="1"/>
    <col min="13829" max="13829" width="18.140625" bestFit="1" customWidth="1"/>
    <col min="13830" max="13830" width="20.5703125" bestFit="1" customWidth="1"/>
    <col min="13831" max="13831" width="4.140625" customWidth="1"/>
    <col min="13832" max="13833" width="6.85546875" customWidth="1"/>
    <col min="13834" max="13834" width="16.140625" bestFit="1" customWidth="1"/>
    <col min="13835" max="13835" width="24.28515625" bestFit="1" customWidth="1"/>
    <col min="13836" max="13836" width="9.140625" customWidth="1"/>
    <col min="14081" max="14081" width="4.140625" customWidth="1"/>
    <col min="14082" max="14082" width="12.140625" customWidth="1"/>
    <col min="14083" max="14083" width="29" customWidth="1"/>
    <col min="14084" max="14084" width="5.42578125" customWidth="1"/>
    <col min="14085" max="14085" width="18.140625" bestFit="1" customWidth="1"/>
    <col min="14086" max="14086" width="20.5703125" bestFit="1" customWidth="1"/>
    <col min="14087" max="14087" width="4.140625" customWidth="1"/>
    <col min="14088" max="14089" width="6.85546875" customWidth="1"/>
    <col min="14090" max="14090" width="16.140625" bestFit="1" customWidth="1"/>
    <col min="14091" max="14091" width="24.28515625" bestFit="1" customWidth="1"/>
    <col min="14092" max="14092" width="9.140625" customWidth="1"/>
    <col min="14337" max="14337" width="4.140625" customWidth="1"/>
    <col min="14338" max="14338" width="12.140625" customWidth="1"/>
    <col min="14339" max="14339" width="29" customWidth="1"/>
    <col min="14340" max="14340" width="5.42578125" customWidth="1"/>
    <col min="14341" max="14341" width="18.140625" bestFit="1" customWidth="1"/>
    <col min="14342" max="14342" width="20.5703125" bestFit="1" customWidth="1"/>
    <col min="14343" max="14343" width="4.140625" customWidth="1"/>
    <col min="14344" max="14345" width="6.85546875" customWidth="1"/>
    <col min="14346" max="14346" width="16.140625" bestFit="1" customWidth="1"/>
    <col min="14347" max="14347" width="24.28515625" bestFit="1" customWidth="1"/>
    <col min="14348" max="14348" width="9.140625" customWidth="1"/>
    <col min="14593" max="14593" width="4.140625" customWidth="1"/>
    <col min="14594" max="14594" width="12.140625" customWidth="1"/>
    <col min="14595" max="14595" width="29" customWidth="1"/>
    <col min="14596" max="14596" width="5.42578125" customWidth="1"/>
    <col min="14597" max="14597" width="18.140625" bestFit="1" customWidth="1"/>
    <col min="14598" max="14598" width="20.5703125" bestFit="1" customWidth="1"/>
    <col min="14599" max="14599" width="4.140625" customWidth="1"/>
    <col min="14600" max="14601" width="6.85546875" customWidth="1"/>
    <col min="14602" max="14602" width="16.140625" bestFit="1" customWidth="1"/>
    <col min="14603" max="14603" width="24.28515625" bestFit="1" customWidth="1"/>
    <col min="14604" max="14604" width="9.140625" customWidth="1"/>
    <col min="14849" max="14849" width="4.140625" customWidth="1"/>
    <col min="14850" max="14850" width="12.140625" customWidth="1"/>
    <col min="14851" max="14851" width="29" customWidth="1"/>
    <col min="14852" max="14852" width="5.42578125" customWidth="1"/>
    <col min="14853" max="14853" width="18.140625" bestFit="1" customWidth="1"/>
    <col min="14854" max="14854" width="20.5703125" bestFit="1" customWidth="1"/>
    <col min="14855" max="14855" width="4.140625" customWidth="1"/>
    <col min="14856" max="14857" width="6.85546875" customWidth="1"/>
    <col min="14858" max="14858" width="16.140625" bestFit="1" customWidth="1"/>
    <col min="14859" max="14859" width="24.28515625" bestFit="1" customWidth="1"/>
    <col min="14860" max="14860" width="9.140625" customWidth="1"/>
    <col min="15105" max="15105" width="4.140625" customWidth="1"/>
    <col min="15106" max="15106" width="12.140625" customWidth="1"/>
    <col min="15107" max="15107" width="29" customWidth="1"/>
    <col min="15108" max="15108" width="5.42578125" customWidth="1"/>
    <col min="15109" max="15109" width="18.140625" bestFit="1" customWidth="1"/>
    <col min="15110" max="15110" width="20.5703125" bestFit="1" customWidth="1"/>
    <col min="15111" max="15111" width="4.140625" customWidth="1"/>
    <col min="15112" max="15113" width="6.85546875" customWidth="1"/>
    <col min="15114" max="15114" width="16.140625" bestFit="1" customWidth="1"/>
    <col min="15115" max="15115" width="24.28515625" bestFit="1" customWidth="1"/>
    <col min="15116" max="15116" width="9.140625" customWidth="1"/>
    <col min="15361" max="15361" width="4.140625" customWidth="1"/>
    <col min="15362" max="15362" width="12.140625" customWidth="1"/>
    <col min="15363" max="15363" width="29" customWidth="1"/>
    <col min="15364" max="15364" width="5.42578125" customWidth="1"/>
    <col min="15365" max="15365" width="18.140625" bestFit="1" customWidth="1"/>
    <col min="15366" max="15366" width="20.5703125" bestFit="1" customWidth="1"/>
    <col min="15367" max="15367" width="4.140625" customWidth="1"/>
    <col min="15368" max="15369" width="6.85546875" customWidth="1"/>
    <col min="15370" max="15370" width="16.140625" bestFit="1" customWidth="1"/>
    <col min="15371" max="15371" width="24.28515625" bestFit="1" customWidth="1"/>
    <col min="15372" max="15372" width="9.140625" customWidth="1"/>
    <col min="15617" max="15617" width="4.140625" customWidth="1"/>
    <col min="15618" max="15618" width="12.140625" customWidth="1"/>
    <col min="15619" max="15619" width="29" customWidth="1"/>
    <col min="15620" max="15620" width="5.42578125" customWidth="1"/>
    <col min="15621" max="15621" width="18.140625" bestFit="1" customWidth="1"/>
    <col min="15622" max="15622" width="20.5703125" bestFit="1" customWidth="1"/>
    <col min="15623" max="15623" width="4.140625" customWidth="1"/>
    <col min="15624" max="15625" width="6.85546875" customWidth="1"/>
    <col min="15626" max="15626" width="16.140625" bestFit="1" customWidth="1"/>
    <col min="15627" max="15627" width="24.28515625" bestFit="1" customWidth="1"/>
    <col min="15628" max="15628" width="9.140625" customWidth="1"/>
    <col min="15873" max="15873" width="4.140625" customWidth="1"/>
    <col min="15874" max="15874" width="12.140625" customWidth="1"/>
    <col min="15875" max="15875" width="29" customWidth="1"/>
    <col min="15876" max="15876" width="5.42578125" customWidth="1"/>
    <col min="15877" max="15877" width="18.140625" bestFit="1" customWidth="1"/>
    <col min="15878" max="15878" width="20.5703125" bestFit="1" customWidth="1"/>
    <col min="15879" max="15879" width="4.140625" customWidth="1"/>
    <col min="15880" max="15881" width="6.85546875" customWidth="1"/>
    <col min="15882" max="15882" width="16.140625" bestFit="1" customWidth="1"/>
    <col min="15883" max="15883" width="24.28515625" bestFit="1" customWidth="1"/>
    <col min="15884" max="15884" width="9.140625" customWidth="1"/>
    <col min="16129" max="16129" width="4.140625" customWidth="1"/>
    <col min="16130" max="16130" width="12.140625" customWidth="1"/>
    <col min="16131" max="16131" width="29" customWidth="1"/>
    <col min="16132" max="16132" width="5.42578125" customWidth="1"/>
    <col min="16133" max="16133" width="18.140625" bestFit="1" customWidth="1"/>
    <col min="16134" max="16134" width="20.5703125" bestFit="1" customWidth="1"/>
    <col min="16135" max="16135" width="4.140625" customWidth="1"/>
    <col min="16136" max="16137" width="6.85546875" customWidth="1"/>
    <col min="16138" max="16138" width="16.140625" bestFit="1" customWidth="1"/>
    <col min="16139" max="16139" width="24.28515625" bestFit="1" customWidth="1"/>
    <col min="16140" max="16140" width="9.140625" customWidth="1"/>
  </cols>
  <sheetData>
    <row r="1" spans="1:26">
      <c r="A1" s="271"/>
      <c r="B1" s="272"/>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6" ht="15.75">
      <c r="A2" s="271"/>
      <c r="B2" s="57" t="s">
        <v>118</v>
      </c>
      <c r="C2" s="271"/>
      <c r="D2" s="271"/>
      <c r="E2" s="271"/>
      <c r="F2" s="271"/>
      <c r="G2" s="271"/>
      <c r="H2" s="271"/>
      <c r="I2" s="271"/>
      <c r="J2" s="271"/>
      <c r="K2" s="271"/>
      <c r="L2" s="271"/>
      <c r="M2" s="271"/>
      <c r="N2" s="271"/>
      <c r="O2" s="271"/>
      <c r="P2" s="271"/>
      <c r="Q2" s="271"/>
      <c r="R2" s="271"/>
      <c r="S2" s="271"/>
      <c r="T2" s="271"/>
      <c r="U2" s="271"/>
      <c r="V2" s="271"/>
      <c r="W2" s="271"/>
      <c r="X2" s="271"/>
      <c r="Y2" s="271"/>
      <c r="Z2" s="271"/>
    </row>
    <row r="3" spans="1:26">
      <c r="A3" s="271"/>
      <c r="B3" s="272"/>
      <c r="C3" s="271"/>
      <c r="D3" s="271"/>
      <c r="E3" s="271"/>
      <c r="F3" s="271"/>
      <c r="G3" s="271"/>
      <c r="H3" s="271"/>
      <c r="I3" s="271"/>
      <c r="J3" s="271"/>
      <c r="K3" s="271"/>
      <c r="L3" s="271"/>
      <c r="M3" s="271"/>
      <c r="N3" s="271"/>
      <c r="O3" s="271"/>
      <c r="P3" s="271"/>
      <c r="Q3" s="271"/>
      <c r="R3" s="271"/>
      <c r="S3" s="271"/>
      <c r="T3" s="271"/>
      <c r="U3" s="271"/>
      <c r="V3" s="271"/>
      <c r="W3" s="271"/>
      <c r="X3" s="271"/>
      <c r="Y3" s="271"/>
      <c r="Z3" s="271"/>
    </row>
    <row r="4" spans="1:26" ht="16.5" customHeight="1">
      <c r="A4" s="83"/>
      <c r="B4" s="84"/>
      <c r="C4" s="83"/>
      <c r="D4" s="83"/>
      <c r="E4" s="83"/>
      <c r="F4" s="83"/>
      <c r="G4" s="149"/>
      <c r="H4" s="149"/>
      <c r="I4" s="149"/>
      <c r="J4" s="149"/>
      <c r="K4" s="149"/>
      <c r="L4" s="149"/>
      <c r="M4" s="149"/>
      <c r="N4" s="149"/>
      <c r="O4" s="149"/>
      <c r="P4" s="149"/>
      <c r="Q4" s="149"/>
      <c r="R4" s="149"/>
      <c r="S4" s="271"/>
      <c r="T4" s="271"/>
      <c r="U4" s="271"/>
      <c r="V4" s="271"/>
      <c r="W4" s="271"/>
      <c r="X4" s="271"/>
      <c r="Y4" s="271"/>
      <c r="Z4" s="271"/>
    </row>
    <row r="5" spans="1:26">
      <c r="A5" s="75"/>
      <c r="B5" s="183" t="s">
        <v>119</v>
      </c>
      <c r="C5" s="75"/>
      <c r="D5" s="75"/>
      <c r="E5" s="273" t="s">
        <v>130</v>
      </c>
      <c r="F5" s="273" t="s">
        <v>120</v>
      </c>
      <c r="G5" s="274"/>
      <c r="H5" s="273"/>
      <c r="I5" s="273"/>
      <c r="J5" s="273" t="s">
        <v>121</v>
      </c>
      <c r="K5" s="273" t="s">
        <v>120</v>
      </c>
      <c r="L5" s="75"/>
      <c r="M5" s="75"/>
      <c r="N5" s="75"/>
      <c r="O5" s="75"/>
      <c r="P5" s="75"/>
      <c r="Q5" s="75"/>
      <c r="R5" s="75"/>
      <c r="S5" s="271"/>
      <c r="T5" s="271"/>
      <c r="U5" s="271"/>
      <c r="V5" s="271"/>
      <c r="W5" s="271"/>
      <c r="X5" s="271"/>
      <c r="Y5" s="271"/>
      <c r="Z5" s="271"/>
    </row>
    <row r="6" spans="1:26" s="280" customFormat="1" ht="38.25">
      <c r="A6" s="8"/>
      <c r="B6" s="275"/>
      <c r="C6" s="8"/>
      <c r="D6" s="276"/>
      <c r="E6" s="277" t="s">
        <v>122</v>
      </c>
      <c r="F6" s="277" t="s">
        <v>123</v>
      </c>
      <c r="G6" s="8"/>
      <c r="H6" s="44"/>
      <c r="I6" s="44"/>
      <c r="J6" s="278" t="s">
        <v>124</v>
      </c>
      <c r="K6" s="277" t="s">
        <v>125</v>
      </c>
      <c r="L6" s="8"/>
      <c r="M6" s="8"/>
      <c r="N6" s="8"/>
      <c r="O6" s="8"/>
      <c r="P6" s="8"/>
      <c r="Q6" s="8"/>
      <c r="R6" s="8"/>
      <c r="S6" s="279"/>
      <c r="T6" s="279"/>
      <c r="U6" s="279"/>
      <c r="V6" s="279"/>
      <c r="W6" s="279"/>
      <c r="X6" s="279"/>
      <c r="Y6" s="279"/>
      <c r="Z6" s="279"/>
    </row>
    <row r="7" spans="1:26" s="192" customFormat="1" hidden="1" outlineLevel="1">
      <c r="A7" s="12"/>
      <c r="B7" s="281" t="str">
        <f>Asset1</f>
        <v>Overhead Sub-Transmission Lines</v>
      </c>
      <c r="C7" s="12"/>
      <c r="D7" s="12"/>
      <c r="E7" s="282"/>
      <c r="F7" s="282"/>
      <c r="G7" s="12"/>
      <c r="H7" s="9"/>
      <c r="I7" s="9"/>
      <c r="J7" s="9"/>
      <c r="L7" s="12"/>
      <c r="M7" s="12"/>
      <c r="N7" s="12"/>
      <c r="O7" s="12"/>
      <c r="P7" s="12"/>
      <c r="Q7" s="12"/>
      <c r="R7" s="12"/>
      <c r="S7" s="271"/>
      <c r="T7" s="271"/>
      <c r="U7" s="271"/>
      <c r="V7" s="271"/>
      <c r="W7" s="271"/>
      <c r="X7" s="271"/>
      <c r="Y7" s="271"/>
      <c r="Z7" s="271"/>
    </row>
    <row r="8" spans="1:26" ht="12.75" hidden="1" customHeight="1" outlineLevel="1">
      <c r="A8" s="9"/>
      <c r="B8" s="283"/>
      <c r="C8" s="358" t="s">
        <v>28</v>
      </c>
      <c r="D8" s="359"/>
      <c r="E8" s="284">
        <f ca="1">A1value-SUM('Actual RAB roll forward'!H44:OFFSET('Actual RAB roll forward'!H44,0,Input!$X$7-1))</f>
        <v>906.28717757056472</v>
      </c>
      <c r="F8" s="284">
        <f>IF(A1remlife="N/A","n/a",A1remlife-Input!$X$7)</f>
        <v>30.140073709034695</v>
      </c>
      <c r="G8" s="285"/>
      <c r="H8" s="360" t="s">
        <v>69</v>
      </c>
      <c r="I8" s="361"/>
      <c r="J8" s="284">
        <f ca="1">(A1taxvalue+'Tax value roll forward'!G40)-SUM('Tax value roll forward'!G72:OFFSET('Tax value roll forward'!G72,2,Input!$X$7))</f>
        <v>269.65799129291031</v>
      </c>
      <c r="K8" s="284">
        <f>IF(A1taxremlife="N/A","n/a",A1taxremlife-Input!$X$7-1)</f>
        <v>8.9017599578553082</v>
      </c>
      <c r="L8" s="286"/>
      <c r="M8" s="9"/>
      <c r="N8" s="9"/>
      <c r="O8" s="9"/>
      <c r="P8" s="9"/>
      <c r="Q8" s="9"/>
      <c r="R8" s="9"/>
      <c r="S8" s="271"/>
      <c r="T8" s="271"/>
      <c r="U8" s="271"/>
      <c r="V8" s="271"/>
      <c r="W8" s="271"/>
      <c r="X8" s="271"/>
      <c r="Y8" s="271"/>
      <c r="Z8" s="271"/>
    </row>
    <row r="9" spans="1:26" ht="14.45" hidden="1" customHeight="1" outlineLevel="1">
      <c r="A9" s="9"/>
      <c r="B9" s="283"/>
      <c r="C9" s="352" t="s">
        <v>87</v>
      </c>
      <c r="D9" s="287">
        <v>1</v>
      </c>
      <c r="E9" s="284">
        <f ca="1">OFFSET('Actual RAB roll forward'!H$12,0,D9-1)-SUM('Actual RAB roll forward'!H46:OFFSET('Actual RAB roll forward'!H46,0,Input!$X$7-1))</f>
        <v>0</v>
      </c>
      <c r="F9" s="284">
        <f ca="1">IF(A1stdlife="N/A","n/a",IF(E9=0,0,A1stdlife+D9-Input!$X$7))</f>
        <v>0</v>
      </c>
      <c r="G9" s="285"/>
      <c r="H9" s="355" t="s">
        <v>87</v>
      </c>
      <c r="I9" s="287">
        <v>1</v>
      </c>
      <c r="J9" s="284">
        <f ca="1">OFFSET('Tax value roll forward'!H$40,0,I9-1)-SUM('Tax value roll forward'!H75:OFFSET('Tax value roll forward'!H75,0,Input!$X$7-1))</f>
        <v>0</v>
      </c>
      <c r="K9" s="284">
        <f ca="1">IF(A1taxstdlife="N/A","n/a",IF(J9=0,0,A1taxstdlife+I9-Input!$X$7))</f>
        <v>0</v>
      </c>
      <c r="L9" s="286"/>
      <c r="M9" s="9"/>
      <c r="N9" s="9"/>
      <c r="O9" s="9"/>
      <c r="P9" s="9"/>
      <c r="Q9" s="9"/>
      <c r="R9" s="9"/>
      <c r="S9" s="271"/>
      <c r="T9" s="271"/>
      <c r="U9" s="271"/>
      <c r="V9" s="271"/>
      <c r="W9" s="271"/>
      <c r="X9" s="271"/>
      <c r="Y9" s="271"/>
      <c r="Z9" s="271"/>
    </row>
    <row r="10" spans="1:26" ht="14.45" hidden="1" customHeight="1" outlineLevel="1">
      <c r="A10" s="9"/>
      <c r="B10" s="283"/>
      <c r="C10" s="353"/>
      <c r="D10" s="287">
        <v>2</v>
      </c>
      <c r="E10" s="284">
        <f ca="1">OFFSET('Actual RAB roll forward'!H$12,0,D10-1)-SUM('Actual RAB roll forward'!H47:OFFSET('Actual RAB roll forward'!H47,0,Input!$X$7-1))</f>
        <v>0</v>
      </c>
      <c r="F10" s="284">
        <f ca="1">IF(A1stdlife="N/A","n/a",IF(E10=0,0,A1stdlife+D10-Input!$X$7))</f>
        <v>0</v>
      </c>
      <c r="G10" s="285"/>
      <c r="H10" s="356"/>
      <c r="I10" s="287">
        <v>2</v>
      </c>
      <c r="J10" s="284">
        <f ca="1">OFFSET('Tax value roll forward'!H$40,0,I10-1)-SUM('Tax value roll forward'!H76:OFFSET('Tax value roll forward'!H76,0,Input!$X$7-1))</f>
        <v>0</v>
      </c>
      <c r="K10" s="284">
        <f ca="1">IF(A1taxstdlife="N/A","n/a",IF(J10=0,0,A1taxstdlife+I10-Input!$X$7))</f>
        <v>0</v>
      </c>
      <c r="L10" s="286"/>
      <c r="M10" s="9"/>
      <c r="N10" s="9"/>
      <c r="O10" s="9"/>
      <c r="P10" s="9"/>
      <c r="Q10" s="9"/>
      <c r="R10" s="9"/>
      <c r="S10" s="271"/>
      <c r="T10" s="271"/>
      <c r="U10" s="271"/>
      <c r="V10" s="271"/>
      <c r="W10" s="271"/>
      <c r="X10" s="271"/>
      <c r="Y10" s="271"/>
      <c r="Z10" s="271"/>
    </row>
    <row r="11" spans="1:26" ht="14.45" hidden="1" customHeight="1" outlineLevel="1">
      <c r="A11" s="9"/>
      <c r="B11" s="283"/>
      <c r="C11" s="353"/>
      <c r="D11" s="287">
        <v>3</v>
      </c>
      <c r="E11" s="284">
        <f ca="1">OFFSET('Actual RAB roll forward'!H$12,0,D11-1)-SUM('Actual RAB roll forward'!H48:OFFSET('Actual RAB roll forward'!H48,0,Input!$X$7-1))</f>
        <v>0</v>
      </c>
      <c r="F11" s="284">
        <f ca="1">IF(A1stdlife="N/A","n/a",IF(E11=0,0,A1stdlife+D11-Input!$X$7))</f>
        <v>0</v>
      </c>
      <c r="G11" s="285"/>
      <c r="H11" s="356"/>
      <c r="I11" s="287">
        <v>3</v>
      </c>
      <c r="J11" s="284">
        <f ca="1">OFFSET('Tax value roll forward'!H$40,0,I11-1)-SUM('Tax value roll forward'!H77:OFFSET('Tax value roll forward'!H77,0,Input!$X$7-1))</f>
        <v>0</v>
      </c>
      <c r="K11" s="284">
        <f ca="1">IF(A1taxstdlife="N/A","n/a",IF(J11=0,0,A1taxstdlife+I11-Input!$X$7))</f>
        <v>0</v>
      </c>
      <c r="L11" s="286"/>
      <c r="M11" s="9"/>
      <c r="N11" s="9"/>
      <c r="O11" s="9"/>
      <c r="P11" s="9"/>
      <c r="Q11" s="9"/>
      <c r="R11" s="9"/>
      <c r="S11" s="271"/>
      <c r="T11" s="271"/>
      <c r="U11" s="271"/>
      <c r="V11" s="271"/>
      <c r="W11" s="271"/>
      <c r="X11" s="271"/>
      <c r="Y11" s="271"/>
      <c r="Z11" s="271"/>
    </row>
    <row r="12" spans="1:26" ht="14.45" hidden="1" customHeight="1" outlineLevel="1">
      <c r="A12" s="9"/>
      <c r="B12" s="283"/>
      <c r="C12" s="353"/>
      <c r="D12" s="287">
        <v>4</v>
      </c>
      <c r="E12" s="284">
        <f ca="1">OFFSET('Actual RAB roll forward'!H$12,0,D12-1)-SUM('Actual RAB roll forward'!H49:OFFSET('Actual RAB roll forward'!H49,0,Input!$X$7-1))</f>
        <v>0</v>
      </c>
      <c r="F12" s="284">
        <f ca="1">IF(A1stdlife="N/A","n/a",IF(E12=0,0,A1stdlife+D12-Input!$X$7))</f>
        <v>0</v>
      </c>
      <c r="G12" s="285"/>
      <c r="H12" s="356"/>
      <c r="I12" s="287">
        <v>4</v>
      </c>
      <c r="J12" s="284">
        <f ca="1">OFFSET('Tax value roll forward'!H$40,0,I12-1)-SUM('Tax value roll forward'!H78:OFFSET('Tax value roll forward'!H78,0,Input!$X$7-1))</f>
        <v>0</v>
      </c>
      <c r="K12" s="284">
        <f ca="1">IF(A1taxstdlife="N/A","n/a",IF(J12=0,0,A1taxstdlife+I12-Input!$X$7))</f>
        <v>0</v>
      </c>
      <c r="L12" s="286"/>
      <c r="M12" s="9"/>
      <c r="N12" s="9"/>
      <c r="O12" s="9"/>
      <c r="P12" s="9"/>
      <c r="Q12" s="9"/>
      <c r="R12" s="9"/>
      <c r="S12" s="271"/>
      <c r="T12" s="271"/>
      <c r="U12" s="271"/>
      <c r="V12" s="271"/>
      <c r="W12" s="271"/>
      <c r="X12" s="271"/>
      <c r="Y12" s="271"/>
      <c r="Z12" s="271"/>
    </row>
    <row r="13" spans="1:26" ht="14.45" hidden="1" customHeight="1" outlineLevel="1">
      <c r="A13" s="9"/>
      <c r="B13" s="283"/>
      <c r="C13" s="353"/>
      <c r="D13" s="287">
        <v>5</v>
      </c>
      <c r="E13" s="284">
        <f ca="1">OFFSET('Actual RAB roll forward'!H$12,0,D13-1)-SUM('Actual RAB roll forward'!H50:OFFSET('Actual RAB roll forward'!H50,0,Input!$X$7-1))</f>
        <v>0</v>
      </c>
      <c r="F13" s="284">
        <f ca="1">IF(A1stdlife="N/A","n/a",IF(E13=0,0,A1stdlife+D13-Input!$X$7))</f>
        <v>0</v>
      </c>
      <c r="G13" s="285"/>
      <c r="H13" s="356"/>
      <c r="I13" s="287">
        <v>5</v>
      </c>
      <c r="J13" s="284">
        <f ca="1">OFFSET('Tax value roll forward'!H$40,0,I13-1)-SUM('Tax value roll forward'!H79:OFFSET('Tax value roll forward'!H79,0,Input!$X$7-1))</f>
        <v>0</v>
      </c>
      <c r="K13" s="284">
        <f ca="1">IF(A1taxstdlife="N/A","n/a",IF(J13=0,0,A1taxstdlife+I13-Input!$X$7))</f>
        <v>0</v>
      </c>
      <c r="L13" s="286"/>
      <c r="M13" s="9"/>
      <c r="N13" s="9"/>
      <c r="O13" s="9"/>
      <c r="P13" s="9"/>
      <c r="Q13" s="9"/>
      <c r="R13" s="9"/>
      <c r="S13" s="271"/>
      <c r="T13" s="271"/>
      <c r="U13" s="271"/>
      <c r="V13" s="271"/>
      <c r="W13" s="271"/>
      <c r="X13" s="271"/>
      <c r="Y13" s="271"/>
      <c r="Z13" s="271"/>
    </row>
    <row r="14" spans="1:26" ht="14.45" hidden="1" customHeight="1" outlineLevel="1">
      <c r="A14" s="9"/>
      <c r="B14" s="283"/>
      <c r="C14" s="353"/>
      <c r="D14" s="287">
        <v>6</v>
      </c>
      <c r="E14" s="284">
        <f ca="1">OFFSET('Actual RAB roll forward'!H$12,0,D14-1)-SUM('Actual RAB roll forward'!H51:OFFSET('Actual RAB roll forward'!H51,0,Input!$X$7-1))</f>
        <v>0</v>
      </c>
      <c r="F14" s="284">
        <f ca="1">IF(A1stdlife="N/A","n/a",IF(E14=0,0,A1stdlife+D14-Input!$X$7))</f>
        <v>0</v>
      </c>
      <c r="G14" s="285"/>
      <c r="H14" s="356"/>
      <c r="I14" s="287">
        <v>6</v>
      </c>
      <c r="J14" s="284">
        <f ca="1">OFFSET('Tax value roll forward'!H$40,0,I14-1)-SUM('Tax value roll forward'!H80:OFFSET('Tax value roll forward'!H80,0,Input!$X$7-1))</f>
        <v>0</v>
      </c>
      <c r="K14" s="284">
        <f ca="1">IF(A1taxstdlife="N/A","n/a",IF(J14=0,0,A1taxstdlife+I14-Input!$X$7))</f>
        <v>0</v>
      </c>
      <c r="L14" s="286"/>
      <c r="M14" s="9"/>
      <c r="N14" s="9"/>
      <c r="O14" s="9"/>
      <c r="P14" s="9"/>
      <c r="Q14" s="9"/>
      <c r="R14" s="9"/>
      <c r="S14" s="271"/>
      <c r="T14" s="271"/>
      <c r="U14" s="271"/>
      <c r="V14" s="271"/>
      <c r="W14" s="271"/>
      <c r="X14" s="271"/>
      <c r="Y14" s="271"/>
      <c r="Z14" s="271"/>
    </row>
    <row r="15" spans="1:26" ht="14.45" hidden="1" customHeight="1" outlineLevel="1">
      <c r="A15" s="9"/>
      <c r="B15" s="283"/>
      <c r="C15" s="353"/>
      <c r="D15" s="287">
        <v>7</v>
      </c>
      <c r="E15" s="284">
        <f ca="1">OFFSET('Actual RAB roll forward'!H$12,0,D15-1)-SUM('Actual RAB roll forward'!H52:OFFSET('Actual RAB roll forward'!H52,0,Input!$X$7-1))</f>
        <v>0</v>
      </c>
      <c r="F15" s="284">
        <f ca="1">IF(A1stdlife="N/A","n/a",IF(E15=0,0,A1stdlife+D15-Input!$X$7))</f>
        <v>0</v>
      </c>
      <c r="G15" s="285"/>
      <c r="H15" s="356"/>
      <c r="I15" s="287">
        <v>7</v>
      </c>
      <c r="J15" s="284">
        <f ca="1">OFFSET('Tax value roll forward'!H$40,0,I15-1)-SUM('Tax value roll forward'!H81:OFFSET('Tax value roll forward'!H81,0,Input!$X$7-1))</f>
        <v>0</v>
      </c>
      <c r="K15" s="284">
        <f ca="1">IF(A1taxstdlife="N/A","n/a",IF(J15=0,0,A1taxstdlife+I15-Input!$X$7))</f>
        <v>0</v>
      </c>
      <c r="L15" s="286"/>
      <c r="M15" s="9"/>
      <c r="N15" s="9"/>
      <c r="O15" s="9"/>
      <c r="P15" s="9"/>
      <c r="Q15" s="9"/>
      <c r="R15" s="9"/>
      <c r="S15" s="271"/>
      <c r="T15" s="271"/>
      <c r="U15" s="271"/>
      <c r="V15" s="271"/>
      <c r="W15" s="271"/>
      <c r="X15" s="271"/>
      <c r="Y15" s="271"/>
      <c r="Z15" s="271"/>
    </row>
    <row r="16" spans="1:26" ht="14.45" hidden="1" customHeight="1" outlineLevel="1">
      <c r="A16" s="9"/>
      <c r="B16" s="283"/>
      <c r="C16" s="353"/>
      <c r="D16" s="287">
        <v>8</v>
      </c>
      <c r="E16" s="284">
        <f ca="1">OFFSET('Actual RAB roll forward'!H$12,0,D16-1)-SUM('Actual RAB roll forward'!H53:OFFSET('Actual RAB roll forward'!H53,0,Input!$X$7-1))</f>
        <v>0</v>
      </c>
      <c r="F16" s="284">
        <f ca="1">IF(A1stdlife="N/A","n/a",IF(E16=0,0,A1stdlife+D16-Input!$X$7))</f>
        <v>0</v>
      </c>
      <c r="G16" s="285"/>
      <c r="H16" s="356"/>
      <c r="I16" s="287">
        <v>8</v>
      </c>
      <c r="J16" s="284">
        <f ca="1">OFFSET('Tax value roll forward'!H$40,0,I16-1)-SUM('Tax value roll forward'!H82:OFFSET('Tax value roll forward'!H82,0,Input!$X$7-1))</f>
        <v>0</v>
      </c>
      <c r="K16" s="284">
        <f ca="1">IF(A1taxstdlife="N/A","n/a",IF(J16=0,0,A1taxstdlife+I16-Input!$X$7))</f>
        <v>0</v>
      </c>
      <c r="L16" s="286"/>
      <c r="M16" s="9"/>
      <c r="N16" s="9"/>
      <c r="O16" s="9"/>
      <c r="P16" s="9"/>
      <c r="Q16" s="9"/>
      <c r="R16" s="9"/>
      <c r="S16" s="271"/>
      <c r="T16" s="271"/>
      <c r="U16" s="271"/>
      <c r="V16" s="271"/>
      <c r="W16" s="271"/>
      <c r="X16" s="271"/>
      <c r="Y16" s="271"/>
      <c r="Z16" s="271"/>
    </row>
    <row r="17" spans="1:26" ht="14.45" hidden="1" customHeight="1" outlineLevel="1">
      <c r="A17" s="9"/>
      <c r="B17" s="283"/>
      <c r="C17" s="353"/>
      <c r="D17" s="287">
        <v>9</v>
      </c>
      <c r="E17" s="284">
        <f ca="1">OFFSET('Actual RAB roll forward'!H$12,0,D17-1)-SUM('Actual RAB roll forward'!H54:OFFSET('Actual RAB roll forward'!H54,0,Input!$X$7-1))</f>
        <v>0</v>
      </c>
      <c r="F17" s="284">
        <f ca="1">IF(A1stdlife="N/A","n/a",IF(E17=0,0,A1stdlife+D17-Input!$X$7))</f>
        <v>0</v>
      </c>
      <c r="G17" s="285"/>
      <c r="H17" s="356"/>
      <c r="I17" s="287">
        <v>9</v>
      </c>
      <c r="J17" s="284">
        <f ca="1">OFFSET('Tax value roll forward'!H$40,0,I17-1)-SUM('Tax value roll forward'!H83:OFFSET('Tax value roll forward'!H83,0,Input!$X$7-1))</f>
        <v>0</v>
      </c>
      <c r="K17" s="284">
        <f ca="1">IF(A1taxstdlife="N/A","n/a",IF(J17=0,0,A1taxstdlife+I17-Input!$X$7))</f>
        <v>0</v>
      </c>
      <c r="L17" s="286"/>
      <c r="M17" s="9"/>
      <c r="N17" s="9"/>
      <c r="O17" s="9"/>
      <c r="P17" s="9"/>
      <c r="Q17" s="9"/>
      <c r="R17" s="9"/>
      <c r="S17" s="271"/>
      <c r="T17" s="271"/>
      <c r="U17" s="271"/>
      <c r="V17" s="271"/>
      <c r="W17" s="271"/>
      <c r="X17" s="271"/>
      <c r="Y17" s="271"/>
      <c r="Z17" s="271"/>
    </row>
    <row r="18" spans="1:26" ht="14.45" hidden="1" customHeight="1" outlineLevel="1">
      <c r="A18" s="9"/>
      <c r="B18" s="283"/>
      <c r="C18" s="354"/>
      <c r="D18" s="89">
        <v>10</v>
      </c>
      <c r="E18" s="284">
        <f ca="1">OFFSET('Actual RAB roll forward'!H$12,0,D18-1)-SUM('Actual RAB roll forward'!H55:OFFSET('Actual RAB roll forward'!H55,0,Input!$X$7-1))</f>
        <v>0</v>
      </c>
      <c r="F18" s="284">
        <f ca="1">IF(A1stdlife="N/A","n/a",IF(E18=0,0,A1stdlife+D18-Input!$X$7))</f>
        <v>0</v>
      </c>
      <c r="G18" s="285"/>
      <c r="H18" s="357"/>
      <c r="I18" s="89">
        <v>10</v>
      </c>
      <c r="J18" s="284">
        <f ca="1">OFFSET('Tax value roll forward'!H$40,0,I18-1)-SUM('Tax value roll forward'!H84:OFFSET('Tax value roll forward'!H84,0,Input!$X$7-1))</f>
        <v>0</v>
      </c>
      <c r="K18" s="284">
        <f ca="1">IF(A1taxstdlife="N/A","n/a",IF(J18=0,0,A1taxstdlife+I18-Input!$X$7))</f>
        <v>0</v>
      </c>
      <c r="L18" s="286"/>
      <c r="M18" s="9"/>
      <c r="N18" s="9"/>
      <c r="O18" s="9"/>
      <c r="P18" s="9"/>
      <c r="Q18" s="9"/>
      <c r="R18" s="9"/>
      <c r="S18" s="271"/>
      <c r="T18" s="271"/>
      <c r="U18" s="271"/>
      <c r="V18" s="271"/>
      <c r="W18" s="271"/>
      <c r="X18" s="271"/>
      <c r="Y18" s="271"/>
      <c r="Z18" s="271"/>
    </row>
    <row r="19" spans="1:26" collapsed="1">
      <c r="A19" s="9"/>
      <c r="B19" s="283"/>
      <c r="C19" s="286" t="str">
        <f>B7</f>
        <v>Overhead Sub-Transmission Lines</v>
      </c>
      <c r="D19" s="9"/>
      <c r="E19" s="284">
        <f ca="1">SUM(E8:E18)</f>
        <v>906.28717757056472</v>
      </c>
      <c r="F19" s="284">
        <f ca="1">IF(A1remlife="N/A","n/a",IF(E19=0,0,SUMPRODUCT(E8:E18,F8:F18)/E19))</f>
        <v>30.140073709034695</v>
      </c>
      <c r="G19" s="285"/>
      <c r="H19" s="45"/>
      <c r="I19" s="284"/>
      <c r="J19" s="284">
        <f ca="1">SUM(J8:J18)</f>
        <v>269.65799129291031</v>
      </c>
      <c r="K19" s="284">
        <f ca="1">IF(A1taxstdlife="N/A","n/a",IF(J19=0,0,SUMPRODUCT(J8:J18,K8:K18)/J19))</f>
        <v>8.9017599578553082</v>
      </c>
      <c r="L19" s="286"/>
      <c r="M19" s="9"/>
      <c r="N19" s="9"/>
      <c r="O19" s="9"/>
      <c r="P19" s="9"/>
      <c r="Q19" s="9"/>
      <c r="R19" s="9"/>
      <c r="S19" s="271"/>
      <c r="T19" s="271"/>
      <c r="U19" s="271"/>
      <c r="V19" s="271"/>
      <c r="W19" s="271"/>
      <c r="X19" s="271"/>
      <c r="Y19" s="271"/>
      <c r="Z19" s="271"/>
    </row>
    <row r="20" spans="1:26" hidden="1" outlineLevel="1">
      <c r="A20" s="9"/>
      <c r="B20" s="288"/>
      <c r="C20" s="286"/>
      <c r="D20" s="9"/>
      <c r="E20" s="284"/>
      <c r="F20" s="284"/>
      <c r="G20" s="285"/>
      <c r="H20" s="284"/>
      <c r="I20" s="284"/>
      <c r="J20" s="289"/>
      <c r="K20" s="289"/>
      <c r="L20" s="286"/>
      <c r="M20" s="9"/>
      <c r="N20" s="9"/>
      <c r="O20" s="9"/>
      <c r="P20" s="9"/>
      <c r="Q20" s="9"/>
      <c r="R20" s="9"/>
      <c r="S20" s="271"/>
      <c r="T20" s="271"/>
      <c r="U20" s="271"/>
      <c r="V20" s="271"/>
      <c r="W20" s="271"/>
      <c r="X20" s="271"/>
      <c r="Y20" s="271"/>
      <c r="Z20" s="271"/>
    </row>
    <row r="21" spans="1:26" hidden="1" outlineLevel="1">
      <c r="A21" s="9"/>
      <c r="B21" s="281" t="str">
        <f>Asset2</f>
        <v>Underground Sub-Transmission Cables</v>
      </c>
      <c r="C21" s="290"/>
      <c r="D21" s="291"/>
      <c r="E21" s="292"/>
      <c r="F21" s="284"/>
      <c r="G21" s="285"/>
      <c r="H21" s="284"/>
      <c r="I21" s="284"/>
      <c r="J21" s="289"/>
      <c r="K21" s="289"/>
      <c r="L21" s="286"/>
      <c r="M21" s="9"/>
      <c r="N21" s="9"/>
      <c r="O21" s="9"/>
      <c r="P21" s="9"/>
      <c r="Q21" s="9"/>
      <c r="R21" s="9"/>
      <c r="S21" s="271"/>
      <c r="T21" s="271"/>
      <c r="U21" s="271"/>
      <c r="V21" s="271"/>
      <c r="W21" s="271"/>
      <c r="X21" s="271"/>
      <c r="Y21" s="271"/>
      <c r="Z21" s="271"/>
    </row>
    <row r="22" spans="1:26" ht="12.75" hidden="1" customHeight="1" outlineLevel="1">
      <c r="A22" s="9"/>
      <c r="B22" s="283"/>
      <c r="C22" s="358" t="str">
        <f>C8</f>
        <v>Opening RAB</v>
      </c>
      <c r="D22" s="359"/>
      <c r="E22" s="284">
        <f ca="1">A2value-SUM('Actual RAB roll forward'!H57:OFFSET('Actual RAB roll forward'!H57,0,Input!$X$7-1))</f>
        <v>40.923172697598034</v>
      </c>
      <c r="F22" s="284">
        <f>IF(A2remlife="N/A","n/a",A2remlife-Input!$X$7)</f>
        <v>18.215795037755502</v>
      </c>
      <c r="G22" s="285"/>
      <c r="H22" s="360" t="str">
        <f>H8</f>
        <v>Initial Asset Base</v>
      </c>
      <c r="I22" s="361"/>
      <c r="J22" s="284">
        <f ca="1">(A2taxvalue+'Tax value roll forward'!G41)-SUM('Tax value roll forward'!G86:OFFSET('Tax value roll forward'!G86,2,Input!$X$7))</f>
        <v>27.08654401133024</v>
      </c>
      <c r="K22" s="284">
        <f>IF(A2taxremlife="N/A","n/a",A2taxremlife-Input!$X$7-1)</f>
        <v>27.768860799120525</v>
      </c>
      <c r="L22" s="286"/>
      <c r="M22" s="9"/>
      <c r="N22" s="9"/>
      <c r="O22" s="9"/>
      <c r="P22" s="9"/>
      <c r="Q22" s="9"/>
      <c r="R22" s="9"/>
      <c r="S22" s="271"/>
      <c r="T22" s="271"/>
      <c r="U22" s="271"/>
      <c r="V22" s="271"/>
      <c r="W22" s="271"/>
      <c r="X22" s="271"/>
      <c r="Y22" s="271"/>
      <c r="Z22" s="271"/>
    </row>
    <row r="23" spans="1:26" ht="14.45" hidden="1" customHeight="1" outlineLevel="1">
      <c r="A23" s="9"/>
      <c r="B23" s="283"/>
      <c r="C23" s="352" t="str">
        <f>C9</f>
        <v>Capex in year</v>
      </c>
      <c r="D23" s="287">
        <f>D9</f>
        <v>1</v>
      </c>
      <c r="E23" s="284">
        <f ca="1">OFFSET('Actual RAB roll forward'!H$13,0,D23-1)-SUM('Actual RAB roll forward'!H59:OFFSET('Actual RAB roll forward'!H59,0,Input!$X$7-1))</f>
        <v>0</v>
      </c>
      <c r="F23" s="284">
        <f ca="1">IF(A2stdlife="N/A","n/a",IF(E23=0,0,A2stdlife+D23-Input!$X$7))</f>
        <v>0</v>
      </c>
      <c r="G23" s="285"/>
      <c r="H23" s="355" t="str">
        <f>H9</f>
        <v>Capex in year</v>
      </c>
      <c r="I23" s="287">
        <f>I9</f>
        <v>1</v>
      </c>
      <c r="J23" s="284">
        <f ca="1">OFFSET('Tax value roll forward'!H$41,0,I23-1)-SUM('Tax value roll forward'!H89:OFFSET('Tax value roll forward'!H89,0,Input!$X$7-1))</f>
        <v>0</v>
      </c>
      <c r="K23" s="284">
        <f ca="1">IF(A2taxstdlife="N/A","n/a",IF(J23=0,0,A2taxstdlife+I23-Input!$X$7))</f>
        <v>0</v>
      </c>
      <c r="L23" s="286"/>
      <c r="M23" s="9"/>
      <c r="N23" s="9"/>
      <c r="O23" s="9"/>
      <c r="P23" s="9"/>
      <c r="Q23" s="9"/>
      <c r="R23" s="9"/>
      <c r="S23" s="271"/>
      <c r="T23" s="271"/>
      <c r="U23" s="271"/>
      <c r="V23" s="271"/>
      <c r="W23" s="271"/>
      <c r="X23" s="271"/>
      <c r="Y23" s="271"/>
      <c r="Z23" s="271"/>
    </row>
    <row r="24" spans="1:26" ht="14.45" hidden="1" customHeight="1" outlineLevel="1">
      <c r="A24" s="9"/>
      <c r="B24" s="283"/>
      <c r="C24" s="353"/>
      <c r="D24" s="287">
        <f t="shared" ref="D24:D32" si="0">D10</f>
        <v>2</v>
      </c>
      <c r="E24" s="284">
        <f ca="1">OFFSET('Actual RAB roll forward'!H$13,0,D24-1)-SUM('Actual RAB roll forward'!H60:OFFSET('Actual RAB roll forward'!H60,0,Input!$X$7-1))</f>
        <v>0</v>
      </c>
      <c r="F24" s="284">
        <f ca="1">IF(A2stdlife="N/A","n/a",IF(E24=0,0,A2stdlife+D24-Input!$X$7))</f>
        <v>0</v>
      </c>
      <c r="G24" s="285"/>
      <c r="H24" s="356"/>
      <c r="I24" s="287">
        <f t="shared" ref="I24:I32" si="1">I10</f>
        <v>2</v>
      </c>
      <c r="J24" s="284">
        <f ca="1">OFFSET('Tax value roll forward'!H$41,0,I24-1)-SUM('Tax value roll forward'!H90:OFFSET('Tax value roll forward'!H90,0,Input!$X$7-1))</f>
        <v>0</v>
      </c>
      <c r="K24" s="284">
        <f ca="1">IF(A2taxstdlife="N/A","n/a",IF(J24=0,0,A2taxstdlife+I24-Input!$X$7))</f>
        <v>0</v>
      </c>
      <c r="L24" s="286"/>
      <c r="M24" s="9"/>
      <c r="N24" s="9"/>
      <c r="O24" s="9"/>
      <c r="P24" s="9"/>
      <c r="Q24" s="9"/>
      <c r="R24" s="9"/>
      <c r="S24" s="271"/>
      <c r="T24" s="271"/>
      <c r="U24" s="271"/>
      <c r="V24" s="271"/>
      <c r="W24" s="271"/>
      <c r="X24" s="271"/>
      <c r="Y24" s="271"/>
      <c r="Z24" s="271"/>
    </row>
    <row r="25" spans="1:26" ht="14.45" hidden="1" customHeight="1" outlineLevel="1">
      <c r="A25" s="9"/>
      <c r="B25" s="283"/>
      <c r="C25" s="353"/>
      <c r="D25" s="287">
        <f t="shared" si="0"/>
        <v>3</v>
      </c>
      <c r="E25" s="284">
        <f ca="1">OFFSET('Actual RAB roll forward'!H$13,0,D25-1)-SUM('Actual RAB roll forward'!H61:OFFSET('Actual RAB roll forward'!H61,0,Input!$X$7-1))</f>
        <v>0</v>
      </c>
      <c r="F25" s="284">
        <f ca="1">IF(A2stdlife="N/A","n/a",IF(E25=0,0,A2stdlife+D25-Input!$X$7))</f>
        <v>0</v>
      </c>
      <c r="G25" s="285"/>
      <c r="H25" s="356"/>
      <c r="I25" s="287">
        <f t="shared" si="1"/>
        <v>3</v>
      </c>
      <c r="J25" s="284">
        <f ca="1">OFFSET('Tax value roll forward'!H$41,0,I25-1)-SUM('Tax value roll forward'!H91:OFFSET('Tax value roll forward'!H91,0,Input!$X$7-1))</f>
        <v>0</v>
      </c>
      <c r="K25" s="284">
        <f ca="1">IF(A2taxstdlife="N/A","n/a",IF(J25=0,0,A2taxstdlife+I25-Input!$X$7))</f>
        <v>0</v>
      </c>
      <c r="L25" s="286"/>
      <c r="M25" s="9"/>
      <c r="N25" s="9"/>
      <c r="O25" s="9"/>
      <c r="P25" s="9"/>
      <c r="Q25" s="9"/>
      <c r="R25" s="9"/>
      <c r="S25" s="271"/>
      <c r="T25" s="271"/>
      <c r="U25" s="271"/>
      <c r="V25" s="271"/>
      <c r="W25" s="271"/>
      <c r="X25" s="271"/>
      <c r="Y25" s="271"/>
      <c r="Z25" s="271"/>
    </row>
    <row r="26" spans="1:26" ht="14.45" hidden="1" customHeight="1" outlineLevel="1">
      <c r="A26" s="9"/>
      <c r="B26" s="283"/>
      <c r="C26" s="353"/>
      <c r="D26" s="287">
        <f t="shared" si="0"/>
        <v>4</v>
      </c>
      <c r="E26" s="284">
        <f ca="1">OFFSET('Actual RAB roll forward'!H$13,0,D26-1)-SUM('Actual RAB roll forward'!H62:OFFSET('Actual RAB roll forward'!H62,0,Input!$X$7-1))</f>
        <v>0</v>
      </c>
      <c r="F26" s="284">
        <f ca="1">IF(A2stdlife="N/A","n/a",IF(E26=0,0,A2stdlife+D26-Input!$X$7))</f>
        <v>0</v>
      </c>
      <c r="G26" s="285"/>
      <c r="H26" s="356"/>
      <c r="I26" s="287">
        <f t="shared" si="1"/>
        <v>4</v>
      </c>
      <c r="J26" s="284">
        <f ca="1">OFFSET('Tax value roll forward'!H$41,0,I26-1)-SUM('Tax value roll forward'!H92:OFFSET('Tax value roll forward'!H92,0,Input!$X$7-1))</f>
        <v>0</v>
      </c>
      <c r="K26" s="284">
        <f ca="1">IF(A2taxstdlife="N/A","n/a",IF(J26=0,0,A2taxstdlife+I26-Input!$X$7))</f>
        <v>0</v>
      </c>
      <c r="L26" s="286"/>
      <c r="M26" s="9"/>
      <c r="N26" s="9"/>
      <c r="O26" s="9"/>
      <c r="P26" s="9"/>
      <c r="Q26" s="9"/>
      <c r="R26" s="9"/>
      <c r="S26" s="271"/>
      <c r="T26" s="271"/>
      <c r="U26" s="271"/>
      <c r="V26" s="271"/>
      <c r="W26" s="271"/>
      <c r="X26" s="271"/>
      <c r="Y26" s="271"/>
      <c r="Z26" s="271"/>
    </row>
    <row r="27" spans="1:26" ht="14.45" hidden="1" customHeight="1" outlineLevel="1">
      <c r="A27" s="9"/>
      <c r="B27" s="283"/>
      <c r="C27" s="353"/>
      <c r="D27" s="287">
        <f t="shared" si="0"/>
        <v>5</v>
      </c>
      <c r="E27" s="284">
        <f ca="1">OFFSET('Actual RAB roll forward'!H$13,0,D27-1)-SUM('Actual RAB roll forward'!H63:OFFSET('Actual RAB roll forward'!H63,0,Input!$X$7-1))</f>
        <v>0</v>
      </c>
      <c r="F27" s="284">
        <f ca="1">IF(A2stdlife="N/A","n/a",IF(E27=0,0,A2stdlife+D27-Input!$X$7))</f>
        <v>0</v>
      </c>
      <c r="G27" s="285"/>
      <c r="H27" s="356"/>
      <c r="I27" s="287">
        <f t="shared" si="1"/>
        <v>5</v>
      </c>
      <c r="J27" s="284">
        <f ca="1">OFFSET('Tax value roll forward'!H$41,0,I27-1)-SUM('Tax value roll forward'!H93:OFFSET('Tax value roll forward'!H93,0,Input!$X$7-1))</f>
        <v>0</v>
      </c>
      <c r="K27" s="284">
        <f ca="1">IF(A2taxstdlife="N/A","n/a",IF(J27=0,0,A2taxstdlife+I27-Input!$X$7))</f>
        <v>0</v>
      </c>
      <c r="L27" s="286"/>
      <c r="M27" s="9"/>
      <c r="N27" s="9"/>
      <c r="O27" s="9"/>
      <c r="P27" s="9"/>
      <c r="Q27" s="9"/>
      <c r="R27" s="9"/>
      <c r="S27" s="271"/>
      <c r="T27" s="271"/>
      <c r="U27" s="271"/>
      <c r="V27" s="271"/>
      <c r="W27" s="271"/>
      <c r="X27" s="271"/>
      <c r="Y27" s="271"/>
      <c r="Z27" s="271"/>
    </row>
    <row r="28" spans="1:26" ht="14.45" hidden="1" customHeight="1" outlineLevel="1">
      <c r="A28" s="9"/>
      <c r="B28" s="283"/>
      <c r="C28" s="353"/>
      <c r="D28" s="287">
        <f t="shared" si="0"/>
        <v>6</v>
      </c>
      <c r="E28" s="284">
        <f ca="1">OFFSET('Actual RAB roll forward'!H$13,0,D28-1)-SUM('Actual RAB roll forward'!H64:OFFSET('Actual RAB roll forward'!H64,0,Input!$X$7-1))</f>
        <v>0</v>
      </c>
      <c r="F28" s="284">
        <f ca="1">IF(A2stdlife="N/A","n/a",IF(E28=0,0,A2stdlife+D28-Input!$X$7))</f>
        <v>0</v>
      </c>
      <c r="G28" s="285"/>
      <c r="H28" s="356"/>
      <c r="I28" s="287">
        <f t="shared" si="1"/>
        <v>6</v>
      </c>
      <c r="J28" s="284">
        <f ca="1">OFFSET('Tax value roll forward'!H$41,0,I28-1)-SUM('Tax value roll forward'!H94:OFFSET('Tax value roll forward'!H94,0,Input!$X$7-1))</f>
        <v>0</v>
      </c>
      <c r="K28" s="284">
        <f ca="1">IF(A2taxstdlife="N/A","n/a",IF(J28=0,0,A2taxstdlife+I28-Input!$X$7))</f>
        <v>0</v>
      </c>
      <c r="L28" s="286"/>
      <c r="M28" s="9"/>
      <c r="N28" s="9"/>
      <c r="O28" s="9"/>
      <c r="P28" s="9"/>
      <c r="Q28" s="9"/>
      <c r="R28" s="9"/>
      <c r="S28" s="271"/>
      <c r="T28" s="271"/>
      <c r="U28" s="271"/>
      <c r="V28" s="271"/>
      <c r="W28" s="271"/>
      <c r="X28" s="271"/>
      <c r="Y28" s="271"/>
      <c r="Z28" s="271"/>
    </row>
    <row r="29" spans="1:26" ht="14.45" hidden="1" customHeight="1" outlineLevel="1">
      <c r="A29" s="9"/>
      <c r="B29" s="283"/>
      <c r="C29" s="353"/>
      <c r="D29" s="287">
        <f t="shared" si="0"/>
        <v>7</v>
      </c>
      <c r="E29" s="284">
        <f ca="1">OFFSET('Actual RAB roll forward'!H$13,0,D29-1)-SUM('Actual RAB roll forward'!H65:OFFSET('Actual RAB roll forward'!H65,0,Input!$X$7-1))</f>
        <v>0</v>
      </c>
      <c r="F29" s="284">
        <f ca="1">IF(A2stdlife="N/A","n/a",IF(E29=0,0,A2stdlife+D29-Input!$X$7))</f>
        <v>0</v>
      </c>
      <c r="G29" s="285"/>
      <c r="H29" s="356"/>
      <c r="I29" s="287">
        <f t="shared" si="1"/>
        <v>7</v>
      </c>
      <c r="J29" s="284">
        <f ca="1">OFFSET('Tax value roll forward'!H$41,0,I29-1)-SUM('Tax value roll forward'!H95:OFFSET('Tax value roll forward'!H95,0,Input!$X$7-1))</f>
        <v>0</v>
      </c>
      <c r="K29" s="284">
        <f ca="1">IF(A2taxstdlife="N/A","n/a",IF(J29=0,0,A2taxstdlife+I29-Input!$X$7))</f>
        <v>0</v>
      </c>
      <c r="L29" s="286"/>
      <c r="M29" s="9"/>
      <c r="N29" s="9"/>
      <c r="O29" s="9"/>
      <c r="P29" s="9"/>
      <c r="Q29" s="9"/>
      <c r="R29" s="9"/>
      <c r="S29" s="271"/>
      <c r="T29" s="271"/>
      <c r="U29" s="271"/>
      <c r="V29" s="271"/>
      <c r="W29" s="271"/>
      <c r="X29" s="271"/>
      <c r="Y29" s="271"/>
      <c r="Z29" s="271"/>
    </row>
    <row r="30" spans="1:26" ht="14.45" hidden="1" customHeight="1" outlineLevel="1">
      <c r="A30" s="9"/>
      <c r="B30" s="283"/>
      <c r="C30" s="353"/>
      <c r="D30" s="287">
        <f t="shared" si="0"/>
        <v>8</v>
      </c>
      <c r="E30" s="284">
        <f ca="1">OFFSET('Actual RAB roll forward'!H$13,0,D30-1)-SUM('Actual RAB roll forward'!H66:OFFSET('Actual RAB roll forward'!H66,0,Input!$X$7-1))</f>
        <v>0</v>
      </c>
      <c r="F30" s="284">
        <f ca="1">IF(A2stdlife="N/A","n/a",IF(E30=0,0,A2stdlife+D30-Input!$X$7))</f>
        <v>0</v>
      </c>
      <c r="G30" s="285"/>
      <c r="H30" s="356"/>
      <c r="I30" s="287">
        <f t="shared" si="1"/>
        <v>8</v>
      </c>
      <c r="J30" s="284">
        <f ca="1">OFFSET('Tax value roll forward'!H$41,0,I30-1)-SUM('Tax value roll forward'!H96:OFFSET('Tax value roll forward'!H96,0,Input!$X$7-1))</f>
        <v>0</v>
      </c>
      <c r="K30" s="284">
        <f ca="1">IF(A2taxstdlife="N/A","n/a",IF(J30=0,0,A2taxstdlife+I30-Input!$X$7))</f>
        <v>0</v>
      </c>
      <c r="L30" s="286"/>
      <c r="M30" s="9"/>
      <c r="N30" s="9"/>
      <c r="O30" s="9"/>
      <c r="P30" s="9"/>
      <c r="Q30" s="9"/>
      <c r="R30" s="9"/>
      <c r="S30" s="271"/>
      <c r="T30" s="271"/>
      <c r="U30" s="271"/>
      <c r="V30" s="271"/>
      <c r="W30" s="271"/>
      <c r="X30" s="271"/>
      <c r="Y30" s="271"/>
      <c r="Z30" s="271"/>
    </row>
    <row r="31" spans="1:26" ht="14.45" hidden="1" customHeight="1" outlineLevel="1">
      <c r="A31" s="9"/>
      <c r="B31" s="283"/>
      <c r="C31" s="353"/>
      <c r="D31" s="287">
        <f t="shared" si="0"/>
        <v>9</v>
      </c>
      <c r="E31" s="284">
        <f ca="1">OFFSET('Actual RAB roll forward'!H$13,0,D31-1)-SUM('Actual RAB roll forward'!H67:OFFSET('Actual RAB roll forward'!H67,0,Input!$X$7-1))</f>
        <v>0</v>
      </c>
      <c r="F31" s="284">
        <f ca="1">IF(A2stdlife="N/A","n/a",IF(E31=0,0,A2stdlife+D31-Input!$X$7))</f>
        <v>0</v>
      </c>
      <c r="G31" s="285"/>
      <c r="H31" s="356"/>
      <c r="I31" s="287">
        <f t="shared" si="1"/>
        <v>9</v>
      </c>
      <c r="J31" s="284">
        <f ca="1">OFFSET('Tax value roll forward'!H$41,0,I31-1)-SUM('Tax value roll forward'!H97:OFFSET('Tax value roll forward'!H97,0,Input!$X$7-1))</f>
        <v>0</v>
      </c>
      <c r="K31" s="284">
        <f ca="1">IF(A2taxstdlife="N/A","n/a",IF(J31=0,0,A2taxstdlife+I31-Input!$X$7))</f>
        <v>0</v>
      </c>
      <c r="L31" s="286"/>
      <c r="M31" s="9"/>
      <c r="N31" s="9"/>
      <c r="O31" s="9"/>
      <c r="P31" s="9"/>
      <c r="Q31" s="9"/>
      <c r="R31" s="9"/>
      <c r="S31" s="271"/>
      <c r="T31" s="271"/>
      <c r="U31" s="271"/>
      <c r="V31" s="271"/>
      <c r="W31" s="271"/>
      <c r="X31" s="271"/>
      <c r="Y31" s="271"/>
      <c r="Z31" s="271"/>
    </row>
    <row r="32" spans="1:26" ht="14.45" hidden="1" customHeight="1" outlineLevel="1">
      <c r="A32" s="9"/>
      <c r="B32" s="283"/>
      <c r="C32" s="354"/>
      <c r="D32" s="89">
        <f t="shared" si="0"/>
        <v>10</v>
      </c>
      <c r="E32" s="284">
        <f ca="1">OFFSET('Actual RAB roll forward'!H$13,0,D32-1)-SUM('Actual RAB roll forward'!H68:OFFSET('Actual RAB roll forward'!H68,0,Input!$X$7-1))</f>
        <v>0</v>
      </c>
      <c r="F32" s="284">
        <f ca="1">IF(A2stdlife="N/A","n/a",IF(E32=0,0,A2stdlife+D32-Input!$X$7))</f>
        <v>0</v>
      </c>
      <c r="G32" s="285"/>
      <c r="H32" s="357"/>
      <c r="I32" s="89">
        <f t="shared" si="1"/>
        <v>10</v>
      </c>
      <c r="J32" s="284">
        <f ca="1">OFFSET('Tax value roll forward'!H$41,0,I32-1)-SUM('Tax value roll forward'!H98:OFFSET('Tax value roll forward'!H98,0,Input!$X$7-1))</f>
        <v>0</v>
      </c>
      <c r="K32" s="284">
        <f ca="1">IF(A2taxstdlife="N/A","n/a",IF(J32=0,0,A2taxstdlife+I32-Input!$X$7))</f>
        <v>0</v>
      </c>
      <c r="L32" s="286"/>
      <c r="M32" s="9"/>
      <c r="N32" s="9"/>
      <c r="O32" s="9"/>
      <c r="P32" s="9"/>
      <c r="Q32" s="9"/>
      <c r="R32" s="9"/>
      <c r="S32" s="271"/>
      <c r="T32" s="271"/>
      <c r="U32" s="271"/>
      <c r="V32" s="271"/>
      <c r="W32" s="271"/>
      <c r="X32" s="271"/>
      <c r="Y32" s="271"/>
      <c r="Z32" s="271"/>
    </row>
    <row r="33" spans="1:26" collapsed="1">
      <c r="A33" s="9"/>
      <c r="B33" s="283"/>
      <c r="C33" s="286" t="str">
        <f>B21</f>
        <v>Underground Sub-Transmission Cables</v>
      </c>
      <c r="D33" s="9"/>
      <c r="E33" s="284">
        <f ca="1">SUM(E22:E32)</f>
        <v>40.923172697598034</v>
      </c>
      <c r="F33" s="284">
        <f ca="1">IF(A2remlife="N/A","n/a",IF(E33=0,0,SUMPRODUCT(E22:E32,F22:F32)/E33))</f>
        <v>18.215795037755502</v>
      </c>
      <c r="G33" s="285"/>
      <c r="H33" s="45"/>
      <c r="I33" s="284"/>
      <c r="J33" s="284">
        <f ca="1">SUM(J22:J32)</f>
        <v>27.08654401133024</v>
      </c>
      <c r="K33" s="284">
        <f ca="1">IF(A2taxstdlife="N/A","n/a",IF(J33=0,0,SUMPRODUCT(J22:J32,K22:K32)/J33))</f>
        <v>27.768860799120525</v>
      </c>
      <c r="L33" s="286"/>
      <c r="M33" s="9"/>
      <c r="N33" s="9"/>
      <c r="O33" s="9"/>
      <c r="P33" s="9"/>
      <c r="Q33" s="9"/>
      <c r="R33" s="9"/>
      <c r="S33" s="271"/>
      <c r="T33" s="271"/>
      <c r="U33" s="271"/>
      <c r="V33" s="271"/>
      <c r="W33" s="271"/>
      <c r="X33" s="271"/>
      <c r="Y33" s="271"/>
      <c r="Z33" s="271"/>
    </row>
    <row r="34" spans="1:26" hidden="1" outlineLevel="1">
      <c r="A34" s="9"/>
      <c r="B34" s="283"/>
      <c r="C34" s="286"/>
      <c r="D34" s="9"/>
      <c r="E34" s="284"/>
      <c r="F34" s="284"/>
      <c r="G34" s="285"/>
      <c r="H34" s="284"/>
      <c r="I34" s="284"/>
      <c r="J34" s="293"/>
      <c r="K34" s="289"/>
      <c r="L34" s="286"/>
      <c r="M34" s="9"/>
      <c r="N34" s="9"/>
      <c r="O34" s="9"/>
      <c r="P34" s="9"/>
      <c r="Q34" s="9"/>
      <c r="R34" s="9"/>
      <c r="S34" s="271"/>
      <c r="T34" s="271"/>
      <c r="U34" s="271"/>
      <c r="V34" s="271"/>
      <c r="W34" s="271"/>
      <c r="X34" s="271"/>
      <c r="Y34" s="271"/>
      <c r="Z34" s="271"/>
    </row>
    <row r="35" spans="1:26" hidden="1" outlineLevel="1">
      <c r="A35" s="9"/>
      <c r="B35" s="281" t="str">
        <f>Asset3</f>
        <v>Overhead Distribution Lines</v>
      </c>
      <c r="C35" s="294"/>
      <c r="D35" s="12"/>
      <c r="E35" s="292"/>
      <c r="F35" s="284"/>
      <c r="G35" s="285"/>
      <c r="H35" s="284"/>
      <c r="I35" s="284"/>
      <c r="J35" s="293"/>
      <c r="K35" s="289"/>
      <c r="L35" s="286"/>
      <c r="M35" s="9"/>
      <c r="N35" s="9"/>
      <c r="O35" s="9"/>
      <c r="P35" s="9"/>
      <c r="Q35" s="9"/>
      <c r="R35" s="9"/>
      <c r="S35" s="271"/>
      <c r="T35" s="271"/>
      <c r="U35" s="271"/>
      <c r="V35" s="271"/>
      <c r="W35" s="271"/>
      <c r="X35" s="271"/>
      <c r="Y35" s="271"/>
      <c r="Z35" s="271"/>
    </row>
    <row r="36" spans="1:26" ht="12.75" hidden="1" customHeight="1" outlineLevel="1">
      <c r="A36" s="9"/>
      <c r="B36" s="283"/>
      <c r="C36" s="358" t="str">
        <f>C22</f>
        <v>Opening RAB</v>
      </c>
      <c r="D36" s="359"/>
      <c r="E36" s="284">
        <f ca="1">A3value-SUM('Actual RAB roll forward'!H70:OFFSET('Actual RAB roll forward'!H70,0,Input!$X$7-1))</f>
        <v>1875.4944712275974</v>
      </c>
      <c r="F36" s="284">
        <f>IF(A3remlife="N/A","n/a",A3remlife-Input!$X$7)</f>
        <v>29.865864159487863</v>
      </c>
      <c r="G36" s="285"/>
      <c r="H36" s="360" t="str">
        <f>H22</f>
        <v>Initial Asset Base</v>
      </c>
      <c r="I36" s="361"/>
      <c r="J36" s="284">
        <f ca="1">(A3taxvalue+'Tax value roll forward'!G42)-SUM('Tax value roll forward'!G100:OFFSET('Tax value roll forward'!G100,2,Input!$X$7))</f>
        <v>751.96639643218452</v>
      </c>
      <c r="K36" s="284">
        <f>IF(A3taxremlife="N/A","n/a",A3taxremlife-Input!$X$7-1)</f>
        <v>17.116774827258503</v>
      </c>
      <c r="L36" s="286"/>
      <c r="M36" s="9"/>
      <c r="N36" s="9"/>
      <c r="O36" s="9"/>
      <c r="P36" s="9"/>
      <c r="Q36" s="9"/>
      <c r="R36" s="9"/>
      <c r="S36" s="271"/>
      <c r="T36" s="271"/>
      <c r="U36" s="271"/>
      <c r="V36" s="271"/>
      <c r="W36" s="271"/>
      <c r="X36" s="271"/>
      <c r="Y36" s="271"/>
      <c r="Z36" s="271"/>
    </row>
    <row r="37" spans="1:26" ht="14.45" hidden="1" customHeight="1" outlineLevel="1">
      <c r="A37" s="9"/>
      <c r="B37" s="283"/>
      <c r="C37" s="352" t="str">
        <f>C23</f>
        <v>Capex in year</v>
      </c>
      <c r="D37" s="287">
        <f>D23</f>
        <v>1</v>
      </c>
      <c r="E37" s="284">
        <f ca="1">OFFSET('Actual RAB roll forward'!H$14,0,D37-1)-SUM('Actual RAB roll forward'!H72:OFFSET('Actual RAB roll forward'!H72,0,Input!$X$7-1))</f>
        <v>0</v>
      </c>
      <c r="F37" s="284">
        <f ca="1">IF(A3stdlife="N/A","n/a",IF(E37=0,0,A3stdlife+D37-Input!$X$7))</f>
        <v>0</v>
      </c>
      <c r="G37" s="285"/>
      <c r="H37" s="355" t="str">
        <f>H23</f>
        <v>Capex in year</v>
      </c>
      <c r="I37" s="287">
        <f>I23</f>
        <v>1</v>
      </c>
      <c r="J37" s="284">
        <f ca="1">OFFSET('Tax value roll forward'!H$42,0,I37-1)-SUM('Tax value roll forward'!H103:OFFSET('Tax value roll forward'!H103,0,Input!$X$7-1))</f>
        <v>0</v>
      </c>
      <c r="K37" s="284">
        <f ca="1">IF(A3taxstdlife="N/A","n/a",IF(J37=0,0,A3taxstdlife+I37-Input!$X$7))</f>
        <v>0</v>
      </c>
      <c r="L37" s="286"/>
      <c r="M37" s="9"/>
      <c r="N37" s="9"/>
      <c r="O37" s="9"/>
      <c r="P37" s="9"/>
      <c r="Q37" s="9"/>
      <c r="R37" s="9"/>
      <c r="S37" s="271"/>
      <c r="T37" s="271"/>
      <c r="U37" s="271"/>
      <c r="V37" s="271"/>
      <c r="W37" s="271"/>
      <c r="X37" s="271"/>
      <c r="Y37" s="271"/>
      <c r="Z37" s="271"/>
    </row>
    <row r="38" spans="1:26" ht="14.45" hidden="1" customHeight="1" outlineLevel="1">
      <c r="A38" s="9"/>
      <c r="B38" s="283"/>
      <c r="C38" s="353"/>
      <c r="D38" s="287">
        <f t="shared" ref="D38:D46" si="2">D24</f>
        <v>2</v>
      </c>
      <c r="E38" s="284">
        <f ca="1">OFFSET('Actual RAB roll forward'!H$14,0,D38-1)-SUM('Actual RAB roll forward'!H73:OFFSET('Actual RAB roll forward'!H73,0,Input!$X$7-1))</f>
        <v>0</v>
      </c>
      <c r="F38" s="284">
        <f ca="1">IF(A3stdlife="N/A","n/a",IF(E38=0,0,A3stdlife+D38-Input!$X$7))</f>
        <v>0</v>
      </c>
      <c r="G38" s="285"/>
      <c r="H38" s="356"/>
      <c r="I38" s="287">
        <f t="shared" ref="I38:I46" si="3">I24</f>
        <v>2</v>
      </c>
      <c r="J38" s="284">
        <f ca="1">OFFSET('Tax value roll forward'!H$42,0,I38-1)-SUM('Tax value roll forward'!H104:OFFSET('Tax value roll forward'!H104,0,Input!$X$7-1))</f>
        <v>0</v>
      </c>
      <c r="K38" s="284">
        <f ca="1">IF(A3taxstdlife="N/A","n/a",IF(J38=0,0,A3taxstdlife+I38-Input!$X$7))</f>
        <v>0</v>
      </c>
      <c r="L38" s="286"/>
      <c r="M38" s="9"/>
      <c r="N38" s="9"/>
      <c r="O38" s="9"/>
      <c r="P38" s="9"/>
      <c r="Q38" s="9"/>
      <c r="R38" s="9"/>
      <c r="S38" s="271"/>
      <c r="T38" s="271"/>
      <c r="U38" s="271"/>
      <c r="V38" s="271"/>
      <c r="W38" s="271"/>
      <c r="X38" s="271"/>
      <c r="Y38" s="271"/>
      <c r="Z38" s="271"/>
    </row>
    <row r="39" spans="1:26" ht="14.45" hidden="1" customHeight="1" outlineLevel="1">
      <c r="A39" s="9"/>
      <c r="B39" s="283"/>
      <c r="C39" s="353"/>
      <c r="D39" s="287">
        <f t="shared" si="2"/>
        <v>3</v>
      </c>
      <c r="E39" s="284">
        <f ca="1">OFFSET('Actual RAB roll forward'!H$14,0,D39-1)-SUM('Actual RAB roll forward'!H74:OFFSET('Actual RAB roll forward'!H74,0,Input!$X$7-1))</f>
        <v>0</v>
      </c>
      <c r="F39" s="284">
        <f ca="1">IF(A3stdlife="N/A","n/a",IF(E39=0,0,A3stdlife+D39-Input!$X$7))</f>
        <v>0</v>
      </c>
      <c r="G39" s="285"/>
      <c r="H39" s="356"/>
      <c r="I39" s="287">
        <f t="shared" si="3"/>
        <v>3</v>
      </c>
      <c r="J39" s="284">
        <f ca="1">OFFSET('Tax value roll forward'!H$42,0,I39-1)-SUM('Tax value roll forward'!H105:OFFSET('Tax value roll forward'!H105,0,Input!$X$7-1))</f>
        <v>0</v>
      </c>
      <c r="K39" s="284">
        <f ca="1">IF(A3taxstdlife="N/A","n/a",IF(J39=0,0,A3taxstdlife+I39-Input!$X$7))</f>
        <v>0</v>
      </c>
      <c r="L39" s="286"/>
      <c r="M39" s="9"/>
      <c r="N39" s="9"/>
      <c r="O39" s="9"/>
      <c r="P39" s="9"/>
      <c r="Q39" s="9"/>
      <c r="R39" s="9"/>
      <c r="S39" s="271"/>
      <c r="T39" s="271"/>
      <c r="U39" s="271"/>
      <c r="V39" s="271"/>
      <c r="W39" s="271"/>
      <c r="X39" s="271"/>
      <c r="Y39" s="271"/>
      <c r="Z39" s="271"/>
    </row>
    <row r="40" spans="1:26" ht="14.45" hidden="1" customHeight="1" outlineLevel="1">
      <c r="A40" s="9"/>
      <c r="B40" s="283"/>
      <c r="C40" s="353"/>
      <c r="D40" s="287">
        <f t="shared" si="2"/>
        <v>4</v>
      </c>
      <c r="E40" s="284">
        <f ca="1">OFFSET('Actual RAB roll forward'!H$14,0,D40-1)-SUM('Actual RAB roll forward'!H75:OFFSET('Actual RAB roll forward'!H75,0,Input!$X$7-1))</f>
        <v>0</v>
      </c>
      <c r="F40" s="284">
        <f ca="1">IF(A3stdlife="N/A","n/a",IF(E40=0,0,A3stdlife+D40-Input!$X$7))</f>
        <v>0</v>
      </c>
      <c r="G40" s="285"/>
      <c r="H40" s="356"/>
      <c r="I40" s="287">
        <f t="shared" si="3"/>
        <v>4</v>
      </c>
      <c r="J40" s="284">
        <f ca="1">OFFSET('Tax value roll forward'!H$42,0,I40-1)-SUM('Tax value roll forward'!H106:OFFSET('Tax value roll forward'!H106,0,Input!$X$7-1))</f>
        <v>0</v>
      </c>
      <c r="K40" s="284">
        <f ca="1">IF(A3taxstdlife="N/A","n/a",IF(J40=0,0,A3taxstdlife+I40-Input!$X$7))</f>
        <v>0</v>
      </c>
      <c r="L40" s="286"/>
      <c r="M40" s="9"/>
      <c r="N40" s="9"/>
      <c r="O40" s="9"/>
      <c r="P40" s="9"/>
      <c r="Q40" s="9"/>
      <c r="R40" s="9"/>
      <c r="S40" s="271"/>
      <c r="T40" s="271"/>
      <c r="U40" s="271"/>
      <c r="V40" s="271"/>
      <c r="W40" s="271"/>
      <c r="X40" s="271"/>
      <c r="Y40" s="271"/>
      <c r="Z40" s="271"/>
    </row>
    <row r="41" spans="1:26" ht="14.45" hidden="1" customHeight="1" outlineLevel="1">
      <c r="A41" s="9"/>
      <c r="B41" s="283"/>
      <c r="C41" s="353"/>
      <c r="D41" s="287">
        <f t="shared" si="2"/>
        <v>5</v>
      </c>
      <c r="E41" s="284">
        <f ca="1">OFFSET('Actual RAB roll forward'!H$14,0,D41-1)-SUM('Actual RAB roll forward'!H76:OFFSET('Actual RAB roll forward'!H76,0,Input!$X$7-1))</f>
        <v>0</v>
      </c>
      <c r="F41" s="284">
        <f ca="1">IF(A3stdlife="N/A","n/a",IF(E41=0,0,A3stdlife+D41-Input!$X$7))</f>
        <v>0</v>
      </c>
      <c r="G41" s="285"/>
      <c r="H41" s="356"/>
      <c r="I41" s="287">
        <f t="shared" si="3"/>
        <v>5</v>
      </c>
      <c r="J41" s="284">
        <f ca="1">OFFSET('Tax value roll forward'!H$42,0,I41-1)-SUM('Tax value roll forward'!H107:OFFSET('Tax value roll forward'!H107,0,Input!$X$7-1))</f>
        <v>0</v>
      </c>
      <c r="K41" s="284">
        <f ca="1">IF(A3taxstdlife="N/A","n/a",IF(J41=0,0,A3taxstdlife+I41-Input!$X$7))</f>
        <v>0</v>
      </c>
      <c r="L41" s="286"/>
      <c r="M41" s="9"/>
      <c r="N41" s="9"/>
      <c r="O41" s="9"/>
      <c r="P41" s="9"/>
      <c r="Q41" s="9"/>
      <c r="R41" s="9"/>
      <c r="S41" s="271"/>
      <c r="T41" s="271"/>
      <c r="U41" s="271"/>
      <c r="V41" s="271"/>
      <c r="W41" s="271"/>
      <c r="X41" s="271"/>
      <c r="Y41" s="271"/>
      <c r="Z41" s="271"/>
    </row>
    <row r="42" spans="1:26" ht="14.45" hidden="1" customHeight="1" outlineLevel="1">
      <c r="A42" s="9"/>
      <c r="B42" s="283"/>
      <c r="C42" s="353"/>
      <c r="D42" s="287">
        <f t="shared" si="2"/>
        <v>6</v>
      </c>
      <c r="E42" s="284">
        <f ca="1">OFFSET('Actual RAB roll forward'!H$14,0,D42-1)-SUM('Actual RAB roll forward'!H77:OFFSET('Actual RAB roll forward'!H77,0,Input!$X$7-1))</f>
        <v>0</v>
      </c>
      <c r="F42" s="284">
        <f ca="1">IF(A3stdlife="N/A","n/a",IF(E42=0,0,A3stdlife+D42-Input!$X$7))</f>
        <v>0</v>
      </c>
      <c r="G42" s="285"/>
      <c r="H42" s="356"/>
      <c r="I42" s="287">
        <f t="shared" si="3"/>
        <v>6</v>
      </c>
      <c r="J42" s="284">
        <f ca="1">OFFSET('Tax value roll forward'!H$42,0,I42-1)-SUM('Tax value roll forward'!H108:OFFSET('Tax value roll forward'!H108,0,Input!$X$7-1))</f>
        <v>0</v>
      </c>
      <c r="K42" s="284">
        <f ca="1">IF(A3taxstdlife="N/A","n/a",IF(J42=0,0,A3taxstdlife+I42-Input!$X$7))</f>
        <v>0</v>
      </c>
      <c r="L42" s="286"/>
      <c r="M42" s="9"/>
      <c r="N42" s="9"/>
      <c r="O42" s="9"/>
      <c r="P42" s="9"/>
      <c r="Q42" s="9"/>
      <c r="R42" s="9"/>
      <c r="S42" s="271"/>
      <c r="T42" s="271"/>
      <c r="U42" s="271"/>
      <c r="V42" s="271"/>
      <c r="W42" s="271"/>
      <c r="X42" s="271"/>
      <c r="Y42" s="271"/>
      <c r="Z42" s="271"/>
    </row>
    <row r="43" spans="1:26" ht="14.45" hidden="1" customHeight="1" outlineLevel="1">
      <c r="A43" s="9"/>
      <c r="B43" s="283"/>
      <c r="C43" s="353"/>
      <c r="D43" s="287">
        <f t="shared" si="2"/>
        <v>7</v>
      </c>
      <c r="E43" s="284">
        <f ca="1">OFFSET('Actual RAB roll forward'!H$14,0,D43-1)-SUM('Actual RAB roll forward'!H78:OFFSET('Actual RAB roll forward'!H78,0,Input!$X$7-1))</f>
        <v>0</v>
      </c>
      <c r="F43" s="284">
        <f ca="1">IF(A3stdlife="N/A","n/a",IF(E43=0,0,A3stdlife+D43-Input!$X$7))</f>
        <v>0</v>
      </c>
      <c r="G43" s="285"/>
      <c r="H43" s="356"/>
      <c r="I43" s="287">
        <f t="shared" si="3"/>
        <v>7</v>
      </c>
      <c r="J43" s="284">
        <f ca="1">OFFSET('Tax value roll forward'!H$42,0,I43-1)-SUM('Tax value roll forward'!H109:OFFSET('Tax value roll forward'!H109,0,Input!$X$7-1))</f>
        <v>0</v>
      </c>
      <c r="K43" s="284">
        <f ca="1">IF(A3taxstdlife="N/A","n/a",IF(J43=0,0,A3taxstdlife+I43-Input!$X$7))</f>
        <v>0</v>
      </c>
      <c r="L43" s="286"/>
      <c r="M43" s="9"/>
      <c r="N43" s="9"/>
      <c r="O43" s="9"/>
      <c r="P43" s="9"/>
      <c r="Q43" s="9"/>
      <c r="R43" s="9"/>
      <c r="S43" s="271"/>
      <c r="T43" s="271"/>
      <c r="U43" s="271"/>
      <c r="V43" s="271"/>
      <c r="W43" s="271"/>
      <c r="X43" s="271"/>
      <c r="Y43" s="271"/>
      <c r="Z43" s="271"/>
    </row>
    <row r="44" spans="1:26" ht="14.45" hidden="1" customHeight="1" outlineLevel="1">
      <c r="A44" s="9"/>
      <c r="B44" s="283"/>
      <c r="C44" s="353"/>
      <c r="D44" s="287">
        <f t="shared" si="2"/>
        <v>8</v>
      </c>
      <c r="E44" s="284">
        <f ca="1">OFFSET('Actual RAB roll forward'!H$14,0,D44-1)-SUM('Actual RAB roll forward'!H79:OFFSET('Actual RAB roll forward'!H79,0,Input!$X$7-1))</f>
        <v>0</v>
      </c>
      <c r="F44" s="284">
        <f ca="1">IF(A3stdlife="N/A","n/a",IF(E44=0,0,A3stdlife+D44-Input!$X$7))</f>
        <v>0</v>
      </c>
      <c r="G44" s="285"/>
      <c r="H44" s="356"/>
      <c r="I44" s="287">
        <f t="shared" si="3"/>
        <v>8</v>
      </c>
      <c r="J44" s="284">
        <f ca="1">OFFSET('Tax value roll forward'!H$42,0,I44-1)-SUM('Tax value roll forward'!H110:OFFSET('Tax value roll forward'!H110,0,Input!$X$7-1))</f>
        <v>0</v>
      </c>
      <c r="K44" s="284">
        <f ca="1">IF(A3taxstdlife="N/A","n/a",IF(J44=0,0,A3taxstdlife+I44-Input!$X$7))</f>
        <v>0</v>
      </c>
      <c r="L44" s="286"/>
      <c r="M44" s="9"/>
      <c r="N44" s="9"/>
      <c r="O44" s="9"/>
      <c r="P44" s="9"/>
      <c r="Q44" s="9"/>
      <c r="R44" s="9"/>
      <c r="S44" s="271"/>
      <c r="T44" s="271"/>
      <c r="U44" s="271"/>
      <c r="V44" s="271"/>
      <c r="W44" s="271"/>
      <c r="X44" s="271"/>
      <c r="Y44" s="271"/>
      <c r="Z44" s="271"/>
    </row>
    <row r="45" spans="1:26" ht="14.45" hidden="1" customHeight="1" outlineLevel="1">
      <c r="A45" s="9"/>
      <c r="B45" s="283"/>
      <c r="C45" s="353"/>
      <c r="D45" s="287">
        <f t="shared" si="2"/>
        <v>9</v>
      </c>
      <c r="E45" s="284">
        <f ca="1">OFFSET('Actual RAB roll forward'!H$14,0,D45-1)-SUM('Actual RAB roll forward'!H80:OFFSET('Actual RAB roll forward'!H80,0,Input!$X$7-1))</f>
        <v>0</v>
      </c>
      <c r="F45" s="284">
        <f ca="1">IF(A3stdlife="N/A","n/a",IF(E45=0,0,A3stdlife+D45-Input!$X$7))</f>
        <v>0</v>
      </c>
      <c r="G45" s="285"/>
      <c r="H45" s="356"/>
      <c r="I45" s="287">
        <f t="shared" si="3"/>
        <v>9</v>
      </c>
      <c r="J45" s="284">
        <f ca="1">OFFSET('Tax value roll forward'!H$42,0,I45-1)-SUM('Tax value roll forward'!H111:OFFSET('Tax value roll forward'!H111,0,Input!$X$7-1))</f>
        <v>0</v>
      </c>
      <c r="K45" s="284">
        <f ca="1">IF(A3taxstdlife="N/A","n/a",IF(J45=0,0,A3taxstdlife+I45-Input!$X$7))</f>
        <v>0</v>
      </c>
      <c r="L45" s="286"/>
      <c r="M45" s="9"/>
      <c r="N45" s="9"/>
      <c r="O45" s="9"/>
      <c r="P45" s="9"/>
      <c r="Q45" s="9"/>
      <c r="R45" s="9"/>
      <c r="S45" s="271"/>
      <c r="T45" s="271"/>
      <c r="U45" s="271"/>
      <c r="V45" s="271"/>
      <c r="W45" s="271"/>
      <c r="X45" s="271"/>
      <c r="Y45" s="271"/>
      <c r="Z45" s="271"/>
    </row>
    <row r="46" spans="1:26" ht="14.45" hidden="1" customHeight="1" outlineLevel="1">
      <c r="A46" s="9"/>
      <c r="B46" s="283"/>
      <c r="C46" s="354"/>
      <c r="D46" s="89">
        <f t="shared" si="2"/>
        <v>10</v>
      </c>
      <c r="E46" s="284">
        <f ca="1">OFFSET('Actual RAB roll forward'!H$14,0,D46-1)-SUM('Actual RAB roll forward'!H81:OFFSET('Actual RAB roll forward'!H81,0,Input!$X$7-1))</f>
        <v>0</v>
      </c>
      <c r="F46" s="284">
        <f ca="1">IF(A3stdlife="N/A","n/a",IF(E46=0,0,A3stdlife+D46-Input!$X$7))</f>
        <v>0</v>
      </c>
      <c r="G46" s="285"/>
      <c r="H46" s="357"/>
      <c r="I46" s="89">
        <f t="shared" si="3"/>
        <v>10</v>
      </c>
      <c r="J46" s="284">
        <f ca="1">OFFSET('Tax value roll forward'!H$42,0,I46-1)-SUM('Tax value roll forward'!H112:OFFSET('Tax value roll forward'!H112,0,Input!$X$7-1))</f>
        <v>0</v>
      </c>
      <c r="K46" s="284">
        <f ca="1">IF(A3taxstdlife="N/A","n/a",IF(J46=0,0,A3taxstdlife+I46-Input!$X$7))</f>
        <v>0</v>
      </c>
      <c r="L46" s="286"/>
      <c r="M46" s="9"/>
      <c r="N46" s="9"/>
      <c r="O46" s="9"/>
      <c r="P46" s="9"/>
      <c r="Q46" s="9"/>
      <c r="R46" s="9"/>
      <c r="S46" s="271"/>
      <c r="T46" s="271"/>
      <c r="U46" s="271"/>
      <c r="V46" s="271"/>
      <c r="W46" s="271"/>
      <c r="X46" s="271"/>
      <c r="Y46" s="271"/>
      <c r="Z46" s="271"/>
    </row>
    <row r="47" spans="1:26" collapsed="1">
      <c r="A47" s="9"/>
      <c r="B47" s="283"/>
      <c r="C47" s="286" t="str">
        <f>B35</f>
        <v>Overhead Distribution Lines</v>
      </c>
      <c r="D47" s="9"/>
      <c r="E47" s="284">
        <f ca="1">SUM(E36:E46)</f>
        <v>1875.4944712275974</v>
      </c>
      <c r="F47" s="284">
        <f ca="1">IF(A3remlife="N/A","n/a",IF(E47=0,0,SUMPRODUCT(E36:E46,F36:F46)/E47))</f>
        <v>29.865864159487863</v>
      </c>
      <c r="G47" s="285"/>
      <c r="H47" s="45"/>
      <c r="I47" s="284"/>
      <c r="J47" s="284">
        <f ca="1">SUM(J36:J46)</f>
        <v>751.96639643218452</v>
      </c>
      <c r="K47" s="284">
        <f ca="1">IF(A3taxstdlife="N/A","n/a",IF(J47=0,0,SUMPRODUCT(J36:J46,K36:K46)/J47))</f>
        <v>17.116774827258503</v>
      </c>
      <c r="L47" s="286"/>
      <c r="M47" s="9"/>
      <c r="N47" s="9"/>
      <c r="O47" s="9"/>
      <c r="P47" s="9"/>
      <c r="Q47" s="9"/>
      <c r="R47" s="9"/>
      <c r="S47" s="271"/>
      <c r="T47" s="271"/>
      <c r="U47" s="271"/>
      <c r="V47" s="271"/>
      <c r="W47" s="271"/>
      <c r="X47" s="271"/>
      <c r="Y47" s="271"/>
      <c r="Z47" s="271"/>
    </row>
    <row r="48" spans="1:26" hidden="1" outlineLevel="1">
      <c r="A48" s="9"/>
      <c r="B48" s="283"/>
      <c r="C48" s="286"/>
      <c r="D48" s="9"/>
      <c r="E48" s="284"/>
      <c r="F48" s="284"/>
      <c r="G48" s="285"/>
      <c r="H48" s="284"/>
      <c r="I48" s="284"/>
      <c r="J48" s="293"/>
      <c r="K48" s="289"/>
      <c r="L48" s="286"/>
      <c r="M48" s="9"/>
      <c r="N48" s="9"/>
      <c r="O48" s="9"/>
      <c r="P48" s="9"/>
      <c r="Q48" s="9"/>
      <c r="R48" s="9"/>
      <c r="S48" s="271"/>
      <c r="T48" s="271"/>
      <c r="U48" s="271"/>
      <c r="V48" s="271"/>
      <c r="W48" s="271"/>
      <c r="X48" s="271"/>
      <c r="Y48" s="271"/>
      <c r="Z48" s="271"/>
    </row>
    <row r="49" spans="1:26" hidden="1" outlineLevel="1">
      <c r="A49" s="9"/>
      <c r="B49" s="281" t="str">
        <f>Asset4</f>
        <v>Underground Distribution Cables</v>
      </c>
      <c r="C49" s="9"/>
      <c r="D49" s="9"/>
      <c r="E49" s="284"/>
      <c r="F49" s="284"/>
      <c r="G49" s="285"/>
      <c r="H49" s="284"/>
      <c r="I49" s="284"/>
      <c r="J49" s="293"/>
      <c r="K49" s="289"/>
      <c r="L49" s="286"/>
      <c r="M49" s="9"/>
      <c r="N49" s="9"/>
      <c r="O49" s="9"/>
      <c r="P49" s="9"/>
      <c r="Q49" s="9"/>
      <c r="R49" s="9"/>
      <c r="S49" s="271"/>
      <c r="T49" s="271"/>
      <c r="U49" s="271"/>
      <c r="V49" s="271"/>
      <c r="W49" s="271"/>
      <c r="X49" s="271"/>
      <c r="Y49" s="271"/>
      <c r="Z49" s="271"/>
    </row>
    <row r="50" spans="1:26" ht="12.75" hidden="1" customHeight="1" outlineLevel="1">
      <c r="A50" s="9"/>
      <c r="B50" s="283"/>
      <c r="C50" s="358" t="str">
        <f>C36</f>
        <v>Opening RAB</v>
      </c>
      <c r="D50" s="359"/>
      <c r="E50" s="284">
        <f ca="1">A4value-SUM('Actual RAB roll forward'!H83:OFFSET('Actual RAB roll forward'!H83,0,Input!$X$7-1))</f>
        <v>568.53499087390901</v>
      </c>
      <c r="F50" s="284">
        <f>IF(A4remlife="N/A","n/a",A4remlife-Input!$X$7)</f>
        <v>42.058447495443779</v>
      </c>
      <c r="G50" s="285"/>
      <c r="H50" s="360" t="str">
        <f>H36</f>
        <v>Initial Asset Base</v>
      </c>
      <c r="I50" s="361"/>
      <c r="J50" s="284">
        <f ca="1">(A4taxvalue+'Tax value roll forward'!G43)-SUM('Tax value roll forward'!G114:OFFSET('Tax value roll forward'!G114,2,Input!$X$7))</f>
        <v>282.02322853907862</v>
      </c>
      <c r="K50" s="284">
        <f>IF(A4taxremlife="N/A","n/a",A4taxremlife-Input!$X$7-1)</f>
        <v>25.608991338405463</v>
      </c>
      <c r="L50" s="286"/>
      <c r="M50" s="9"/>
      <c r="N50" s="9"/>
      <c r="O50" s="9"/>
      <c r="P50" s="9"/>
      <c r="Q50" s="9"/>
      <c r="R50" s="9"/>
      <c r="S50" s="271"/>
      <c r="T50" s="271"/>
      <c r="U50" s="271"/>
      <c r="V50" s="271"/>
      <c r="W50" s="271"/>
      <c r="X50" s="271"/>
      <c r="Y50" s="271"/>
      <c r="Z50" s="271"/>
    </row>
    <row r="51" spans="1:26" ht="14.45" hidden="1" customHeight="1" outlineLevel="1">
      <c r="A51" s="9"/>
      <c r="B51" s="283"/>
      <c r="C51" s="352" t="str">
        <f>C37</f>
        <v>Capex in year</v>
      </c>
      <c r="D51" s="287">
        <f>D37</f>
        <v>1</v>
      </c>
      <c r="E51" s="284">
        <f ca="1">OFFSET('Actual RAB roll forward'!H$15,0,D51-1)-SUM('Actual RAB roll forward'!H85:OFFSET('Actual RAB roll forward'!H85,0,Input!$X$7-1))</f>
        <v>0</v>
      </c>
      <c r="F51" s="284">
        <f ca="1">IF(A4stdlife="N/A","n/a",IF(E51=0,0,A4stdlife+D51-Input!$X$7))</f>
        <v>0</v>
      </c>
      <c r="G51" s="285"/>
      <c r="H51" s="355" t="str">
        <f>H37</f>
        <v>Capex in year</v>
      </c>
      <c r="I51" s="287">
        <f>I37</f>
        <v>1</v>
      </c>
      <c r="J51" s="284">
        <f ca="1">OFFSET('Tax value roll forward'!H$43,0,I51-1)-SUM('Tax value roll forward'!H117:OFFSET('Tax value roll forward'!H117,0,Input!$X$7-1))</f>
        <v>0</v>
      </c>
      <c r="K51" s="284">
        <f ca="1">IF(A4taxstdlife="N/A","n/a",IF(J51=0,0,A4taxstdlife+I51-Input!$X$7))</f>
        <v>0</v>
      </c>
      <c r="L51" s="286"/>
      <c r="M51" s="9"/>
      <c r="N51" s="9"/>
      <c r="O51" s="9"/>
      <c r="P51" s="9"/>
      <c r="Q51" s="9"/>
      <c r="R51" s="9"/>
      <c r="S51" s="271"/>
      <c r="T51" s="271"/>
      <c r="U51" s="271"/>
      <c r="V51" s="271"/>
      <c r="W51" s="271"/>
      <c r="X51" s="271"/>
      <c r="Y51" s="271"/>
      <c r="Z51" s="271"/>
    </row>
    <row r="52" spans="1:26" ht="14.45" hidden="1" customHeight="1" outlineLevel="1">
      <c r="A52" s="9"/>
      <c r="B52" s="283"/>
      <c r="C52" s="353"/>
      <c r="D52" s="287">
        <f t="shared" ref="D52:D60" si="4">D38</f>
        <v>2</v>
      </c>
      <c r="E52" s="284">
        <f ca="1">OFFSET('Actual RAB roll forward'!H$15,0,D52-1)-SUM('Actual RAB roll forward'!H86:OFFSET('Actual RAB roll forward'!H86,0,Input!$X$7-1))</f>
        <v>0</v>
      </c>
      <c r="F52" s="284">
        <f ca="1">IF(A4stdlife="N/A","n/a",IF(E52=0,0,A4stdlife+D52-Input!$X$7))</f>
        <v>0</v>
      </c>
      <c r="G52" s="285"/>
      <c r="H52" s="356"/>
      <c r="I52" s="287">
        <f t="shared" ref="I52:I60" si="5">I38</f>
        <v>2</v>
      </c>
      <c r="J52" s="284">
        <f ca="1">OFFSET('Tax value roll forward'!H$43,0,I52-1)-SUM('Tax value roll forward'!H118:OFFSET('Tax value roll forward'!H118,0,Input!$X$7-1))</f>
        <v>0</v>
      </c>
      <c r="K52" s="284">
        <f ca="1">IF(A4taxstdlife="N/A","n/a",IF(J52=0,0,A4taxstdlife+I52-Input!$X$7))</f>
        <v>0</v>
      </c>
      <c r="L52" s="286"/>
      <c r="M52" s="9"/>
      <c r="N52" s="9"/>
      <c r="O52" s="9"/>
      <c r="P52" s="9"/>
      <c r="Q52" s="9"/>
      <c r="R52" s="9"/>
      <c r="S52" s="271"/>
      <c r="T52" s="271"/>
      <c r="U52" s="271"/>
      <c r="V52" s="271"/>
      <c r="W52" s="271"/>
      <c r="X52" s="271"/>
      <c r="Y52" s="271"/>
      <c r="Z52" s="271"/>
    </row>
    <row r="53" spans="1:26" ht="14.45" hidden="1" customHeight="1" outlineLevel="1">
      <c r="A53" s="9"/>
      <c r="B53" s="283"/>
      <c r="C53" s="353"/>
      <c r="D53" s="287">
        <f t="shared" si="4"/>
        <v>3</v>
      </c>
      <c r="E53" s="284">
        <f ca="1">OFFSET('Actual RAB roll forward'!H$15,0,D53-1)-SUM('Actual RAB roll forward'!H87:OFFSET('Actual RAB roll forward'!H87,0,Input!$X$7-1))</f>
        <v>0</v>
      </c>
      <c r="F53" s="284">
        <f ca="1">IF(A4stdlife="N/A","n/a",IF(E53=0,0,A4stdlife+D53-Input!$X$7))</f>
        <v>0</v>
      </c>
      <c r="G53" s="285"/>
      <c r="H53" s="356"/>
      <c r="I53" s="287">
        <f t="shared" si="5"/>
        <v>3</v>
      </c>
      <c r="J53" s="284">
        <f ca="1">OFFSET('Tax value roll forward'!H$43,0,I53-1)-SUM('Tax value roll forward'!H119:OFFSET('Tax value roll forward'!H119,0,Input!$X$7-1))</f>
        <v>0</v>
      </c>
      <c r="K53" s="284">
        <f ca="1">IF(A4taxstdlife="N/A","n/a",IF(J53=0,0,A4taxstdlife+I53-Input!$X$7))</f>
        <v>0</v>
      </c>
      <c r="L53" s="286"/>
      <c r="M53" s="9"/>
      <c r="N53" s="9"/>
      <c r="O53" s="9"/>
      <c r="P53" s="9"/>
      <c r="Q53" s="9"/>
      <c r="R53" s="9"/>
      <c r="S53" s="271"/>
      <c r="T53" s="271"/>
      <c r="U53" s="271"/>
      <c r="V53" s="271"/>
      <c r="W53" s="271"/>
      <c r="X53" s="271"/>
      <c r="Y53" s="271"/>
      <c r="Z53" s="271"/>
    </row>
    <row r="54" spans="1:26" ht="14.45" hidden="1" customHeight="1" outlineLevel="1">
      <c r="A54" s="9"/>
      <c r="B54" s="283"/>
      <c r="C54" s="353"/>
      <c r="D54" s="287">
        <f t="shared" si="4"/>
        <v>4</v>
      </c>
      <c r="E54" s="284">
        <f ca="1">OFFSET('Actual RAB roll forward'!H$15,0,D54-1)-SUM('Actual RAB roll forward'!H88:OFFSET('Actual RAB roll forward'!H88,0,Input!$X$7-1))</f>
        <v>0</v>
      </c>
      <c r="F54" s="284">
        <f ca="1">IF(A4stdlife="N/A","n/a",IF(E54=0,0,A4stdlife+D54-Input!$X$7))</f>
        <v>0</v>
      </c>
      <c r="G54" s="285"/>
      <c r="H54" s="356"/>
      <c r="I54" s="287">
        <f t="shared" si="5"/>
        <v>4</v>
      </c>
      <c r="J54" s="284">
        <f ca="1">OFFSET('Tax value roll forward'!H$43,0,I54-1)-SUM('Tax value roll forward'!H120:OFFSET('Tax value roll forward'!H120,0,Input!$X$7-1))</f>
        <v>0</v>
      </c>
      <c r="K54" s="284">
        <f ca="1">IF(A4taxstdlife="N/A","n/a",IF(J54=0,0,A4taxstdlife+I54-Input!$X$7))</f>
        <v>0</v>
      </c>
      <c r="L54" s="286"/>
      <c r="M54" s="9"/>
      <c r="N54" s="9"/>
      <c r="O54" s="9"/>
      <c r="P54" s="9"/>
      <c r="Q54" s="9"/>
      <c r="R54" s="9"/>
      <c r="S54" s="271"/>
      <c r="T54" s="271"/>
      <c r="U54" s="271"/>
      <c r="V54" s="271"/>
      <c r="W54" s="271"/>
      <c r="X54" s="271"/>
      <c r="Y54" s="271"/>
      <c r="Z54" s="271"/>
    </row>
    <row r="55" spans="1:26" ht="14.45" hidden="1" customHeight="1" outlineLevel="1">
      <c r="A55" s="9"/>
      <c r="B55" s="283"/>
      <c r="C55" s="353"/>
      <c r="D55" s="287">
        <f t="shared" si="4"/>
        <v>5</v>
      </c>
      <c r="E55" s="284">
        <f ca="1">OFFSET('Actual RAB roll forward'!H$15,0,D55-1)-SUM('Actual RAB roll forward'!H89:OFFSET('Actual RAB roll forward'!H89,0,Input!$X$7-1))</f>
        <v>0</v>
      </c>
      <c r="F55" s="284">
        <f ca="1">IF(A4stdlife="N/A","n/a",IF(E55=0,0,A4stdlife+D55-Input!$X$7))</f>
        <v>0</v>
      </c>
      <c r="G55" s="285"/>
      <c r="H55" s="356"/>
      <c r="I55" s="287">
        <f t="shared" si="5"/>
        <v>5</v>
      </c>
      <c r="J55" s="284">
        <f ca="1">OFFSET('Tax value roll forward'!H$43,0,I55-1)-SUM('Tax value roll forward'!H121:OFFSET('Tax value roll forward'!H121,0,Input!$X$7-1))</f>
        <v>0</v>
      </c>
      <c r="K55" s="284">
        <f ca="1">IF(A4taxstdlife="N/A","n/a",IF(J55=0,0,A4taxstdlife+I55-Input!$X$7))</f>
        <v>0</v>
      </c>
      <c r="L55" s="286"/>
      <c r="M55" s="9"/>
      <c r="N55" s="9"/>
      <c r="O55" s="9"/>
      <c r="P55" s="9"/>
      <c r="Q55" s="9"/>
      <c r="R55" s="9"/>
      <c r="S55" s="271"/>
      <c r="T55" s="271"/>
      <c r="U55" s="271"/>
      <c r="V55" s="271"/>
      <c r="W55" s="271"/>
      <c r="X55" s="271"/>
      <c r="Y55" s="271"/>
      <c r="Z55" s="271"/>
    </row>
    <row r="56" spans="1:26" ht="14.45" hidden="1" customHeight="1" outlineLevel="1">
      <c r="A56" s="9"/>
      <c r="B56" s="283"/>
      <c r="C56" s="353"/>
      <c r="D56" s="287">
        <f t="shared" si="4"/>
        <v>6</v>
      </c>
      <c r="E56" s="284">
        <f ca="1">OFFSET('Actual RAB roll forward'!H$15,0,D56-1)-SUM('Actual RAB roll forward'!H90:OFFSET('Actual RAB roll forward'!H90,0,Input!$X$7-1))</f>
        <v>0</v>
      </c>
      <c r="F56" s="284">
        <f ca="1">IF(A4stdlife="N/A","n/a",IF(E56=0,0,A4stdlife+D56-Input!$X$7))</f>
        <v>0</v>
      </c>
      <c r="G56" s="285"/>
      <c r="H56" s="356"/>
      <c r="I56" s="287">
        <f t="shared" si="5"/>
        <v>6</v>
      </c>
      <c r="J56" s="284">
        <f ca="1">OFFSET('Tax value roll forward'!H$43,0,I56-1)-SUM('Tax value roll forward'!H122:OFFSET('Tax value roll forward'!H122,0,Input!$X$7-1))</f>
        <v>0</v>
      </c>
      <c r="K56" s="284">
        <f ca="1">IF(A4taxstdlife="N/A","n/a",IF(J56=0,0,A4taxstdlife+I56-Input!$X$7))</f>
        <v>0</v>
      </c>
      <c r="L56" s="286"/>
      <c r="M56" s="9"/>
      <c r="N56" s="9"/>
      <c r="O56" s="9"/>
      <c r="P56" s="9"/>
      <c r="Q56" s="9"/>
      <c r="R56" s="9"/>
      <c r="S56" s="271"/>
      <c r="T56" s="271"/>
      <c r="U56" s="271"/>
      <c r="V56" s="271"/>
      <c r="W56" s="271"/>
      <c r="X56" s="271"/>
      <c r="Y56" s="271"/>
      <c r="Z56" s="271"/>
    </row>
    <row r="57" spans="1:26" ht="14.45" hidden="1" customHeight="1" outlineLevel="1">
      <c r="A57" s="9"/>
      <c r="B57" s="283"/>
      <c r="C57" s="353"/>
      <c r="D57" s="287">
        <f t="shared" si="4"/>
        <v>7</v>
      </c>
      <c r="E57" s="284">
        <f ca="1">OFFSET('Actual RAB roll forward'!H$15,0,D57-1)-SUM('Actual RAB roll forward'!H91:OFFSET('Actual RAB roll forward'!H91,0,Input!$X$7-1))</f>
        <v>0</v>
      </c>
      <c r="F57" s="284">
        <f ca="1">IF(A4stdlife="N/A","n/a",IF(E57=0,0,A4stdlife+D57-Input!$X$7))</f>
        <v>0</v>
      </c>
      <c r="G57" s="285"/>
      <c r="H57" s="356"/>
      <c r="I57" s="287">
        <f t="shared" si="5"/>
        <v>7</v>
      </c>
      <c r="J57" s="284">
        <f ca="1">OFFSET('Tax value roll forward'!H$43,0,I57-1)-SUM('Tax value roll forward'!H123:OFFSET('Tax value roll forward'!H123,0,Input!$X$7-1))</f>
        <v>0</v>
      </c>
      <c r="K57" s="284">
        <f ca="1">IF(A4taxstdlife="N/A","n/a",IF(J57=0,0,A4taxstdlife+I57-Input!$X$7))</f>
        <v>0</v>
      </c>
      <c r="L57" s="286"/>
      <c r="M57" s="9"/>
      <c r="N57" s="9"/>
      <c r="O57" s="9"/>
      <c r="P57" s="9"/>
      <c r="Q57" s="9"/>
      <c r="R57" s="9"/>
      <c r="S57" s="271"/>
      <c r="T57" s="271"/>
      <c r="U57" s="271"/>
      <c r="V57" s="271"/>
      <c r="W57" s="271"/>
      <c r="X57" s="271"/>
      <c r="Y57" s="271"/>
      <c r="Z57" s="271"/>
    </row>
    <row r="58" spans="1:26" ht="14.45" hidden="1" customHeight="1" outlineLevel="1">
      <c r="A58" s="9"/>
      <c r="B58" s="283"/>
      <c r="C58" s="353"/>
      <c r="D58" s="287">
        <f t="shared" si="4"/>
        <v>8</v>
      </c>
      <c r="E58" s="284">
        <f ca="1">OFFSET('Actual RAB roll forward'!H$15,0,D58-1)-SUM('Actual RAB roll forward'!H92:OFFSET('Actual RAB roll forward'!H92,0,Input!$X$7-1))</f>
        <v>0</v>
      </c>
      <c r="F58" s="284">
        <f ca="1">IF(A4stdlife="N/A","n/a",IF(E58=0,0,A4stdlife+D58-Input!$X$7))</f>
        <v>0</v>
      </c>
      <c r="G58" s="285"/>
      <c r="H58" s="356"/>
      <c r="I58" s="287">
        <f t="shared" si="5"/>
        <v>8</v>
      </c>
      <c r="J58" s="284">
        <f ca="1">OFFSET('Tax value roll forward'!H$43,0,I58-1)-SUM('Tax value roll forward'!H124:OFFSET('Tax value roll forward'!H124,0,Input!$X$7-1))</f>
        <v>0</v>
      </c>
      <c r="K58" s="284">
        <f ca="1">IF(A4taxstdlife="N/A","n/a",IF(J58=0,0,A4taxstdlife+I58-Input!$X$7))</f>
        <v>0</v>
      </c>
      <c r="L58" s="286"/>
      <c r="M58" s="9"/>
      <c r="N58" s="9"/>
      <c r="O58" s="9"/>
      <c r="P58" s="9"/>
      <c r="Q58" s="9"/>
      <c r="R58" s="9"/>
      <c r="S58" s="271"/>
      <c r="T58" s="271"/>
      <c r="U58" s="271"/>
      <c r="V58" s="271"/>
      <c r="W58" s="271"/>
      <c r="X58" s="271"/>
      <c r="Y58" s="271"/>
      <c r="Z58" s="271"/>
    </row>
    <row r="59" spans="1:26" ht="14.45" hidden="1" customHeight="1" outlineLevel="1">
      <c r="A59" s="9"/>
      <c r="B59" s="283"/>
      <c r="C59" s="353"/>
      <c r="D59" s="287">
        <f t="shared" si="4"/>
        <v>9</v>
      </c>
      <c r="E59" s="284">
        <f ca="1">OFFSET('Actual RAB roll forward'!H$15,0,D59-1)-SUM('Actual RAB roll forward'!H93:OFFSET('Actual RAB roll forward'!H93,0,Input!$X$7-1))</f>
        <v>0</v>
      </c>
      <c r="F59" s="284">
        <f ca="1">IF(A4stdlife="N/A","n/a",IF(E59=0,0,A4stdlife+D59-Input!$X$7))</f>
        <v>0</v>
      </c>
      <c r="G59" s="285"/>
      <c r="H59" s="356"/>
      <c r="I59" s="287">
        <f t="shared" si="5"/>
        <v>9</v>
      </c>
      <c r="J59" s="284">
        <f ca="1">OFFSET('Tax value roll forward'!H$43,0,I59-1)-SUM('Tax value roll forward'!H125:OFFSET('Tax value roll forward'!H125,0,Input!$X$7-1))</f>
        <v>0</v>
      </c>
      <c r="K59" s="284">
        <f ca="1">IF(A4taxstdlife="N/A","n/a",IF(J59=0,0,A4taxstdlife+I59-Input!$X$7))</f>
        <v>0</v>
      </c>
      <c r="L59" s="286"/>
      <c r="M59" s="9"/>
      <c r="N59" s="9"/>
      <c r="O59" s="9"/>
      <c r="P59" s="9"/>
      <c r="Q59" s="9"/>
      <c r="R59" s="9"/>
      <c r="S59" s="271"/>
      <c r="T59" s="271"/>
      <c r="U59" s="271"/>
      <c r="V59" s="271"/>
      <c r="W59" s="271"/>
      <c r="X59" s="271"/>
      <c r="Y59" s="271"/>
      <c r="Z59" s="271"/>
    </row>
    <row r="60" spans="1:26" ht="14.45" hidden="1" customHeight="1" outlineLevel="1">
      <c r="A60" s="9"/>
      <c r="B60" s="283"/>
      <c r="C60" s="354"/>
      <c r="D60" s="89">
        <f t="shared" si="4"/>
        <v>10</v>
      </c>
      <c r="E60" s="284">
        <f ca="1">OFFSET('Actual RAB roll forward'!H$15,0,D60-1)-SUM('Actual RAB roll forward'!H94:OFFSET('Actual RAB roll forward'!H94,0,Input!$X$7-1))</f>
        <v>0</v>
      </c>
      <c r="F60" s="284">
        <f ca="1">IF(A4stdlife="N/A","n/a",IF(E60=0,0,A4stdlife+D60-Input!$X$7))</f>
        <v>0</v>
      </c>
      <c r="G60" s="285"/>
      <c r="H60" s="357"/>
      <c r="I60" s="89">
        <f t="shared" si="5"/>
        <v>10</v>
      </c>
      <c r="J60" s="284">
        <f ca="1">OFFSET('Tax value roll forward'!H$43,0,I60-1)-SUM('Tax value roll forward'!H126:OFFSET('Tax value roll forward'!H126,0,Input!$X$7-1))</f>
        <v>0</v>
      </c>
      <c r="K60" s="284">
        <f ca="1">IF(A4taxstdlife="N/A","n/a",IF(J60=0,0,A4taxstdlife+I60-Input!$X$7))</f>
        <v>0</v>
      </c>
      <c r="L60" s="286"/>
      <c r="M60" s="9"/>
      <c r="N60" s="9"/>
      <c r="O60" s="9"/>
      <c r="P60" s="9"/>
      <c r="Q60" s="9"/>
      <c r="R60" s="9"/>
      <c r="S60" s="271"/>
      <c r="T60" s="271"/>
      <c r="U60" s="271"/>
      <c r="V60" s="271"/>
      <c r="W60" s="271"/>
      <c r="X60" s="271"/>
      <c r="Y60" s="271"/>
      <c r="Z60" s="271"/>
    </row>
    <row r="61" spans="1:26" collapsed="1">
      <c r="A61" s="9"/>
      <c r="B61" s="283"/>
      <c r="C61" s="286" t="str">
        <f>B49</f>
        <v>Underground Distribution Cables</v>
      </c>
      <c r="D61" s="9"/>
      <c r="E61" s="284">
        <f ca="1">SUM(E50:E60)</f>
        <v>568.53499087390901</v>
      </c>
      <c r="F61" s="284">
        <f ca="1">IF(A4remlife="N/A","n/a",IF(E61=0,0,SUMPRODUCT(E50:E60,F50:F60)/E61))</f>
        <v>42.058447495443779</v>
      </c>
      <c r="G61" s="285"/>
      <c r="H61" s="45"/>
      <c r="I61" s="284"/>
      <c r="J61" s="284">
        <f ca="1">SUM(J50:J60)</f>
        <v>282.02322853907862</v>
      </c>
      <c r="K61" s="284">
        <f ca="1">IF(A4taxstdlife="N/A","n/a",IF(J61=0,0,SUMPRODUCT(J50:J60,K50:K60)/J61))</f>
        <v>25.608991338405463</v>
      </c>
      <c r="L61" s="286"/>
      <c r="M61" s="9"/>
      <c r="N61" s="9"/>
      <c r="O61" s="9"/>
      <c r="P61" s="9"/>
      <c r="Q61" s="9"/>
      <c r="R61" s="9"/>
      <c r="S61" s="271"/>
      <c r="T61" s="271"/>
      <c r="U61" s="271"/>
      <c r="V61" s="271"/>
      <c r="W61" s="271"/>
      <c r="X61" s="271"/>
      <c r="Y61" s="271"/>
      <c r="Z61" s="271"/>
    </row>
    <row r="62" spans="1:26" hidden="1" outlineLevel="1">
      <c r="A62" s="9"/>
      <c r="B62" s="283"/>
      <c r="C62" s="295"/>
      <c r="D62" s="9"/>
      <c r="E62" s="284"/>
      <c r="F62" s="284"/>
      <c r="G62" s="285"/>
      <c r="H62" s="284"/>
      <c r="I62" s="284"/>
      <c r="J62" s="293"/>
      <c r="K62" s="289"/>
      <c r="L62" s="286"/>
      <c r="M62" s="9"/>
      <c r="N62" s="9"/>
      <c r="O62" s="9"/>
      <c r="P62" s="9"/>
      <c r="Q62" s="9"/>
      <c r="R62" s="9"/>
      <c r="S62" s="271"/>
      <c r="T62" s="271"/>
      <c r="U62" s="271"/>
      <c r="V62" s="271"/>
      <c r="W62" s="271"/>
      <c r="X62" s="271"/>
      <c r="Y62" s="271"/>
      <c r="Z62" s="271"/>
    </row>
    <row r="63" spans="1:26" hidden="1" outlineLevel="1">
      <c r="A63" s="9"/>
      <c r="B63" s="281" t="str">
        <f>Asset5</f>
        <v xml:space="preserve">Distribution Equipment  </v>
      </c>
      <c r="C63" s="9"/>
      <c r="D63" s="9"/>
      <c r="E63" s="284"/>
      <c r="F63" s="284"/>
      <c r="G63" s="285"/>
      <c r="H63" s="284"/>
      <c r="I63" s="284"/>
      <c r="J63" s="293"/>
      <c r="K63" s="289"/>
      <c r="L63" s="286"/>
      <c r="M63" s="9"/>
      <c r="N63" s="9"/>
      <c r="O63" s="9"/>
      <c r="P63" s="9"/>
      <c r="Q63" s="9"/>
      <c r="R63" s="9"/>
      <c r="S63" s="271"/>
      <c r="T63" s="271"/>
      <c r="U63" s="271"/>
      <c r="V63" s="271"/>
      <c r="W63" s="271"/>
      <c r="X63" s="271"/>
      <c r="Y63" s="271"/>
      <c r="Z63" s="271"/>
    </row>
    <row r="64" spans="1:26" ht="12.75" hidden="1" customHeight="1" outlineLevel="1">
      <c r="A64" s="9"/>
      <c r="B64" s="283"/>
      <c r="C64" s="358" t="str">
        <f>C50</f>
        <v>Opening RAB</v>
      </c>
      <c r="D64" s="359"/>
      <c r="E64" s="284">
        <f ca="1">A5value-SUM('Actual RAB roll forward'!H96:OFFSET('Actual RAB roll forward'!H96,0,Input!$X$7-1))</f>
        <v>49.492781741516083</v>
      </c>
      <c r="F64" s="284">
        <f>IF(A5remlife="N/A","n/a",A5remlife-Input!$X$7)</f>
        <v>14.068616143307125</v>
      </c>
      <c r="G64" s="285"/>
      <c r="H64" s="360" t="str">
        <f>H50</f>
        <v>Initial Asset Base</v>
      </c>
      <c r="I64" s="361"/>
      <c r="J64" s="284">
        <f ca="1">(A5taxvalue+'Tax value roll forward'!G44)-SUM('Tax value roll forward'!G128:OFFSET('Tax value roll forward'!G128,2,Input!$X$7))</f>
        <v>13.999326134794082</v>
      </c>
      <c r="K64" s="284">
        <f>IF(A5taxremlife="N/A","n/a",A5taxremlife-Input!$X$7-1)</f>
        <v>38.309327025609797</v>
      </c>
      <c r="L64" s="286"/>
      <c r="M64" s="9"/>
      <c r="N64" s="9"/>
      <c r="O64" s="9"/>
      <c r="P64" s="9"/>
      <c r="Q64" s="9"/>
      <c r="R64" s="9"/>
      <c r="S64" s="271"/>
      <c r="T64" s="271"/>
      <c r="U64" s="271"/>
      <c r="V64" s="271"/>
      <c r="W64" s="271"/>
      <c r="X64" s="271"/>
      <c r="Y64" s="271"/>
      <c r="Z64" s="271"/>
    </row>
    <row r="65" spans="1:26" ht="14.45" hidden="1" customHeight="1" outlineLevel="1">
      <c r="A65" s="9"/>
      <c r="B65" s="283"/>
      <c r="C65" s="352" t="str">
        <f>C51</f>
        <v>Capex in year</v>
      </c>
      <c r="D65" s="287">
        <f>D51</f>
        <v>1</v>
      </c>
      <c r="E65" s="284">
        <f ca="1">OFFSET('Actual RAB roll forward'!H$16,0,D65-1)-SUM('Actual RAB roll forward'!H98:OFFSET('Actual RAB roll forward'!H98,0,Input!$X$7-1))</f>
        <v>0</v>
      </c>
      <c r="F65" s="284">
        <f ca="1">IF(A5stdlife="N/A","n/a",IF(E65=0,0,A5stdlife+D65-Input!$X$7))</f>
        <v>0</v>
      </c>
      <c r="G65" s="285"/>
      <c r="H65" s="355" t="str">
        <f>H51</f>
        <v>Capex in year</v>
      </c>
      <c r="I65" s="287">
        <f>I51</f>
        <v>1</v>
      </c>
      <c r="J65" s="284">
        <f ca="1">OFFSET('Tax value roll forward'!H$44,0,I65-1)-SUM('Tax value roll forward'!H131:OFFSET('Tax value roll forward'!H131,0,Input!$X$7-1))</f>
        <v>0</v>
      </c>
      <c r="K65" s="284">
        <f ca="1">IF(A5taxstdlife="N/A","n/a",IF(J65=0,0,A5taxstdlife+I65-Input!$X$7))</f>
        <v>0</v>
      </c>
      <c r="L65" s="286"/>
      <c r="M65" s="9"/>
      <c r="N65" s="9"/>
      <c r="O65" s="9"/>
      <c r="P65" s="9"/>
      <c r="Q65" s="9"/>
      <c r="R65" s="9"/>
      <c r="S65" s="271"/>
      <c r="T65" s="271"/>
      <c r="U65" s="271"/>
      <c r="V65" s="271"/>
      <c r="W65" s="271"/>
      <c r="X65" s="271"/>
      <c r="Y65" s="271"/>
      <c r="Z65" s="271"/>
    </row>
    <row r="66" spans="1:26" ht="14.45" hidden="1" customHeight="1" outlineLevel="1">
      <c r="A66" s="9"/>
      <c r="B66" s="283"/>
      <c r="C66" s="353"/>
      <c r="D66" s="287">
        <f t="shared" ref="D66:D74" si="6">D52</f>
        <v>2</v>
      </c>
      <c r="E66" s="284">
        <f ca="1">OFFSET('Actual RAB roll forward'!H$16,0,D66-1)-SUM('Actual RAB roll forward'!H99:OFFSET('Actual RAB roll forward'!H99,0,Input!$X$7-1))</f>
        <v>0</v>
      </c>
      <c r="F66" s="284">
        <f ca="1">IF(A5stdlife="N/A","n/a",IF(E66=0,0,A5stdlife+D66-Input!$X$7))</f>
        <v>0</v>
      </c>
      <c r="G66" s="285"/>
      <c r="H66" s="356"/>
      <c r="I66" s="287">
        <f t="shared" ref="I66:I74" si="7">I52</f>
        <v>2</v>
      </c>
      <c r="J66" s="284">
        <f ca="1">OFFSET('Tax value roll forward'!H$44,0,I66-1)-SUM('Tax value roll forward'!H132:OFFSET('Tax value roll forward'!H132,0,Input!$X$7-1))</f>
        <v>0</v>
      </c>
      <c r="K66" s="284">
        <f ca="1">IF(A5taxstdlife="N/A","n/a",IF(J66=0,0,A5taxstdlife+I66-Input!$X$7))</f>
        <v>0</v>
      </c>
      <c r="L66" s="286"/>
      <c r="M66" s="9"/>
      <c r="N66" s="9"/>
      <c r="O66" s="9"/>
      <c r="P66" s="9"/>
      <c r="Q66" s="9"/>
      <c r="R66" s="9"/>
      <c r="S66" s="271"/>
      <c r="T66" s="271"/>
      <c r="U66" s="271"/>
      <c r="V66" s="271"/>
      <c r="W66" s="271"/>
      <c r="X66" s="271"/>
      <c r="Y66" s="271"/>
      <c r="Z66" s="271"/>
    </row>
    <row r="67" spans="1:26" ht="14.45" hidden="1" customHeight="1" outlineLevel="1">
      <c r="A67" s="9"/>
      <c r="B67" s="283"/>
      <c r="C67" s="353"/>
      <c r="D67" s="287">
        <f t="shared" si="6"/>
        <v>3</v>
      </c>
      <c r="E67" s="284">
        <f ca="1">OFFSET('Actual RAB roll forward'!H$16,0,D67-1)-SUM('Actual RAB roll forward'!H100:OFFSET('Actual RAB roll forward'!H100,0,Input!$X$7-1))</f>
        <v>0</v>
      </c>
      <c r="F67" s="284">
        <f ca="1">IF(A5stdlife="N/A","n/a",IF(E67=0,0,A5stdlife+D67-Input!$X$7))</f>
        <v>0</v>
      </c>
      <c r="G67" s="285"/>
      <c r="H67" s="356"/>
      <c r="I67" s="287">
        <f t="shared" si="7"/>
        <v>3</v>
      </c>
      <c r="J67" s="284">
        <f ca="1">OFFSET('Tax value roll forward'!H$44,0,I67-1)-SUM('Tax value roll forward'!H133:OFFSET('Tax value roll forward'!H133,0,Input!$X$7-1))</f>
        <v>0</v>
      </c>
      <c r="K67" s="284">
        <f ca="1">IF(A5taxstdlife="N/A","n/a",IF(J67=0,0,A5taxstdlife+I67-Input!$X$7))</f>
        <v>0</v>
      </c>
      <c r="L67" s="286"/>
      <c r="M67" s="9"/>
      <c r="N67" s="9"/>
      <c r="O67" s="9"/>
      <c r="P67" s="9"/>
      <c r="Q67" s="9"/>
      <c r="R67" s="9"/>
      <c r="S67" s="271"/>
      <c r="T67" s="271"/>
      <c r="U67" s="271"/>
      <c r="V67" s="271"/>
      <c r="W67" s="271"/>
      <c r="X67" s="271"/>
      <c r="Y67" s="271"/>
      <c r="Z67" s="271"/>
    </row>
    <row r="68" spans="1:26" ht="14.45" hidden="1" customHeight="1" outlineLevel="1">
      <c r="A68" s="9"/>
      <c r="B68" s="283"/>
      <c r="C68" s="353"/>
      <c r="D68" s="287">
        <f t="shared" si="6"/>
        <v>4</v>
      </c>
      <c r="E68" s="284">
        <f ca="1">OFFSET('Actual RAB roll forward'!H$16,0,D68-1)-SUM('Actual RAB roll forward'!H101:OFFSET('Actual RAB roll forward'!H101,0,Input!$X$7-1))</f>
        <v>0</v>
      </c>
      <c r="F68" s="284">
        <f ca="1">IF(A5stdlife="N/A","n/a",IF(E68=0,0,A5stdlife+D68-Input!$X$7))</f>
        <v>0</v>
      </c>
      <c r="G68" s="285"/>
      <c r="H68" s="356"/>
      <c r="I68" s="287">
        <f t="shared" si="7"/>
        <v>4</v>
      </c>
      <c r="J68" s="284">
        <f ca="1">OFFSET('Tax value roll forward'!H$44,0,I68-1)-SUM('Tax value roll forward'!H134:OFFSET('Tax value roll forward'!H134,0,Input!$X$7-1))</f>
        <v>0</v>
      </c>
      <c r="K68" s="284">
        <f ca="1">IF(A5taxstdlife="N/A","n/a",IF(J68=0,0,A5taxstdlife+I68-Input!$X$7))</f>
        <v>0</v>
      </c>
      <c r="L68" s="286"/>
      <c r="M68" s="9"/>
      <c r="N68" s="9"/>
      <c r="O68" s="9"/>
      <c r="P68" s="9"/>
      <c r="Q68" s="9"/>
      <c r="R68" s="9"/>
      <c r="S68" s="271"/>
      <c r="T68" s="271"/>
      <c r="U68" s="271"/>
      <c r="V68" s="271"/>
      <c r="W68" s="271"/>
      <c r="X68" s="271"/>
      <c r="Y68" s="271"/>
      <c r="Z68" s="271"/>
    </row>
    <row r="69" spans="1:26" ht="14.45" hidden="1" customHeight="1" outlineLevel="1">
      <c r="A69" s="9"/>
      <c r="B69" s="283"/>
      <c r="C69" s="353"/>
      <c r="D69" s="287">
        <f t="shared" si="6"/>
        <v>5</v>
      </c>
      <c r="E69" s="284">
        <f ca="1">OFFSET('Actual RAB roll forward'!H$16,0,D69-1)-SUM('Actual RAB roll forward'!H102:OFFSET('Actual RAB roll forward'!H102,0,Input!$X$7-1))</f>
        <v>0</v>
      </c>
      <c r="F69" s="284">
        <f ca="1">IF(A5stdlife="N/A","n/a",IF(E69=0,0,A5stdlife+D69-Input!$X$7))</f>
        <v>0</v>
      </c>
      <c r="G69" s="285"/>
      <c r="H69" s="356"/>
      <c r="I69" s="287">
        <f t="shared" si="7"/>
        <v>5</v>
      </c>
      <c r="J69" s="284">
        <f ca="1">OFFSET('Tax value roll forward'!H$44,0,I69-1)-SUM('Tax value roll forward'!H135:OFFSET('Tax value roll forward'!H135,0,Input!$X$7-1))</f>
        <v>0</v>
      </c>
      <c r="K69" s="284">
        <f ca="1">IF(A5taxstdlife="N/A","n/a",IF(J69=0,0,A5taxstdlife+I69-Input!$X$7))</f>
        <v>0</v>
      </c>
      <c r="L69" s="286"/>
      <c r="M69" s="9"/>
      <c r="N69" s="9"/>
      <c r="O69" s="9"/>
      <c r="P69" s="9"/>
      <c r="Q69" s="9"/>
      <c r="R69" s="9"/>
      <c r="S69" s="271"/>
      <c r="T69" s="271"/>
      <c r="U69" s="271"/>
      <c r="V69" s="271"/>
      <c r="W69" s="271"/>
      <c r="X69" s="271"/>
      <c r="Y69" s="271"/>
      <c r="Z69" s="271"/>
    </row>
    <row r="70" spans="1:26" ht="14.45" hidden="1" customHeight="1" outlineLevel="1">
      <c r="A70" s="9"/>
      <c r="B70" s="283"/>
      <c r="C70" s="353"/>
      <c r="D70" s="287">
        <f t="shared" si="6"/>
        <v>6</v>
      </c>
      <c r="E70" s="284">
        <f ca="1">OFFSET('Actual RAB roll forward'!H$16,0,D70-1)-SUM('Actual RAB roll forward'!H103:OFFSET('Actual RAB roll forward'!H103,0,Input!$X$7-1))</f>
        <v>0</v>
      </c>
      <c r="F70" s="284">
        <f ca="1">IF(A5stdlife="N/A","n/a",IF(E70=0,0,A5stdlife+D70-Input!$X$7))</f>
        <v>0</v>
      </c>
      <c r="G70" s="285"/>
      <c r="H70" s="356"/>
      <c r="I70" s="287">
        <f t="shared" si="7"/>
        <v>6</v>
      </c>
      <c r="J70" s="284">
        <f ca="1">OFFSET('Tax value roll forward'!H$44,0,I70-1)-SUM('Tax value roll forward'!H136:OFFSET('Tax value roll forward'!H136,0,Input!$X$7-1))</f>
        <v>0</v>
      </c>
      <c r="K70" s="284">
        <f ca="1">IF(A5taxstdlife="N/A","n/a",IF(J70=0,0,A5taxstdlife+I70-Input!$X$7))</f>
        <v>0</v>
      </c>
      <c r="L70" s="286"/>
      <c r="M70" s="9"/>
      <c r="N70" s="9"/>
      <c r="O70" s="9"/>
      <c r="P70" s="9"/>
      <c r="Q70" s="9"/>
      <c r="R70" s="9"/>
      <c r="S70" s="271"/>
      <c r="T70" s="271"/>
      <c r="U70" s="271"/>
      <c r="V70" s="271"/>
      <c r="W70" s="271"/>
      <c r="X70" s="271"/>
      <c r="Y70" s="271"/>
      <c r="Z70" s="271"/>
    </row>
    <row r="71" spans="1:26" ht="14.45" hidden="1" customHeight="1" outlineLevel="1">
      <c r="A71" s="9"/>
      <c r="B71" s="283"/>
      <c r="C71" s="353"/>
      <c r="D71" s="287">
        <f t="shared" si="6"/>
        <v>7</v>
      </c>
      <c r="E71" s="284">
        <f ca="1">OFFSET('Actual RAB roll forward'!H$16,0,D71-1)-SUM('Actual RAB roll forward'!H104:OFFSET('Actual RAB roll forward'!H104,0,Input!$X$7-1))</f>
        <v>0</v>
      </c>
      <c r="F71" s="284">
        <f ca="1">IF(A5stdlife="N/A","n/a",IF(E71=0,0,A5stdlife+D71-Input!$X$7))</f>
        <v>0</v>
      </c>
      <c r="G71" s="285"/>
      <c r="H71" s="356"/>
      <c r="I71" s="287">
        <f t="shared" si="7"/>
        <v>7</v>
      </c>
      <c r="J71" s="284">
        <f ca="1">OFFSET('Tax value roll forward'!H$44,0,I71-1)-SUM('Tax value roll forward'!H137:OFFSET('Tax value roll forward'!H137,0,Input!$X$7-1))</f>
        <v>0</v>
      </c>
      <c r="K71" s="284">
        <f ca="1">IF(A5taxstdlife="N/A","n/a",IF(J71=0,0,A5taxstdlife+I71-Input!$X$7))</f>
        <v>0</v>
      </c>
      <c r="L71" s="286"/>
      <c r="M71" s="9"/>
      <c r="N71" s="9"/>
      <c r="O71" s="9"/>
      <c r="P71" s="9"/>
      <c r="Q71" s="9"/>
      <c r="R71" s="9"/>
      <c r="S71" s="271"/>
      <c r="T71" s="271"/>
      <c r="U71" s="271"/>
      <c r="V71" s="271"/>
      <c r="W71" s="271"/>
      <c r="X71" s="271"/>
      <c r="Y71" s="271"/>
      <c r="Z71" s="271"/>
    </row>
    <row r="72" spans="1:26" ht="14.45" hidden="1" customHeight="1" outlineLevel="1">
      <c r="A72" s="9"/>
      <c r="B72" s="283"/>
      <c r="C72" s="353"/>
      <c r="D72" s="287">
        <f t="shared" si="6"/>
        <v>8</v>
      </c>
      <c r="E72" s="284">
        <f ca="1">OFFSET('Actual RAB roll forward'!H$16,0,D72-1)-SUM('Actual RAB roll forward'!H105:OFFSET('Actual RAB roll forward'!H105,0,Input!$X$7-1))</f>
        <v>0</v>
      </c>
      <c r="F72" s="284">
        <f ca="1">IF(A5stdlife="N/A","n/a",IF(E72=0,0,A5stdlife+D72-Input!$X$7))</f>
        <v>0</v>
      </c>
      <c r="G72" s="285"/>
      <c r="H72" s="356"/>
      <c r="I72" s="287">
        <f t="shared" si="7"/>
        <v>8</v>
      </c>
      <c r="J72" s="284">
        <f ca="1">OFFSET('Tax value roll forward'!H$44,0,I72-1)-SUM('Tax value roll forward'!H138:OFFSET('Tax value roll forward'!H138,0,Input!$X$7-1))</f>
        <v>0</v>
      </c>
      <c r="K72" s="284">
        <f ca="1">IF(A5taxstdlife="N/A","n/a",IF(J72=0,0,A5taxstdlife+I72-Input!$X$7))</f>
        <v>0</v>
      </c>
      <c r="L72" s="286"/>
      <c r="M72" s="9"/>
      <c r="N72" s="9"/>
      <c r="O72" s="9"/>
      <c r="P72" s="9"/>
      <c r="Q72" s="9"/>
      <c r="R72" s="9"/>
      <c r="S72" s="271"/>
      <c r="T72" s="271"/>
      <c r="U72" s="271"/>
      <c r="V72" s="271"/>
      <c r="W72" s="271"/>
      <c r="X72" s="271"/>
      <c r="Y72" s="271"/>
      <c r="Z72" s="271"/>
    </row>
    <row r="73" spans="1:26" ht="14.45" hidden="1" customHeight="1" outlineLevel="1">
      <c r="A73" s="9"/>
      <c r="B73" s="283"/>
      <c r="C73" s="353"/>
      <c r="D73" s="287">
        <f t="shared" si="6"/>
        <v>9</v>
      </c>
      <c r="E73" s="284">
        <f ca="1">OFFSET('Actual RAB roll forward'!H$16,0,D73-1)-SUM('Actual RAB roll forward'!H106:OFFSET('Actual RAB roll forward'!H106,0,Input!$X$7-1))</f>
        <v>0</v>
      </c>
      <c r="F73" s="284">
        <f ca="1">IF(A5stdlife="N/A","n/a",IF(E73=0,0,A5stdlife+D73-Input!$X$7))</f>
        <v>0</v>
      </c>
      <c r="G73" s="285"/>
      <c r="H73" s="356"/>
      <c r="I73" s="287">
        <f t="shared" si="7"/>
        <v>9</v>
      </c>
      <c r="J73" s="284">
        <f ca="1">OFFSET('Tax value roll forward'!H$44,0,I73-1)-SUM('Tax value roll forward'!H139:OFFSET('Tax value roll forward'!H139,0,Input!$X$7-1))</f>
        <v>0</v>
      </c>
      <c r="K73" s="284">
        <f ca="1">IF(A5taxstdlife="N/A","n/a",IF(J73=0,0,A5taxstdlife+I73-Input!$X$7))</f>
        <v>0</v>
      </c>
      <c r="L73" s="286"/>
      <c r="M73" s="9"/>
      <c r="N73" s="9"/>
      <c r="O73" s="9"/>
      <c r="P73" s="9"/>
      <c r="Q73" s="9"/>
      <c r="R73" s="9"/>
      <c r="S73" s="271"/>
      <c r="T73" s="271"/>
      <c r="U73" s="271"/>
      <c r="V73" s="271"/>
      <c r="W73" s="271"/>
      <c r="X73" s="271"/>
      <c r="Y73" s="271"/>
      <c r="Z73" s="271"/>
    </row>
    <row r="74" spans="1:26" ht="14.45" hidden="1" customHeight="1" outlineLevel="1">
      <c r="A74" s="9"/>
      <c r="B74" s="283"/>
      <c r="C74" s="354"/>
      <c r="D74" s="89">
        <f t="shared" si="6"/>
        <v>10</v>
      </c>
      <c r="E74" s="284">
        <f ca="1">OFFSET('Actual RAB roll forward'!H$16,0,D74-1)-SUM('Actual RAB roll forward'!H107:OFFSET('Actual RAB roll forward'!H107,0,Input!$X$7-1))</f>
        <v>0</v>
      </c>
      <c r="F74" s="284">
        <f ca="1">IF(A5stdlife="N/A","n/a",IF(E74=0,0,A5stdlife+D74-Input!$X$7))</f>
        <v>0</v>
      </c>
      <c r="G74" s="285"/>
      <c r="H74" s="357"/>
      <c r="I74" s="89">
        <f t="shared" si="7"/>
        <v>10</v>
      </c>
      <c r="J74" s="284">
        <f ca="1">OFFSET('Tax value roll forward'!H$44,0,I74-1)-SUM('Tax value roll forward'!H140:OFFSET('Tax value roll forward'!H140,0,Input!$X$7-1))</f>
        <v>0</v>
      </c>
      <c r="K74" s="284">
        <f ca="1">IF(A5taxstdlife="N/A","n/a",IF(J74=0,0,A5taxstdlife+I74-Input!$X$7))</f>
        <v>0</v>
      </c>
      <c r="L74" s="286"/>
      <c r="M74" s="9"/>
      <c r="N74" s="9"/>
      <c r="O74" s="9"/>
      <c r="P74" s="9"/>
      <c r="Q74" s="9"/>
      <c r="R74" s="9"/>
      <c r="S74" s="271"/>
      <c r="T74" s="271"/>
      <c r="U74" s="271"/>
      <c r="V74" s="271"/>
      <c r="W74" s="271"/>
      <c r="X74" s="271"/>
      <c r="Y74" s="271"/>
      <c r="Z74" s="271"/>
    </row>
    <row r="75" spans="1:26" collapsed="1">
      <c r="A75" s="9"/>
      <c r="B75" s="283"/>
      <c r="C75" s="286" t="str">
        <f>B63</f>
        <v xml:space="preserve">Distribution Equipment  </v>
      </c>
      <c r="D75" s="9"/>
      <c r="E75" s="284">
        <f ca="1">SUM(E64:E74)</f>
        <v>49.492781741516083</v>
      </c>
      <c r="F75" s="284">
        <f ca="1">IF(A5remlife="N/A","n/a",IF(E75=0,0,SUMPRODUCT(E64:E74,F64:F74)/E75))</f>
        <v>14.068616143307125</v>
      </c>
      <c r="G75" s="285"/>
      <c r="H75" s="45"/>
      <c r="I75" s="284"/>
      <c r="J75" s="284">
        <f ca="1">SUM(J64:J74)</f>
        <v>13.999326134794082</v>
      </c>
      <c r="K75" s="284">
        <f ca="1">IF(A5taxstdlife="N/A","n/a",IF(J75=0,0,SUMPRODUCT(J64:J74,K64:K74)/J75))</f>
        <v>38.309327025609797</v>
      </c>
      <c r="L75" s="286"/>
      <c r="M75" s="9"/>
      <c r="N75" s="9"/>
      <c r="O75" s="9"/>
      <c r="P75" s="9"/>
      <c r="Q75" s="9"/>
      <c r="R75" s="9"/>
      <c r="S75" s="271"/>
      <c r="T75" s="271"/>
      <c r="U75" s="271"/>
      <c r="V75" s="271"/>
      <c r="W75" s="271"/>
      <c r="X75" s="271"/>
      <c r="Y75" s="271"/>
      <c r="Z75" s="271"/>
    </row>
    <row r="76" spans="1:26" hidden="1" outlineLevel="1">
      <c r="A76" s="9"/>
      <c r="B76" s="283"/>
      <c r="C76" s="295"/>
      <c r="D76" s="9"/>
      <c r="E76" s="284"/>
      <c r="F76" s="284"/>
      <c r="G76" s="285"/>
      <c r="H76" s="284"/>
      <c r="I76" s="284"/>
      <c r="J76" s="293"/>
      <c r="K76" s="289"/>
      <c r="L76" s="286"/>
      <c r="M76" s="9"/>
      <c r="N76" s="9"/>
      <c r="O76" s="9"/>
      <c r="P76" s="9"/>
      <c r="Q76" s="9"/>
      <c r="R76" s="9"/>
      <c r="S76" s="271"/>
      <c r="T76" s="271"/>
      <c r="U76" s="271"/>
      <c r="V76" s="271"/>
      <c r="W76" s="271"/>
      <c r="X76" s="271"/>
      <c r="Y76" s="271"/>
      <c r="Z76" s="271"/>
    </row>
    <row r="77" spans="1:26" hidden="1" outlineLevel="1">
      <c r="A77" s="9"/>
      <c r="B77" s="281" t="str">
        <f>Asset6</f>
        <v>Substation Bays</v>
      </c>
      <c r="C77" s="9"/>
      <c r="D77" s="9"/>
      <c r="E77" s="284"/>
      <c r="F77" s="284"/>
      <c r="G77" s="285"/>
      <c r="H77" s="284"/>
      <c r="I77" s="284"/>
      <c r="J77" s="293"/>
      <c r="K77" s="289"/>
      <c r="L77" s="286"/>
      <c r="M77" s="9"/>
      <c r="N77" s="9"/>
      <c r="O77" s="9"/>
      <c r="P77" s="9"/>
      <c r="Q77" s="9"/>
      <c r="R77" s="9"/>
      <c r="S77" s="271"/>
      <c r="T77" s="271"/>
      <c r="U77" s="271"/>
      <c r="V77" s="271"/>
      <c r="W77" s="271"/>
      <c r="X77" s="271"/>
      <c r="Y77" s="271"/>
      <c r="Z77" s="271"/>
    </row>
    <row r="78" spans="1:26" ht="12.75" hidden="1" customHeight="1" outlineLevel="1">
      <c r="A78" s="9"/>
      <c r="B78" s="283"/>
      <c r="C78" s="358" t="str">
        <f>C64</f>
        <v>Opening RAB</v>
      </c>
      <c r="D78" s="359"/>
      <c r="E78" s="284">
        <f ca="1">A6value-SUM('Actual RAB roll forward'!H109:OFFSET('Actual RAB roll forward'!H109,0,Input!$X$7-1))</f>
        <v>700.15915867221076</v>
      </c>
      <c r="F78" s="284">
        <f>IF(A6remlife="N/A","n/a",A6remlife-Input!$X$7)</f>
        <v>27.667281167131492</v>
      </c>
      <c r="G78" s="285"/>
      <c r="H78" s="360" t="str">
        <f>H64</f>
        <v>Initial Asset Base</v>
      </c>
      <c r="I78" s="361"/>
      <c r="J78" s="284">
        <f ca="1">(A6taxvalue+'Tax value roll forward'!G45)-SUM('Tax value roll forward'!G142:OFFSET('Tax value roll forward'!G142,2,Input!$X$7))</f>
        <v>400.02252231660935</v>
      </c>
      <c r="K78" s="284">
        <f>IF(A6taxremlife="N/A","n/a",A6taxremlife-Input!$X$7-1)</f>
        <v>33.397557097209067</v>
      </c>
      <c r="L78" s="286"/>
      <c r="M78" s="9"/>
      <c r="N78" s="9"/>
      <c r="O78" s="9"/>
      <c r="P78" s="9"/>
      <c r="Q78" s="9"/>
      <c r="R78" s="9"/>
      <c r="S78" s="271"/>
      <c r="T78" s="271"/>
      <c r="U78" s="271"/>
      <c r="V78" s="271"/>
      <c r="W78" s="271"/>
      <c r="X78" s="271"/>
      <c r="Y78" s="271"/>
      <c r="Z78" s="271"/>
    </row>
    <row r="79" spans="1:26" ht="14.45" hidden="1" customHeight="1" outlineLevel="1">
      <c r="A79" s="9"/>
      <c r="B79" s="283"/>
      <c r="C79" s="352" t="str">
        <f>C65</f>
        <v>Capex in year</v>
      </c>
      <c r="D79" s="287">
        <f>D65</f>
        <v>1</v>
      </c>
      <c r="E79" s="284">
        <f ca="1">OFFSET('Actual RAB roll forward'!H$17,0,D79-1)-SUM('Actual RAB roll forward'!H111:OFFSET('Actual RAB roll forward'!H111,0,Input!$X$7-1))</f>
        <v>0</v>
      </c>
      <c r="F79" s="284">
        <f ca="1">IF(A6stdlife="N/A","n/a",IF(E79=0,0,A6stdlife+D79-Input!$X$7))</f>
        <v>0</v>
      </c>
      <c r="G79" s="285"/>
      <c r="H79" s="355" t="str">
        <f>H65</f>
        <v>Capex in year</v>
      </c>
      <c r="I79" s="287">
        <f>I65</f>
        <v>1</v>
      </c>
      <c r="J79" s="284">
        <f ca="1">OFFSET('Tax value roll forward'!H$45,0,I79-1)-SUM('Tax value roll forward'!H145:OFFSET('Tax value roll forward'!H145,0,Input!$X$7-1))</f>
        <v>0</v>
      </c>
      <c r="K79" s="284">
        <f ca="1">IF(A6taxstdlife="N/A","n/a",IF(J79=0,0,A6taxstdlife+I79-Input!$X$7))</f>
        <v>0</v>
      </c>
      <c r="L79" s="286"/>
      <c r="M79" s="9"/>
      <c r="N79" s="9"/>
      <c r="O79" s="9"/>
      <c r="P79" s="9"/>
      <c r="Q79" s="9"/>
      <c r="R79" s="9"/>
      <c r="S79" s="271"/>
      <c r="T79" s="271"/>
      <c r="U79" s="271"/>
      <c r="V79" s="271"/>
      <c r="W79" s="271"/>
      <c r="X79" s="271"/>
      <c r="Y79" s="271"/>
      <c r="Z79" s="271"/>
    </row>
    <row r="80" spans="1:26" ht="14.45" hidden="1" customHeight="1" outlineLevel="1">
      <c r="A80" s="9"/>
      <c r="B80" s="283"/>
      <c r="C80" s="353"/>
      <c r="D80" s="287">
        <f t="shared" ref="D80:D88" si="8">D66</f>
        <v>2</v>
      </c>
      <c r="E80" s="284">
        <f ca="1">OFFSET('Actual RAB roll forward'!H$17,0,D80-1)-SUM('Actual RAB roll forward'!H112:OFFSET('Actual RAB roll forward'!H112,0,Input!$X$7-1))</f>
        <v>0</v>
      </c>
      <c r="F80" s="284">
        <f ca="1">IF(A6stdlife="N/A","n/a",IF(E80=0,0,A6stdlife+D80-Input!$X$7))</f>
        <v>0</v>
      </c>
      <c r="G80" s="285"/>
      <c r="H80" s="356"/>
      <c r="I80" s="287">
        <f t="shared" ref="I80:I88" si="9">I66</f>
        <v>2</v>
      </c>
      <c r="J80" s="284">
        <f ca="1">OFFSET('Tax value roll forward'!H$45,0,I80-1)-SUM('Tax value roll forward'!H146:OFFSET('Tax value roll forward'!H146,0,Input!$X$7-1))</f>
        <v>0</v>
      </c>
      <c r="K80" s="284">
        <f ca="1">IF(A6taxstdlife="N/A","n/a",IF(J80=0,0,A6taxstdlife+I80-Input!$X$7))</f>
        <v>0</v>
      </c>
      <c r="L80" s="286"/>
      <c r="M80" s="9"/>
      <c r="N80" s="9"/>
      <c r="O80" s="9"/>
      <c r="P80" s="9"/>
      <c r="Q80" s="9"/>
      <c r="R80" s="9"/>
      <c r="S80" s="271"/>
      <c r="T80" s="271"/>
      <c r="U80" s="271"/>
      <c r="V80" s="271"/>
      <c r="W80" s="271"/>
      <c r="X80" s="271"/>
      <c r="Y80" s="271"/>
      <c r="Z80" s="271"/>
    </row>
    <row r="81" spans="1:26" ht="14.45" hidden="1" customHeight="1" outlineLevel="1">
      <c r="A81" s="9"/>
      <c r="B81" s="283"/>
      <c r="C81" s="353"/>
      <c r="D81" s="287">
        <f t="shared" si="8"/>
        <v>3</v>
      </c>
      <c r="E81" s="284">
        <f ca="1">OFFSET('Actual RAB roll forward'!H$17,0,D81-1)-SUM('Actual RAB roll forward'!H113:OFFSET('Actual RAB roll forward'!H113,0,Input!$X$7-1))</f>
        <v>0</v>
      </c>
      <c r="F81" s="284">
        <f ca="1">IF(A6stdlife="N/A","n/a",IF(E81=0,0,A6stdlife+D81-Input!$X$7))</f>
        <v>0</v>
      </c>
      <c r="G81" s="285"/>
      <c r="H81" s="356"/>
      <c r="I81" s="287">
        <f t="shared" si="9"/>
        <v>3</v>
      </c>
      <c r="J81" s="284">
        <f ca="1">OFFSET('Tax value roll forward'!H$45,0,I81-1)-SUM('Tax value roll forward'!H147:OFFSET('Tax value roll forward'!H147,0,Input!$X$7-1))</f>
        <v>0</v>
      </c>
      <c r="K81" s="284">
        <f ca="1">IF(A6taxstdlife="N/A","n/a",IF(J81=0,0,A6taxstdlife+I81-Input!$X$7))</f>
        <v>0</v>
      </c>
      <c r="L81" s="286"/>
      <c r="M81" s="9"/>
      <c r="N81" s="9"/>
      <c r="O81" s="9"/>
      <c r="P81" s="9"/>
      <c r="Q81" s="9"/>
      <c r="R81" s="9"/>
      <c r="S81" s="271"/>
      <c r="T81" s="271"/>
      <c r="U81" s="271"/>
      <c r="V81" s="271"/>
      <c r="W81" s="271"/>
      <c r="X81" s="271"/>
      <c r="Y81" s="271"/>
      <c r="Z81" s="271"/>
    </row>
    <row r="82" spans="1:26" ht="14.45" hidden="1" customHeight="1" outlineLevel="1">
      <c r="A82" s="9"/>
      <c r="B82" s="283"/>
      <c r="C82" s="353"/>
      <c r="D82" s="287">
        <f t="shared" si="8"/>
        <v>4</v>
      </c>
      <c r="E82" s="284">
        <f ca="1">OFFSET('Actual RAB roll forward'!H$17,0,D82-1)-SUM('Actual RAB roll forward'!H114:OFFSET('Actual RAB roll forward'!H114,0,Input!$X$7-1))</f>
        <v>0</v>
      </c>
      <c r="F82" s="284">
        <f ca="1">IF(A6stdlife="N/A","n/a",IF(E82=0,0,A6stdlife+D82-Input!$X$7))</f>
        <v>0</v>
      </c>
      <c r="G82" s="285"/>
      <c r="H82" s="356"/>
      <c r="I82" s="287">
        <f t="shared" si="9"/>
        <v>4</v>
      </c>
      <c r="J82" s="284">
        <f ca="1">OFFSET('Tax value roll forward'!H$45,0,I82-1)-SUM('Tax value roll forward'!H148:OFFSET('Tax value roll forward'!H148,0,Input!$X$7-1))</f>
        <v>0</v>
      </c>
      <c r="K82" s="284">
        <f ca="1">IF(A6taxstdlife="N/A","n/a",IF(J82=0,0,A6taxstdlife+I82-Input!$X$7))</f>
        <v>0</v>
      </c>
      <c r="L82" s="286"/>
      <c r="M82" s="9"/>
      <c r="N82" s="9"/>
      <c r="O82" s="9"/>
      <c r="P82" s="9"/>
      <c r="Q82" s="9"/>
      <c r="R82" s="9"/>
      <c r="S82" s="271"/>
      <c r="T82" s="271"/>
      <c r="U82" s="271"/>
      <c r="V82" s="271"/>
      <c r="W82" s="271"/>
      <c r="X82" s="271"/>
      <c r="Y82" s="271"/>
      <c r="Z82" s="271"/>
    </row>
    <row r="83" spans="1:26" ht="14.45" hidden="1" customHeight="1" outlineLevel="1">
      <c r="A83" s="9"/>
      <c r="B83" s="283"/>
      <c r="C83" s="353"/>
      <c r="D83" s="287">
        <f t="shared" si="8"/>
        <v>5</v>
      </c>
      <c r="E83" s="284">
        <f ca="1">OFFSET('Actual RAB roll forward'!H$17,0,D83-1)-SUM('Actual RAB roll forward'!H115:OFFSET('Actual RAB roll forward'!H115,0,Input!$X$7-1))</f>
        <v>0</v>
      </c>
      <c r="F83" s="284">
        <f ca="1">IF(A6stdlife="N/A","n/a",IF(E83=0,0,A6stdlife+D83-Input!$X$7))</f>
        <v>0</v>
      </c>
      <c r="G83" s="285"/>
      <c r="H83" s="356"/>
      <c r="I83" s="287">
        <f t="shared" si="9"/>
        <v>5</v>
      </c>
      <c r="J83" s="284">
        <f ca="1">OFFSET('Tax value roll forward'!H$45,0,I83-1)-SUM('Tax value roll forward'!H149:OFFSET('Tax value roll forward'!H149,0,Input!$X$7-1))</f>
        <v>0</v>
      </c>
      <c r="K83" s="284">
        <f ca="1">IF(A6taxstdlife="N/A","n/a",IF(J83=0,0,A6taxstdlife+I83-Input!$X$7))</f>
        <v>0</v>
      </c>
      <c r="L83" s="286"/>
      <c r="M83" s="9"/>
      <c r="N83" s="9"/>
      <c r="O83" s="9"/>
      <c r="P83" s="9"/>
      <c r="Q83" s="9"/>
      <c r="R83" s="9"/>
      <c r="S83" s="271"/>
      <c r="T83" s="271"/>
      <c r="U83" s="271"/>
      <c r="V83" s="271"/>
      <c r="W83" s="271"/>
      <c r="X83" s="271"/>
      <c r="Y83" s="271"/>
      <c r="Z83" s="271"/>
    </row>
    <row r="84" spans="1:26" ht="14.45" hidden="1" customHeight="1" outlineLevel="1">
      <c r="A84" s="9"/>
      <c r="B84" s="283"/>
      <c r="C84" s="353"/>
      <c r="D84" s="287">
        <f t="shared" si="8"/>
        <v>6</v>
      </c>
      <c r="E84" s="284">
        <f ca="1">OFFSET('Actual RAB roll forward'!H$17,0,D84-1)-SUM('Actual RAB roll forward'!H116:OFFSET('Actual RAB roll forward'!H116,0,Input!$X$7-1))</f>
        <v>0</v>
      </c>
      <c r="F84" s="284">
        <f ca="1">IF(A6stdlife="N/A","n/a",IF(E84=0,0,A6stdlife+D84-Input!$X$7))</f>
        <v>0</v>
      </c>
      <c r="G84" s="285"/>
      <c r="H84" s="356"/>
      <c r="I84" s="287">
        <f t="shared" si="9"/>
        <v>6</v>
      </c>
      <c r="J84" s="284">
        <f ca="1">OFFSET('Tax value roll forward'!H$45,0,I84-1)-SUM('Tax value roll forward'!H150:OFFSET('Tax value roll forward'!H150,0,Input!$X$7-1))</f>
        <v>0</v>
      </c>
      <c r="K84" s="284">
        <f ca="1">IF(A6taxstdlife="N/A","n/a",IF(J84=0,0,A6taxstdlife+I84-Input!$X$7))</f>
        <v>0</v>
      </c>
      <c r="L84" s="286"/>
      <c r="M84" s="9"/>
      <c r="N84" s="9"/>
      <c r="O84" s="9"/>
      <c r="P84" s="9"/>
      <c r="Q84" s="9"/>
      <c r="R84" s="9"/>
      <c r="S84" s="271"/>
      <c r="T84" s="271"/>
      <c r="U84" s="271"/>
      <c r="V84" s="271"/>
      <c r="W84" s="271"/>
      <c r="X84" s="271"/>
      <c r="Y84" s="271"/>
      <c r="Z84" s="271"/>
    </row>
    <row r="85" spans="1:26" ht="14.45" hidden="1" customHeight="1" outlineLevel="1">
      <c r="A85" s="9"/>
      <c r="B85" s="283"/>
      <c r="C85" s="353"/>
      <c r="D85" s="287">
        <f t="shared" si="8"/>
        <v>7</v>
      </c>
      <c r="E85" s="284">
        <f ca="1">OFFSET('Actual RAB roll forward'!H$17,0,D85-1)-SUM('Actual RAB roll forward'!H117:OFFSET('Actual RAB roll forward'!H117,0,Input!$X$7-1))</f>
        <v>0</v>
      </c>
      <c r="F85" s="284">
        <f ca="1">IF(A6stdlife="N/A","n/a",IF(E85=0,0,A6stdlife+D85-Input!$X$7))</f>
        <v>0</v>
      </c>
      <c r="G85" s="285"/>
      <c r="H85" s="356"/>
      <c r="I85" s="287">
        <f t="shared" si="9"/>
        <v>7</v>
      </c>
      <c r="J85" s="284">
        <f ca="1">OFFSET('Tax value roll forward'!H$45,0,I85-1)-SUM('Tax value roll forward'!H151:OFFSET('Tax value roll forward'!H151,0,Input!$X$7-1))</f>
        <v>0</v>
      </c>
      <c r="K85" s="284">
        <f ca="1">IF(A6taxstdlife="N/A","n/a",IF(J85=0,0,A6taxstdlife+I85-Input!$X$7))</f>
        <v>0</v>
      </c>
      <c r="L85" s="286"/>
      <c r="M85" s="9"/>
      <c r="N85" s="9"/>
      <c r="O85" s="9"/>
      <c r="P85" s="9"/>
      <c r="Q85" s="9"/>
      <c r="R85" s="9"/>
      <c r="S85" s="271"/>
      <c r="T85" s="271"/>
      <c r="U85" s="271"/>
      <c r="V85" s="271"/>
      <c r="W85" s="271"/>
      <c r="X85" s="271"/>
      <c r="Y85" s="271"/>
      <c r="Z85" s="271"/>
    </row>
    <row r="86" spans="1:26" ht="14.45" hidden="1" customHeight="1" outlineLevel="1">
      <c r="A86" s="9"/>
      <c r="B86" s="283"/>
      <c r="C86" s="353"/>
      <c r="D86" s="287">
        <f t="shared" si="8"/>
        <v>8</v>
      </c>
      <c r="E86" s="284">
        <f ca="1">OFFSET('Actual RAB roll forward'!H$17,0,D86-1)-SUM('Actual RAB roll forward'!H118:OFFSET('Actual RAB roll forward'!H118,0,Input!$X$7-1))</f>
        <v>0</v>
      </c>
      <c r="F86" s="284">
        <f ca="1">IF(A6stdlife="N/A","n/a",IF(E86=0,0,A6stdlife+D86-Input!$X$7))</f>
        <v>0</v>
      </c>
      <c r="G86" s="285"/>
      <c r="H86" s="356"/>
      <c r="I86" s="287">
        <f t="shared" si="9"/>
        <v>8</v>
      </c>
      <c r="J86" s="284">
        <f ca="1">OFFSET('Tax value roll forward'!H$45,0,I86-1)-SUM('Tax value roll forward'!H152:OFFSET('Tax value roll forward'!H152,0,Input!$X$7-1))</f>
        <v>0</v>
      </c>
      <c r="K86" s="284">
        <f ca="1">IF(A6taxstdlife="N/A","n/a",IF(J86=0,0,A6taxstdlife+I86-Input!$X$7))</f>
        <v>0</v>
      </c>
      <c r="L86" s="286"/>
      <c r="M86" s="9"/>
      <c r="N86" s="9"/>
      <c r="O86" s="9"/>
      <c r="P86" s="9"/>
      <c r="Q86" s="9"/>
      <c r="R86" s="9"/>
      <c r="S86" s="271"/>
      <c r="T86" s="271"/>
      <c r="U86" s="271"/>
      <c r="V86" s="271"/>
      <c r="W86" s="271"/>
      <c r="X86" s="271"/>
      <c r="Y86" s="271"/>
      <c r="Z86" s="271"/>
    </row>
    <row r="87" spans="1:26" ht="14.45" hidden="1" customHeight="1" outlineLevel="1">
      <c r="A87" s="9"/>
      <c r="B87" s="283"/>
      <c r="C87" s="353"/>
      <c r="D87" s="287">
        <f t="shared" si="8"/>
        <v>9</v>
      </c>
      <c r="E87" s="284">
        <f ca="1">OFFSET('Actual RAB roll forward'!H$17,0,D87-1)-SUM('Actual RAB roll forward'!H119:OFFSET('Actual RAB roll forward'!H119,0,Input!$X$7-1))</f>
        <v>0</v>
      </c>
      <c r="F87" s="284">
        <f ca="1">IF(A6stdlife="N/A","n/a",IF(E87=0,0,A6stdlife+D87-Input!$X$7))</f>
        <v>0</v>
      </c>
      <c r="G87" s="285"/>
      <c r="H87" s="356"/>
      <c r="I87" s="287">
        <f t="shared" si="9"/>
        <v>9</v>
      </c>
      <c r="J87" s="284">
        <f ca="1">OFFSET('Tax value roll forward'!H$45,0,I87-1)-SUM('Tax value roll forward'!H153:OFFSET('Tax value roll forward'!H153,0,Input!$X$7-1))</f>
        <v>0</v>
      </c>
      <c r="K87" s="284">
        <f ca="1">IF(A6taxstdlife="N/A","n/a",IF(J87=0,0,A6taxstdlife+I87-Input!$X$7))</f>
        <v>0</v>
      </c>
      <c r="L87" s="286"/>
      <c r="M87" s="9"/>
      <c r="N87" s="9"/>
      <c r="O87" s="9"/>
      <c r="P87" s="9"/>
      <c r="Q87" s="9"/>
      <c r="R87" s="9"/>
      <c r="S87" s="271"/>
      <c r="T87" s="271"/>
      <c r="U87" s="271"/>
      <c r="V87" s="271"/>
      <c r="W87" s="271"/>
      <c r="X87" s="271"/>
      <c r="Y87" s="271"/>
      <c r="Z87" s="271"/>
    </row>
    <row r="88" spans="1:26" ht="14.45" hidden="1" customHeight="1" outlineLevel="1">
      <c r="A88" s="9"/>
      <c r="B88" s="283"/>
      <c r="C88" s="354"/>
      <c r="D88" s="89">
        <f t="shared" si="8"/>
        <v>10</v>
      </c>
      <c r="E88" s="284">
        <f ca="1">OFFSET('Actual RAB roll forward'!H$17,0,D88-1)-SUM('Actual RAB roll forward'!H120:OFFSET('Actual RAB roll forward'!H120,0,Input!$X$7-1))</f>
        <v>0</v>
      </c>
      <c r="F88" s="284">
        <f ca="1">IF(A6stdlife="N/A","n/a",IF(E88=0,0,A6stdlife+D88-Input!$X$7))</f>
        <v>0</v>
      </c>
      <c r="G88" s="285"/>
      <c r="H88" s="357"/>
      <c r="I88" s="89">
        <f t="shared" si="9"/>
        <v>10</v>
      </c>
      <c r="J88" s="284">
        <f ca="1">OFFSET('Tax value roll forward'!H$45,0,I88-1)-SUM('Tax value roll forward'!H154:OFFSET('Tax value roll forward'!H154,0,Input!$X$7-1))</f>
        <v>0</v>
      </c>
      <c r="K88" s="284">
        <f ca="1">IF(A6taxstdlife="N/A","n/a",IF(J88=0,0,A6taxstdlife+I88-Input!$X$7))</f>
        <v>0</v>
      </c>
      <c r="L88" s="286"/>
      <c r="M88" s="9"/>
      <c r="N88" s="9"/>
      <c r="O88" s="9"/>
      <c r="P88" s="9"/>
      <c r="Q88" s="9"/>
      <c r="R88" s="9"/>
      <c r="S88" s="271"/>
      <c r="T88" s="271"/>
      <c r="U88" s="271"/>
      <c r="V88" s="271"/>
      <c r="W88" s="271"/>
      <c r="X88" s="271"/>
      <c r="Y88" s="271"/>
      <c r="Z88" s="271"/>
    </row>
    <row r="89" spans="1:26" collapsed="1">
      <c r="A89" s="9"/>
      <c r="B89" s="283"/>
      <c r="C89" s="286" t="str">
        <f>B77</f>
        <v>Substation Bays</v>
      </c>
      <c r="D89" s="9"/>
      <c r="E89" s="284">
        <f ca="1">SUM(E78:E88)</f>
        <v>700.15915867221076</v>
      </c>
      <c r="F89" s="284">
        <f ca="1">IF(A6remlife="N/A","n/a",IF(E89=0,0,SUMPRODUCT(E78:E88,F78:F88)/E89))</f>
        <v>27.667281167131492</v>
      </c>
      <c r="G89" s="285"/>
      <c r="H89" s="45"/>
      <c r="I89" s="284"/>
      <c r="J89" s="284">
        <f ca="1">SUM(J78:J88)</f>
        <v>400.02252231660935</v>
      </c>
      <c r="K89" s="284">
        <f ca="1">IF(A6taxstdlife="N/A","n/a",IF(J89=0,0,SUMPRODUCT(J78:J88,K78:K88)/J89))</f>
        <v>33.397557097209067</v>
      </c>
      <c r="L89" s="286"/>
      <c r="M89" s="9"/>
      <c r="N89" s="9"/>
      <c r="O89" s="9"/>
      <c r="P89" s="9"/>
      <c r="Q89" s="9"/>
      <c r="R89" s="9"/>
      <c r="S89" s="271"/>
      <c r="T89" s="271"/>
      <c r="U89" s="271"/>
      <c r="V89" s="271"/>
      <c r="W89" s="271"/>
      <c r="X89" s="271"/>
      <c r="Y89" s="271"/>
      <c r="Z89" s="271"/>
    </row>
    <row r="90" spans="1:26" hidden="1" outlineLevel="1">
      <c r="A90" s="9"/>
      <c r="B90" s="283"/>
      <c r="C90" s="295"/>
      <c r="D90" s="9"/>
      <c r="E90" s="284"/>
      <c r="F90" s="284"/>
      <c r="G90" s="285"/>
      <c r="H90" s="284"/>
      <c r="I90" s="284"/>
      <c r="J90" s="293"/>
      <c r="K90" s="289"/>
      <c r="L90" s="286"/>
      <c r="M90" s="9"/>
      <c r="N90" s="9"/>
      <c r="O90" s="9"/>
      <c r="P90" s="9"/>
      <c r="Q90" s="9"/>
      <c r="R90" s="9"/>
      <c r="S90" s="271"/>
      <c r="T90" s="271"/>
      <c r="U90" s="271"/>
      <c r="V90" s="271"/>
      <c r="W90" s="271"/>
      <c r="X90" s="271"/>
      <c r="Y90" s="271"/>
      <c r="Z90" s="271"/>
    </row>
    <row r="91" spans="1:26" hidden="1" outlineLevel="1">
      <c r="A91" s="9"/>
      <c r="B91" s="281" t="str">
        <f>Asset7</f>
        <v>Substation Establishment</v>
      </c>
      <c r="C91" s="9"/>
      <c r="D91" s="12"/>
      <c r="E91" s="284"/>
      <c r="F91" s="284"/>
      <c r="G91" s="285"/>
      <c r="H91" s="284"/>
      <c r="I91" s="284"/>
      <c r="J91" s="293"/>
      <c r="K91" s="289"/>
      <c r="L91" s="286"/>
      <c r="M91" s="9"/>
      <c r="N91" s="9"/>
      <c r="O91" s="9"/>
      <c r="P91" s="9"/>
      <c r="Q91" s="9"/>
      <c r="R91" s="9"/>
      <c r="S91" s="271"/>
      <c r="T91" s="271"/>
      <c r="U91" s="271"/>
      <c r="V91" s="271"/>
      <c r="W91" s="271"/>
      <c r="X91" s="271"/>
      <c r="Y91" s="271"/>
      <c r="Z91" s="271"/>
    </row>
    <row r="92" spans="1:26" ht="12.75" hidden="1" customHeight="1" outlineLevel="1">
      <c r="A92" s="9"/>
      <c r="B92" s="283"/>
      <c r="C92" s="358" t="str">
        <f>C78</f>
        <v>Opening RAB</v>
      </c>
      <c r="D92" s="359"/>
      <c r="E92" s="284">
        <f ca="1">A7value-SUM('Actual RAB roll forward'!H122:OFFSET('Actual RAB roll forward'!H122,0,Input!$X$7-1))</f>
        <v>240.6878807400133</v>
      </c>
      <c r="F92" s="284">
        <f>IF(A7remlife="N/A","n/a",A7remlife-Input!$X$7)</f>
        <v>26.225398435985589</v>
      </c>
      <c r="G92" s="285"/>
      <c r="H92" s="360" t="str">
        <f>H78</f>
        <v>Initial Asset Base</v>
      </c>
      <c r="I92" s="361"/>
      <c r="J92" s="284">
        <f ca="1">(A7taxvalue+'Tax value roll forward'!G46)-SUM('Tax value roll forward'!G156:OFFSET('Tax value roll forward'!G156,2,Input!$X$7))</f>
        <v>108.79316697924186</v>
      </c>
      <c r="K92" s="284">
        <f>IF(A7taxremlife="N/A","n/a",A7taxremlife-Input!$X$7-1)</f>
        <v>30.118911663386399</v>
      </c>
      <c r="L92" s="286"/>
      <c r="M92" s="9"/>
      <c r="N92" s="9"/>
      <c r="O92" s="9"/>
      <c r="P92" s="9"/>
      <c r="Q92" s="9"/>
      <c r="R92" s="9"/>
      <c r="S92" s="271"/>
      <c r="T92" s="271"/>
      <c r="U92" s="271"/>
      <c r="V92" s="271"/>
      <c r="W92" s="271"/>
      <c r="X92" s="271"/>
      <c r="Y92" s="271"/>
      <c r="Z92" s="271"/>
    </row>
    <row r="93" spans="1:26" ht="14.45" hidden="1" customHeight="1" outlineLevel="1">
      <c r="A93" s="9"/>
      <c r="B93" s="283"/>
      <c r="C93" s="352" t="str">
        <f>C79</f>
        <v>Capex in year</v>
      </c>
      <c r="D93" s="287">
        <f>D79</f>
        <v>1</v>
      </c>
      <c r="E93" s="284">
        <f ca="1">OFFSET('Actual RAB roll forward'!H$18,0,D93-1)-SUM('Actual RAB roll forward'!H124:OFFSET('Actual RAB roll forward'!H124,0,Input!$X$7-1))</f>
        <v>0</v>
      </c>
      <c r="F93" s="284">
        <f ca="1">IF(A7stdlife="N/A","n/a",IF(E93=0,0,A7stdlife+D93-Input!$X$7))</f>
        <v>0</v>
      </c>
      <c r="G93" s="285"/>
      <c r="H93" s="355" t="str">
        <f>H79</f>
        <v>Capex in year</v>
      </c>
      <c r="I93" s="287">
        <f>I79</f>
        <v>1</v>
      </c>
      <c r="J93" s="284">
        <f ca="1">OFFSET('Tax value roll forward'!H$46,0,I93-1)-SUM('Tax value roll forward'!H159:OFFSET('Tax value roll forward'!H159,0,Input!$X$7-1))</f>
        <v>0</v>
      </c>
      <c r="K93" s="284">
        <f ca="1">IF(A7taxstdlife="N/A","n/a",IF(J93=0,0,A7taxstdlife+I93-Input!$X$7))</f>
        <v>0</v>
      </c>
      <c r="L93" s="286"/>
      <c r="M93" s="9"/>
      <c r="N93" s="9"/>
      <c r="O93" s="9"/>
      <c r="P93" s="9"/>
      <c r="Q93" s="9"/>
      <c r="R93" s="9"/>
      <c r="S93" s="271"/>
      <c r="T93" s="271"/>
      <c r="U93" s="271"/>
      <c r="V93" s="271"/>
      <c r="W93" s="271"/>
      <c r="X93" s="271"/>
      <c r="Y93" s="271"/>
      <c r="Z93" s="271"/>
    </row>
    <row r="94" spans="1:26" ht="14.45" hidden="1" customHeight="1" outlineLevel="1">
      <c r="A94" s="9"/>
      <c r="B94" s="283"/>
      <c r="C94" s="353"/>
      <c r="D94" s="287">
        <f t="shared" ref="D94:D102" si="10">D80</f>
        <v>2</v>
      </c>
      <c r="E94" s="284">
        <f ca="1">OFFSET('Actual RAB roll forward'!H$18,0,D94-1)-SUM('Actual RAB roll forward'!H125:OFFSET('Actual RAB roll forward'!H125,0,Input!$X$7-1))</f>
        <v>0</v>
      </c>
      <c r="F94" s="284">
        <f ca="1">IF(A7stdlife="N/A","n/a",IF(E94=0,0,A7stdlife+D94-Input!$X$7))</f>
        <v>0</v>
      </c>
      <c r="G94" s="285"/>
      <c r="H94" s="356"/>
      <c r="I94" s="287">
        <f t="shared" ref="I94:I102" si="11">I80</f>
        <v>2</v>
      </c>
      <c r="J94" s="284">
        <f ca="1">OFFSET('Tax value roll forward'!H$46,0,I94-1)-SUM('Tax value roll forward'!H160:OFFSET('Tax value roll forward'!H160,0,Input!$X$7-1))</f>
        <v>0</v>
      </c>
      <c r="K94" s="284">
        <f ca="1">IF(A7taxstdlife="N/A","n/a",IF(J94=0,0,A7taxstdlife+I94-Input!$X$7))</f>
        <v>0</v>
      </c>
      <c r="L94" s="286"/>
      <c r="M94" s="9"/>
      <c r="N94" s="9"/>
      <c r="O94" s="9"/>
      <c r="P94" s="9"/>
      <c r="Q94" s="9"/>
      <c r="R94" s="9"/>
      <c r="S94" s="271"/>
      <c r="T94" s="271"/>
      <c r="U94" s="271"/>
      <c r="V94" s="271"/>
      <c r="W94" s="271"/>
      <c r="X94" s="271"/>
      <c r="Y94" s="271"/>
      <c r="Z94" s="271"/>
    </row>
    <row r="95" spans="1:26" ht="14.45" hidden="1" customHeight="1" outlineLevel="1">
      <c r="A95" s="9"/>
      <c r="B95" s="283"/>
      <c r="C95" s="353"/>
      <c r="D95" s="287">
        <f t="shared" si="10"/>
        <v>3</v>
      </c>
      <c r="E95" s="284">
        <f ca="1">OFFSET('Actual RAB roll forward'!H$18,0,D95-1)-SUM('Actual RAB roll forward'!H126:OFFSET('Actual RAB roll forward'!H126,0,Input!$X$7-1))</f>
        <v>0</v>
      </c>
      <c r="F95" s="284">
        <f ca="1">IF(A7stdlife="N/A","n/a",IF(E95=0,0,A7stdlife+D95-Input!$X$7))</f>
        <v>0</v>
      </c>
      <c r="G95" s="285"/>
      <c r="H95" s="356"/>
      <c r="I95" s="287">
        <f t="shared" si="11"/>
        <v>3</v>
      </c>
      <c r="J95" s="284">
        <f ca="1">OFFSET('Tax value roll forward'!H$46,0,I95-1)-SUM('Tax value roll forward'!H161:OFFSET('Tax value roll forward'!H161,0,Input!$X$7-1))</f>
        <v>0</v>
      </c>
      <c r="K95" s="284">
        <f ca="1">IF(A7taxstdlife="N/A","n/a",IF(J95=0,0,A7taxstdlife+I95-Input!$X$7))</f>
        <v>0</v>
      </c>
      <c r="L95" s="286"/>
      <c r="M95" s="9"/>
      <c r="N95" s="9"/>
      <c r="O95" s="9"/>
      <c r="P95" s="9"/>
      <c r="Q95" s="9"/>
      <c r="R95" s="9"/>
      <c r="S95" s="271"/>
      <c r="T95" s="271"/>
      <c r="U95" s="271"/>
      <c r="V95" s="271"/>
      <c r="W95" s="271"/>
      <c r="X95" s="271"/>
      <c r="Y95" s="271"/>
      <c r="Z95" s="271"/>
    </row>
    <row r="96" spans="1:26" ht="14.45" hidden="1" customHeight="1" outlineLevel="1">
      <c r="A96" s="9"/>
      <c r="B96" s="283"/>
      <c r="C96" s="353"/>
      <c r="D96" s="287">
        <f t="shared" si="10"/>
        <v>4</v>
      </c>
      <c r="E96" s="284">
        <f ca="1">OFFSET('Actual RAB roll forward'!H$18,0,D96-1)-SUM('Actual RAB roll forward'!H127:OFFSET('Actual RAB roll forward'!H127,0,Input!$X$7-1))</f>
        <v>0</v>
      </c>
      <c r="F96" s="284">
        <f ca="1">IF(A7stdlife="N/A","n/a",IF(E96=0,0,A7stdlife+D96-Input!$X$7))</f>
        <v>0</v>
      </c>
      <c r="G96" s="285"/>
      <c r="H96" s="356"/>
      <c r="I96" s="287">
        <f t="shared" si="11"/>
        <v>4</v>
      </c>
      <c r="J96" s="284">
        <f ca="1">OFFSET('Tax value roll forward'!H$46,0,I96-1)-SUM('Tax value roll forward'!H162:OFFSET('Tax value roll forward'!H162,0,Input!$X$7-1))</f>
        <v>0</v>
      </c>
      <c r="K96" s="284">
        <f ca="1">IF(A7taxstdlife="N/A","n/a",IF(J96=0,0,A7taxstdlife+I96-Input!$X$7))</f>
        <v>0</v>
      </c>
      <c r="L96" s="286"/>
      <c r="M96" s="9"/>
      <c r="N96" s="9"/>
      <c r="O96" s="9"/>
      <c r="P96" s="9"/>
      <c r="Q96" s="9"/>
      <c r="R96" s="9"/>
      <c r="S96" s="271"/>
      <c r="T96" s="271"/>
      <c r="U96" s="271"/>
      <c r="V96" s="271"/>
      <c r="W96" s="271"/>
      <c r="X96" s="271"/>
      <c r="Y96" s="271"/>
      <c r="Z96" s="271"/>
    </row>
    <row r="97" spans="1:26" ht="14.45" hidden="1" customHeight="1" outlineLevel="1">
      <c r="A97" s="9"/>
      <c r="B97" s="283"/>
      <c r="C97" s="353"/>
      <c r="D97" s="287">
        <f t="shared" si="10"/>
        <v>5</v>
      </c>
      <c r="E97" s="284">
        <f ca="1">OFFSET('Actual RAB roll forward'!H$18,0,D97-1)-SUM('Actual RAB roll forward'!H128:OFFSET('Actual RAB roll forward'!H128,0,Input!$X$7-1))</f>
        <v>0</v>
      </c>
      <c r="F97" s="284">
        <f ca="1">IF(A7stdlife="N/A","n/a",IF(E97=0,0,A7stdlife+D97-Input!$X$7))</f>
        <v>0</v>
      </c>
      <c r="G97" s="285"/>
      <c r="H97" s="356"/>
      <c r="I97" s="287">
        <f t="shared" si="11"/>
        <v>5</v>
      </c>
      <c r="J97" s="284">
        <f ca="1">OFFSET('Tax value roll forward'!H$46,0,I97-1)-SUM('Tax value roll forward'!H163:OFFSET('Tax value roll forward'!H163,0,Input!$X$7-1))</f>
        <v>0</v>
      </c>
      <c r="K97" s="284">
        <f ca="1">IF(A7taxstdlife="N/A","n/a",IF(J97=0,0,A7taxstdlife+I97-Input!$X$7))</f>
        <v>0</v>
      </c>
      <c r="L97" s="286"/>
      <c r="M97" s="9"/>
      <c r="N97" s="9"/>
      <c r="O97" s="9"/>
      <c r="P97" s="9"/>
      <c r="Q97" s="9"/>
      <c r="R97" s="9"/>
      <c r="S97" s="271"/>
      <c r="T97" s="271"/>
      <c r="U97" s="271"/>
      <c r="V97" s="271"/>
      <c r="W97" s="271"/>
      <c r="X97" s="271"/>
      <c r="Y97" s="271"/>
      <c r="Z97" s="271"/>
    </row>
    <row r="98" spans="1:26" ht="14.45" hidden="1" customHeight="1" outlineLevel="1">
      <c r="A98" s="9"/>
      <c r="B98" s="283"/>
      <c r="C98" s="353"/>
      <c r="D98" s="287">
        <f t="shared" si="10"/>
        <v>6</v>
      </c>
      <c r="E98" s="284">
        <f ca="1">OFFSET('Actual RAB roll forward'!H$18,0,D98-1)-SUM('Actual RAB roll forward'!H129:OFFSET('Actual RAB roll forward'!H129,0,Input!$X$7-1))</f>
        <v>0</v>
      </c>
      <c r="F98" s="284">
        <f ca="1">IF(A7stdlife="N/A","n/a",IF(E98=0,0,A7stdlife+D98-Input!$X$7))</f>
        <v>0</v>
      </c>
      <c r="G98" s="285"/>
      <c r="H98" s="356"/>
      <c r="I98" s="287">
        <f t="shared" si="11"/>
        <v>6</v>
      </c>
      <c r="J98" s="284">
        <f ca="1">OFFSET('Tax value roll forward'!H$46,0,I98-1)-SUM('Tax value roll forward'!H164:OFFSET('Tax value roll forward'!H164,0,Input!$X$7-1))</f>
        <v>0</v>
      </c>
      <c r="K98" s="284">
        <f ca="1">IF(A7taxstdlife="N/A","n/a",IF(J98=0,0,A7taxstdlife+I98-Input!$X$7))</f>
        <v>0</v>
      </c>
      <c r="L98" s="286"/>
      <c r="M98" s="9"/>
      <c r="N98" s="9"/>
      <c r="O98" s="9"/>
      <c r="P98" s="9"/>
      <c r="Q98" s="9"/>
      <c r="R98" s="9"/>
      <c r="S98" s="271"/>
      <c r="T98" s="271"/>
      <c r="U98" s="271"/>
      <c r="V98" s="271"/>
      <c r="W98" s="271"/>
      <c r="X98" s="271"/>
      <c r="Y98" s="271"/>
      <c r="Z98" s="271"/>
    </row>
    <row r="99" spans="1:26" ht="14.45" hidden="1" customHeight="1" outlineLevel="1">
      <c r="A99" s="9"/>
      <c r="B99" s="283"/>
      <c r="C99" s="353"/>
      <c r="D99" s="287">
        <f t="shared" si="10"/>
        <v>7</v>
      </c>
      <c r="E99" s="284">
        <f ca="1">OFFSET('Actual RAB roll forward'!H$18,0,D99-1)-SUM('Actual RAB roll forward'!H130:OFFSET('Actual RAB roll forward'!H130,0,Input!$X$7-1))</f>
        <v>0</v>
      </c>
      <c r="F99" s="284">
        <f ca="1">IF(A7stdlife="N/A","n/a",IF(E99=0,0,A7stdlife+D99-Input!$X$7))</f>
        <v>0</v>
      </c>
      <c r="G99" s="285"/>
      <c r="H99" s="356"/>
      <c r="I99" s="287">
        <f t="shared" si="11"/>
        <v>7</v>
      </c>
      <c r="J99" s="284">
        <f ca="1">OFFSET('Tax value roll forward'!H$46,0,I99-1)-SUM('Tax value roll forward'!H165:OFFSET('Tax value roll forward'!H165,0,Input!$X$7-1))</f>
        <v>0</v>
      </c>
      <c r="K99" s="284">
        <f ca="1">IF(A7taxstdlife="N/A","n/a",IF(J99=0,0,A7taxstdlife+I99-Input!$X$7))</f>
        <v>0</v>
      </c>
      <c r="L99" s="286"/>
      <c r="M99" s="9"/>
      <c r="N99" s="9"/>
      <c r="O99" s="9"/>
      <c r="P99" s="9"/>
      <c r="Q99" s="9"/>
      <c r="R99" s="9"/>
      <c r="S99" s="271"/>
      <c r="T99" s="271"/>
      <c r="U99" s="271"/>
      <c r="V99" s="271"/>
      <c r="W99" s="271"/>
      <c r="X99" s="271"/>
      <c r="Y99" s="271"/>
      <c r="Z99" s="271"/>
    </row>
    <row r="100" spans="1:26" ht="14.45" hidden="1" customHeight="1" outlineLevel="1">
      <c r="A100" s="9"/>
      <c r="B100" s="283"/>
      <c r="C100" s="353"/>
      <c r="D100" s="287">
        <f t="shared" si="10"/>
        <v>8</v>
      </c>
      <c r="E100" s="284">
        <f ca="1">OFFSET('Actual RAB roll forward'!H$18,0,D100-1)-SUM('Actual RAB roll forward'!H131:OFFSET('Actual RAB roll forward'!H131,0,Input!$X$7-1))</f>
        <v>0</v>
      </c>
      <c r="F100" s="284">
        <f ca="1">IF(A7stdlife="N/A","n/a",IF(E100=0,0,A7stdlife+D100-Input!$X$7))</f>
        <v>0</v>
      </c>
      <c r="G100" s="285"/>
      <c r="H100" s="356"/>
      <c r="I100" s="287">
        <f t="shared" si="11"/>
        <v>8</v>
      </c>
      <c r="J100" s="284">
        <f ca="1">OFFSET('Tax value roll forward'!H$46,0,I100-1)-SUM('Tax value roll forward'!H166:OFFSET('Tax value roll forward'!H166,0,Input!$X$7-1))</f>
        <v>0</v>
      </c>
      <c r="K100" s="284">
        <f ca="1">IF(A7taxstdlife="N/A","n/a",IF(J100=0,0,A7taxstdlife+I100-Input!$X$7))</f>
        <v>0</v>
      </c>
      <c r="L100" s="286"/>
      <c r="M100" s="9"/>
      <c r="N100" s="9"/>
      <c r="O100" s="9"/>
      <c r="P100" s="9"/>
      <c r="Q100" s="9"/>
      <c r="R100" s="9"/>
      <c r="S100" s="271"/>
      <c r="T100" s="271"/>
      <c r="U100" s="271"/>
      <c r="V100" s="271"/>
      <c r="W100" s="271"/>
      <c r="X100" s="271"/>
      <c r="Y100" s="271"/>
      <c r="Z100" s="271"/>
    </row>
    <row r="101" spans="1:26" ht="14.45" hidden="1" customHeight="1" outlineLevel="1">
      <c r="A101" s="9"/>
      <c r="B101" s="283"/>
      <c r="C101" s="353"/>
      <c r="D101" s="287">
        <f t="shared" si="10"/>
        <v>9</v>
      </c>
      <c r="E101" s="284">
        <f ca="1">OFFSET('Actual RAB roll forward'!H$18,0,D101-1)-SUM('Actual RAB roll forward'!H132:OFFSET('Actual RAB roll forward'!H132,0,Input!$X$7-1))</f>
        <v>0</v>
      </c>
      <c r="F101" s="284">
        <f ca="1">IF(A7stdlife="N/A","n/a",IF(E101=0,0,A7stdlife+D101-Input!$X$7))</f>
        <v>0</v>
      </c>
      <c r="G101" s="285"/>
      <c r="H101" s="356"/>
      <c r="I101" s="287">
        <f t="shared" si="11"/>
        <v>9</v>
      </c>
      <c r="J101" s="284">
        <f ca="1">OFFSET('Tax value roll forward'!H$46,0,I101-1)-SUM('Tax value roll forward'!H167:OFFSET('Tax value roll forward'!H167,0,Input!$X$7-1))</f>
        <v>0</v>
      </c>
      <c r="K101" s="284">
        <f ca="1">IF(A7taxstdlife="N/A","n/a",IF(J101=0,0,A7taxstdlife+I101-Input!$X$7))</f>
        <v>0</v>
      </c>
      <c r="L101" s="286"/>
      <c r="M101" s="9"/>
      <c r="N101" s="9"/>
      <c r="O101" s="9"/>
      <c r="P101" s="9"/>
      <c r="Q101" s="9"/>
      <c r="R101" s="9"/>
      <c r="S101" s="271"/>
      <c r="T101" s="271"/>
      <c r="U101" s="271"/>
      <c r="V101" s="271"/>
      <c r="W101" s="271"/>
      <c r="X101" s="271"/>
      <c r="Y101" s="271"/>
      <c r="Z101" s="271"/>
    </row>
    <row r="102" spans="1:26" ht="14.45" hidden="1" customHeight="1" outlineLevel="1">
      <c r="A102" s="9"/>
      <c r="B102" s="283"/>
      <c r="C102" s="354"/>
      <c r="D102" s="89">
        <f t="shared" si="10"/>
        <v>10</v>
      </c>
      <c r="E102" s="284">
        <f ca="1">OFFSET('Actual RAB roll forward'!H$18,0,D102-1)-SUM('Actual RAB roll forward'!H133:OFFSET('Actual RAB roll forward'!H133,0,Input!$X$7-1))</f>
        <v>0</v>
      </c>
      <c r="F102" s="284">
        <f ca="1">IF(A7stdlife="N/A","n/a",IF(E102=0,0,A7stdlife+D102-Input!$X$7))</f>
        <v>0</v>
      </c>
      <c r="G102" s="285"/>
      <c r="H102" s="357"/>
      <c r="I102" s="89">
        <f t="shared" si="11"/>
        <v>10</v>
      </c>
      <c r="J102" s="284">
        <f ca="1">OFFSET('Tax value roll forward'!H$46,0,I102-1)-SUM('Tax value roll forward'!H168:OFFSET('Tax value roll forward'!H168,0,Input!$X$7-1))</f>
        <v>0</v>
      </c>
      <c r="K102" s="284">
        <f ca="1">IF(A7taxstdlife="N/A","n/a",IF(J102=0,0,A7taxstdlife+I102-Input!$X$7))</f>
        <v>0</v>
      </c>
      <c r="L102" s="286"/>
      <c r="M102" s="9"/>
      <c r="N102" s="9"/>
      <c r="O102" s="9"/>
      <c r="P102" s="9"/>
      <c r="Q102" s="9"/>
      <c r="R102" s="9"/>
      <c r="S102" s="271"/>
      <c r="T102" s="271"/>
      <c r="U102" s="271"/>
      <c r="V102" s="271"/>
      <c r="W102" s="271"/>
      <c r="X102" s="271"/>
      <c r="Y102" s="271"/>
      <c r="Z102" s="271"/>
    </row>
    <row r="103" spans="1:26" collapsed="1">
      <c r="A103" s="9"/>
      <c r="B103" s="283"/>
      <c r="C103" s="286" t="str">
        <f>B91</f>
        <v>Substation Establishment</v>
      </c>
      <c r="D103" s="9"/>
      <c r="E103" s="284">
        <f ca="1">SUM(E92:E102)</f>
        <v>240.6878807400133</v>
      </c>
      <c r="F103" s="284">
        <f ca="1">IF(A7remlife="N/A","n/a",IF(E103=0,0,SUMPRODUCT(E92:E102,F92:F102)/E103))</f>
        <v>26.225398435985589</v>
      </c>
      <c r="G103" s="285"/>
      <c r="H103" s="45"/>
      <c r="I103" s="284"/>
      <c r="J103" s="284">
        <f ca="1">SUM(J92:J102)</f>
        <v>108.79316697924186</v>
      </c>
      <c r="K103" s="284">
        <f ca="1">IF(A7taxstdlife="N/A","n/a",IF(J103=0,0,SUMPRODUCT(J92:J102,K92:K102)/J103))</f>
        <v>30.118911663386399</v>
      </c>
      <c r="L103" s="286"/>
      <c r="M103" s="9"/>
      <c r="N103" s="9"/>
      <c r="O103" s="9"/>
      <c r="P103" s="9"/>
      <c r="Q103" s="9"/>
      <c r="R103" s="9"/>
      <c r="S103" s="271"/>
      <c r="T103" s="271"/>
      <c r="U103" s="271"/>
      <c r="V103" s="271"/>
      <c r="W103" s="271"/>
      <c r="X103" s="271"/>
      <c r="Y103" s="271"/>
      <c r="Z103" s="271"/>
    </row>
    <row r="104" spans="1:26" hidden="1" outlineLevel="1">
      <c r="A104" s="9"/>
      <c r="B104" s="283"/>
      <c r="C104" s="295"/>
      <c r="D104" s="9"/>
      <c r="E104" s="284"/>
      <c r="F104" s="284"/>
      <c r="G104" s="285"/>
      <c r="H104" s="284"/>
      <c r="I104" s="284"/>
      <c r="J104" s="293"/>
      <c r="K104" s="289"/>
      <c r="L104" s="286"/>
      <c r="M104" s="9"/>
      <c r="N104" s="9"/>
      <c r="O104" s="9"/>
      <c r="P104" s="9"/>
      <c r="Q104" s="9"/>
      <c r="R104" s="9"/>
      <c r="S104" s="271"/>
      <c r="T104" s="271"/>
      <c r="U104" s="271"/>
      <c r="V104" s="271"/>
      <c r="W104" s="271"/>
      <c r="X104" s="271"/>
      <c r="Y104" s="271"/>
      <c r="Z104" s="271"/>
    </row>
    <row r="105" spans="1:26" hidden="1" outlineLevel="1">
      <c r="A105" s="9"/>
      <c r="B105" s="281" t="str">
        <f>Asset8</f>
        <v>Distribution Substation Switchgear</v>
      </c>
      <c r="C105" s="9"/>
      <c r="D105" s="9"/>
      <c r="E105" s="284"/>
      <c r="F105" s="284"/>
      <c r="G105" s="285"/>
      <c r="H105" s="284"/>
      <c r="I105" s="284"/>
      <c r="J105" s="293"/>
      <c r="K105" s="289"/>
      <c r="L105" s="286"/>
      <c r="M105" s="9"/>
      <c r="N105" s="9"/>
      <c r="O105" s="9"/>
      <c r="P105" s="9"/>
      <c r="Q105" s="9"/>
      <c r="R105" s="9"/>
      <c r="S105" s="271"/>
      <c r="T105" s="271"/>
      <c r="U105" s="271"/>
      <c r="V105" s="271"/>
      <c r="W105" s="271"/>
      <c r="X105" s="271"/>
      <c r="Y105" s="271"/>
      <c r="Z105" s="271"/>
    </row>
    <row r="106" spans="1:26" ht="12.75" hidden="1" customHeight="1" outlineLevel="1">
      <c r="A106" s="9"/>
      <c r="B106" s="283"/>
      <c r="C106" s="358" t="str">
        <f>C92</f>
        <v>Opening RAB</v>
      </c>
      <c r="D106" s="359"/>
      <c r="E106" s="284">
        <f ca="1">A8value-SUM('Actual RAB roll forward'!H135:OFFSET('Actual RAB roll forward'!H135,0,Input!$X$7-1))</f>
        <v>80.634027539625919</v>
      </c>
      <c r="F106" s="284">
        <f>IF(A8remlife="N/A","n/a",A8remlife-Input!$X$7)</f>
        <v>30.354565163753968</v>
      </c>
      <c r="G106" s="285"/>
      <c r="H106" s="360" t="str">
        <f>H92</f>
        <v>Initial Asset Base</v>
      </c>
      <c r="I106" s="361"/>
      <c r="J106" s="284">
        <f ca="1">(A8taxvalue+'Tax value roll forward'!G47)-SUM('Tax value roll forward'!G170:OFFSET('Tax value roll forward'!G170,2,Input!$X$7))</f>
        <v>68.960339048168521</v>
      </c>
      <c r="K106" s="284">
        <f>IF(A8taxremlife="N/A","n/a",A8taxremlife-Input!$X$7-1)</f>
        <v>27.38664736425315</v>
      </c>
      <c r="L106" s="286"/>
      <c r="M106" s="9"/>
      <c r="N106" s="9"/>
      <c r="O106" s="9"/>
      <c r="P106" s="9"/>
      <c r="Q106" s="9"/>
      <c r="R106" s="9"/>
      <c r="S106" s="271"/>
      <c r="T106" s="271"/>
      <c r="U106" s="271"/>
      <c r="V106" s="271"/>
      <c r="W106" s="271"/>
      <c r="X106" s="271"/>
      <c r="Y106" s="271"/>
      <c r="Z106" s="271"/>
    </row>
    <row r="107" spans="1:26" ht="14.45" hidden="1" customHeight="1" outlineLevel="1">
      <c r="A107" s="9"/>
      <c r="B107" s="283"/>
      <c r="C107" s="352" t="str">
        <f>C93</f>
        <v>Capex in year</v>
      </c>
      <c r="D107" s="287">
        <f>D93</f>
        <v>1</v>
      </c>
      <c r="E107" s="284">
        <f ca="1">OFFSET('Actual RAB roll forward'!H$19,0,D107-1)-SUM('Actual RAB roll forward'!H137:OFFSET('Actual RAB roll forward'!H137,0,Input!$X$7-1))</f>
        <v>0</v>
      </c>
      <c r="F107" s="284">
        <f ca="1">IF(A8stdlife="N/A","n/a",IF(E107=0,0,A8stdlife+D107-Input!$X$7))</f>
        <v>0</v>
      </c>
      <c r="G107" s="285"/>
      <c r="H107" s="355" t="str">
        <f>H93</f>
        <v>Capex in year</v>
      </c>
      <c r="I107" s="287">
        <f>I93</f>
        <v>1</v>
      </c>
      <c r="J107" s="284">
        <f ca="1">OFFSET('Tax value roll forward'!H$47,0,I107-1)-SUM('Tax value roll forward'!H173:OFFSET('Tax value roll forward'!H173,0,Input!$X$7-1))</f>
        <v>0</v>
      </c>
      <c r="K107" s="284">
        <f ca="1">IF(A8taxstdlife="N/A","n/a",IF(J107=0,0,A8taxstdlife+I107-Input!$X$7))</f>
        <v>0</v>
      </c>
      <c r="L107" s="286"/>
      <c r="M107" s="9"/>
      <c r="N107" s="9"/>
      <c r="O107" s="9"/>
      <c r="P107" s="9"/>
      <c r="Q107" s="9"/>
      <c r="R107" s="9"/>
      <c r="S107" s="271"/>
      <c r="T107" s="271"/>
      <c r="U107" s="271"/>
      <c r="V107" s="271"/>
      <c r="W107" s="271"/>
      <c r="X107" s="271"/>
      <c r="Y107" s="271"/>
      <c r="Z107" s="271"/>
    </row>
    <row r="108" spans="1:26" ht="14.45" hidden="1" customHeight="1" outlineLevel="1">
      <c r="A108" s="9"/>
      <c r="B108" s="283"/>
      <c r="C108" s="353"/>
      <c r="D108" s="287">
        <f t="shared" ref="D108:D116" si="12">D94</f>
        <v>2</v>
      </c>
      <c r="E108" s="284">
        <f ca="1">OFFSET('Actual RAB roll forward'!H$19,0,D108-1)-SUM('Actual RAB roll forward'!H138:OFFSET('Actual RAB roll forward'!H138,0,Input!$X$7-1))</f>
        <v>0</v>
      </c>
      <c r="F108" s="284">
        <f ca="1">IF(A8stdlife="N/A","n/a",IF(E108=0,0,A8stdlife+D108-Input!$X$7))</f>
        <v>0</v>
      </c>
      <c r="G108" s="285"/>
      <c r="H108" s="356"/>
      <c r="I108" s="287">
        <f t="shared" ref="I108:I116" si="13">I94</f>
        <v>2</v>
      </c>
      <c r="J108" s="284">
        <f ca="1">OFFSET('Tax value roll forward'!H$47,0,I108-1)-SUM('Tax value roll forward'!H174:OFFSET('Tax value roll forward'!H174,0,Input!$X$7-1))</f>
        <v>0</v>
      </c>
      <c r="K108" s="284">
        <f ca="1">IF(A8taxstdlife="N/A","n/a",IF(J108=0,0,A8taxstdlife+I108-Input!$X$7))</f>
        <v>0</v>
      </c>
      <c r="L108" s="286"/>
      <c r="M108" s="9"/>
      <c r="N108" s="9"/>
      <c r="O108" s="9"/>
      <c r="P108" s="9"/>
      <c r="Q108" s="9"/>
      <c r="R108" s="9"/>
      <c r="S108" s="271"/>
      <c r="T108" s="271"/>
      <c r="U108" s="271"/>
      <c r="V108" s="271"/>
      <c r="W108" s="271"/>
      <c r="X108" s="271"/>
      <c r="Y108" s="271"/>
      <c r="Z108" s="271"/>
    </row>
    <row r="109" spans="1:26" ht="14.45" hidden="1" customHeight="1" outlineLevel="1">
      <c r="A109" s="9"/>
      <c r="B109" s="283"/>
      <c r="C109" s="353"/>
      <c r="D109" s="287">
        <f t="shared" si="12"/>
        <v>3</v>
      </c>
      <c r="E109" s="284">
        <f ca="1">OFFSET('Actual RAB roll forward'!H$19,0,D109-1)-SUM('Actual RAB roll forward'!H139:OFFSET('Actual RAB roll forward'!H139,0,Input!$X$7-1))</f>
        <v>0</v>
      </c>
      <c r="F109" s="284">
        <f ca="1">IF(A8stdlife="N/A","n/a",IF(E109=0,0,A8stdlife+D109-Input!$X$7))</f>
        <v>0</v>
      </c>
      <c r="G109" s="285"/>
      <c r="H109" s="356"/>
      <c r="I109" s="287">
        <f t="shared" si="13"/>
        <v>3</v>
      </c>
      <c r="J109" s="284">
        <f ca="1">OFFSET('Tax value roll forward'!H$47,0,I109-1)-SUM('Tax value roll forward'!H175:OFFSET('Tax value roll forward'!H175,0,Input!$X$7-1))</f>
        <v>0</v>
      </c>
      <c r="K109" s="284">
        <f ca="1">IF(A8taxstdlife="N/A","n/a",IF(J109=0,0,A8taxstdlife+I109-Input!$X$7))</f>
        <v>0</v>
      </c>
      <c r="L109" s="286"/>
      <c r="M109" s="9"/>
      <c r="N109" s="9"/>
      <c r="O109" s="9"/>
      <c r="P109" s="9"/>
      <c r="Q109" s="9"/>
      <c r="R109" s="9"/>
      <c r="S109" s="271"/>
      <c r="T109" s="271"/>
      <c r="U109" s="271"/>
      <c r="V109" s="271"/>
      <c r="W109" s="271"/>
      <c r="X109" s="271"/>
      <c r="Y109" s="271"/>
      <c r="Z109" s="271"/>
    </row>
    <row r="110" spans="1:26" ht="14.45" hidden="1" customHeight="1" outlineLevel="1">
      <c r="A110" s="9"/>
      <c r="B110" s="283"/>
      <c r="C110" s="353"/>
      <c r="D110" s="287">
        <f t="shared" si="12"/>
        <v>4</v>
      </c>
      <c r="E110" s="284">
        <f ca="1">OFFSET('Actual RAB roll forward'!H$19,0,D110-1)-SUM('Actual RAB roll forward'!H140:OFFSET('Actual RAB roll forward'!H140,0,Input!$X$7-1))</f>
        <v>0</v>
      </c>
      <c r="F110" s="284">
        <f ca="1">IF(A8stdlife="N/A","n/a",IF(E110=0,0,A8stdlife+D110-Input!$X$7))</f>
        <v>0</v>
      </c>
      <c r="G110" s="285"/>
      <c r="H110" s="356"/>
      <c r="I110" s="287">
        <f t="shared" si="13"/>
        <v>4</v>
      </c>
      <c r="J110" s="284">
        <f ca="1">OFFSET('Tax value roll forward'!H$47,0,I110-1)-SUM('Tax value roll forward'!H176:OFFSET('Tax value roll forward'!H176,0,Input!$X$7-1))</f>
        <v>0</v>
      </c>
      <c r="K110" s="284">
        <f ca="1">IF(A8taxstdlife="N/A","n/a",IF(J110=0,0,A8taxstdlife+I110-Input!$X$7))</f>
        <v>0</v>
      </c>
      <c r="L110" s="286"/>
      <c r="M110" s="9"/>
      <c r="N110" s="9"/>
      <c r="O110" s="9"/>
      <c r="P110" s="9"/>
      <c r="Q110" s="9"/>
      <c r="R110" s="9"/>
      <c r="S110" s="271"/>
      <c r="T110" s="271"/>
      <c r="U110" s="271"/>
      <c r="V110" s="271"/>
      <c r="W110" s="271"/>
      <c r="X110" s="271"/>
      <c r="Y110" s="271"/>
      <c r="Z110" s="271"/>
    </row>
    <row r="111" spans="1:26" ht="14.45" hidden="1" customHeight="1" outlineLevel="1">
      <c r="A111" s="9"/>
      <c r="B111" s="283"/>
      <c r="C111" s="353"/>
      <c r="D111" s="287">
        <f t="shared" si="12"/>
        <v>5</v>
      </c>
      <c r="E111" s="284">
        <f ca="1">OFFSET('Actual RAB roll forward'!H$19,0,D111-1)-SUM('Actual RAB roll forward'!H141:OFFSET('Actual RAB roll forward'!H141,0,Input!$X$7-1))</f>
        <v>0</v>
      </c>
      <c r="F111" s="284">
        <f ca="1">IF(A8stdlife="N/A","n/a",IF(E111=0,0,A8stdlife+D111-Input!$X$7))</f>
        <v>0</v>
      </c>
      <c r="G111" s="285"/>
      <c r="H111" s="356"/>
      <c r="I111" s="287">
        <f t="shared" si="13"/>
        <v>5</v>
      </c>
      <c r="J111" s="284">
        <f ca="1">OFFSET('Tax value roll forward'!H$47,0,I111-1)-SUM('Tax value roll forward'!H177:OFFSET('Tax value roll forward'!H177,0,Input!$X$7-1))</f>
        <v>0</v>
      </c>
      <c r="K111" s="284">
        <f ca="1">IF(A8taxstdlife="N/A","n/a",IF(J111=0,0,A8taxstdlife+I111-Input!$X$7))</f>
        <v>0</v>
      </c>
      <c r="L111" s="286"/>
      <c r="M111" s="9"/>
      <c r="N111" s="9"/>
      <c r="O111" s="9"/>
      <c r="P111" s="9"/>
      <c r="Q111" s="9"/>
      <c r="R111" s="9"/>
      <c r="S111" s="271"/>
      <c r="T111" s="271"/>
      <c r="U111" s="271"/>
      <c r="V111" s="271"/>
      <c r="W111" s="271"/>
      <c r="X111" s="271"/>
      <c r="Y111" s="271"/>
      <c r="Z111" s="271"/>
    </row>
    <row r="112" spans="1:26" ht="14.45" hidden="1" customHeight="1" outlineLevel="1">
      <c r="A112" s="9"/>
      <c r="B112" s="283"/>
      <c r="C112" s="353"/>
      <c r="D112" s="287">
        <f t="shared" si="12"/>
        <v>6</v>
      </c>
      <c r="E112" s="284">
        <f ca="1">OFFSET('Actual RAB roll forward'!H$19,0,D112-1)-SUM('Actual RAB roll forward'!H142:OFFSET('Actual RAB roll forward'!H142,0,Input!$X$7-1))</f>
        <v>0</v>
      </c>
      <c r="F112" s="284">
        <f ca="1">IF(A8stdlife="N/A","n/a",IF(E112=0,0,A8stdlife+D112-Input!$X$7))</f>
        <v>0</v>
      </c>
      <c r="G112" s="285"/>
      <c r="H112" s="356"/>
      <c r="I112" s="287">
        <f t="shared" si="13"/>
        <v>6</v>
      </c>
      <c r="J112" s="284">
        <f ca="1">OFFSET('Tax value roll forward'!H$47,0,I112-1)-SUM('Tax value roll forward'!H178:OFFSET('Tax value roll forward'!H178,0,Input!$X$7-1))</f>
        <v>0</v>
      </c>
      <c r="K112" s="284">
        <f ca="1">IF(A8taxstdlife="N/A","n/a",IF(J112=0,0,A8taxstdlife+I112-Input!$X$7))</f>
        <v>0</v>
      </c>
      <c r="L112" s="286"/>
      <c r="M112" s="9"/>
      <c r="N112" s="9"/>
      <c r="O112" s="9"/>
      <c r="P112" s="9"/>
      <c r="Q112" s="9"/>
      <c r="R112" s="9"/>
      <c r="S112" s="271"/>
      <c r="T112" s="271"/>
      <c r="U112" s="271"/>
      <c r="V112" s="271"/>
      <c r="W112" s="271"/>
      <c r="X112" s="271"/>
      <c r="Y112" s="271"/>
      <c r="Z112" s="271"/>
    </row>
    <row r="113" spans="1:26" ht="14.45" hidden="1" customHeight="1" outlineLevel="1">
      <c r="A113" s="9"/>
      <c r="B113" s="283"/>
      <c r="C113" s="353"/>
      <c r="D113" s="287">
        <f t="shared" si="12"/>
        <v>7</v>
      </c>
      <c r="E113" s="284">
        <f ca="1">OFFSET('Actual RAB roll forward'!H$19,0,D113-1)-SUM('Actual RAB roll forward'!H143:OFFSET('Actual RAB roll forward'!H143,0,Input!$X$7-1))</f>
        <v>0</v>
      </c>
      <c r="F113" s="284">
        <f ca="1">IF(A8stdlife="N/A","n/a",IF(E113=0,0,A8stdlife+D113-Input!$X$7))</f>
        <v>0</v>
      </c>
      <c r="G113" s="285"/>
      <c r="H113" s="356"/>
      <c r="I113" s="287">
        <f t="shared" si="13"/>
        <v>7</v>
      </c>
      <c r="J113" s="284">
        <f ca="1">OFFSET('Tax value roll forward'!H$47,0,I113-1)-SUM('Tax value roll forward'!H179:OFFSET('Tax value roll forward'!H179,0,Input!$X$7-1))</f>
        <v>0</v>
      </c>
      <c r="K113" s="284">
        <f ca="1">IF(A8taxstdlife="N/A","n/a",IF(J113=0,0,A8taxstdlife+I113-Input!$X$7))</f>
        <v>0</v>
      </c>
      <c r="L113" s="286"/>
      <c r="M113" s="9"/>
      <c r="N113" s="9"/>
      <c r="O113" s="9"/>
      <c r="P113" s="9"/>
      <c r="Q113" s="9"/>
      <c r="R113" s="9"/>
      <c r="S113" s="271"/>
      <c r="T113" s="271"/>
      <c r="U113" s="271"/>
      <c r="V113" s="271"/>
      <c r="W113" s="271"/>
      <c r="X113" s="271"/>
      <c r="Y113" s="271"/>
      <c r="Z113" s="271"/>
    </row>
    <row r="114" spans="1:26" ht="14.45" hidden="1" customHeight="1" outlineLevel="1">
      <c r="A114" s="9"/>
      <c r="B114" s="283"/>
      <c r="C114" s="353"/>
      <c r="D114" s="287">
        <f t="shared" si="12"/>
        <v>8</v>
      </c>
      <c r="E114" s="284">
        <f ca="1">OFFSET('Actual RAB roll forward'!H$19,0,D114-1)-SUM('Actual RAB roll forward'!H144:OFFSET('Actual RAB roll forward'!H144,0,Input!$X$7-1))</f>
        <v>0</v>
      </c>
      <c r="F114" s="284">
        <f ca="1">IF(A8stdlife="N/A","n/a",IF(E114=0,0,A8stdlife+D114-Input!$X$7))</f>
        <v>0</v>
      </c>
      <c r="G114" s="285"/>
      <c r="H114" s="356"/>
      <c r="I114" s="287">
        <f t="shared" si="13"/>
        <v>8</v>
      </c>
      <c r="J114" s="284">
        <f ca="1">OFFSET('Tax value roll forward'!H$47,0,I114-1)-SUM('Tax value roll forward'!H180:OFFSET('Tax value roll forward'!H180,0,Input!$X$7-1))</f>
        <v>0</v>
      </c>
      <c r="K114" s="284">
        <f ca="1">IF(A8taxstdlife="N/A","n/a",IF(J114=0,0,A8taxstdlife+I114-Input!$X$7))</f>
        <v>0</v>
      </c>
      <c r="L114" s="286"/>
      <c r="M114" s="9"/>
      <c r="N114" s="9"/>
      <c r="O114" s="9"/>
      <c r="P114" s="9"/>
      <c r="Q114" s="9"/>
      <c r="R114" s="9"/>
      <c r="S114" s="271"/>
      <c r="T114" s="271"/>
      <c r="U114" s="271"/>
      <c r="V114" s="271"/>
      <c r="W114" s="271"/>
      <c r="X114" s="271"/>
      <c r="Y114" s="271"/>
      <c r="Z114" s="271"/>
    </row>
    <row r="115" spans="1:26" ht="14.45" hidden="1" customHeight="1" outlineLevel="1">
      <c r="A115" s="9"/>
      <c r="B115" s="283"/>
      <c r="C115" s="353"/>
      <c r="D115" s="287">
        <f t="shared" si="12"/>
        <v>9</v>
      </c>
      <c r="E115" s="284">
        <f ca="1">OFFSET('Actual RAB roll forward'!H$19,0,D115-1)-SUM('Actual RAB roll forward'!H145:OFFSET('Actual RAB roll forward'!H145,0,Input!$X$7-1))</f>
        <v>0</v>
      </c>
      <c r="F115" s="284">
        <f ca="1">IF(A8stdlife="N/A","n/a",IF(E115=0,0,A8stdlife+D115-Input!$X$7))</f>
        <v>0</v>
      </c>
      <c r="G115" s="285"/>
      <c r="H115" s="356"/>
      <c r="I115" s="287">
        <f t="shared" si="13"/>
        <v>9</v>
      </c>
      <c r="J115" s="284">
        <f ca="1">OFFSET('Tax value roll forward'!H$47,0,I115-1)-SUM('Tax value roll forward'!H181:OFFSET('Tax value roll forward'!H181,0,Input!$X$7-1))</f>
        <v>0</v>
      </c>
      <c r="K115" s="284">
        <f ca="1">IF(A8taxstdlife="N/A","n/a",IF(J115=0,0,A8taxstdlife+I115-Input!$X$7))</f>
        <v>0</v>
      </c>
      <c r="L115" s="286"/>
      <c r="M115" s="9"/>
      <c r="N115" s="9"/>
      <c r="O115" s="9"/>
      <c r="P115" s="9"/>
      <c r="Q115" s="9"/>
      <c r="R115" s="9"/>
      <c r="S115" s="271"/>
      <c r="T115" s="271"/>
      <c r="U115" s="271"/>
      <c r="V115" s="271"/>
      <c r="W115" s="271"/>
      <c r="X115" s="271"/>
      <c r="Y115" s="271"/>
      <c r="Z115" s="271"/>
    </row>
    <row r="116" spans="1:26" ht="14.45" hidden="1" customHeight="1" outlineLevel="1">
      <c r="A116" s="9"/>
      <c r="B116" s="283"/>
      <c r="C116" s="354"/>
      <c r="D116" s="89">
        <f t="shared" si="12"/>
        <v>10</v>
      </c>
      <c r="E116" s="284">
        <f ca="1">OFFSET('Actual RAB roll forward'!H$19,0,D116-1)-SUM('Actual RAB roll forward'!H146:OFFSET('Actual RAB roll forward'!H146,0,Input!$X$7-1))</f>
        <v>0</v>
      </c>
      <c r="F116" s="284">
        <f ca="1">IF(A8stdlife="N/A","n/a",IF(E116=0,0,A8stdlife+D116-Input!$X$7))</f>
        <v>0</v>
      </c>
      <c r="G116" s="285"/>
      <c r="H116" s="357"/>
      <c r="I116" s="89">
        <f t="shared" si="13"/>
        <v>10</v>
      </c>
      <c r="J116" s="284">
        <f ca="1">OFFSET('Tax value roll forward'!H$47,0,I116-1)-SUM('Tax value roll forward'!H182:OFFSET('Tax value roll forward'!H182,0,Input!$X$7-1))</f>
        <v>0</v>
      </c>
      <c r="K116" s="284">
        <f ca="1">IF(A8taxstdlife="N/A","n/a",IF(J116=0,0,A8taxstdlife+I116-Input!$X$7))</f>
        <v>0</v>
      </c>
      <c r="L116" s="286"/>
      <c r="M116" s="9"/>
      <c r="N116" s="9"/>
      <c r="O116" s="9"/>
      <c r="P116" s="9"/>
      <c r="Q116" s="9"/>
      <c r="R116" s="9"/>
      <c r="S116" s="271"/>
      <c r="T116" s="271"/>
      <c r="U116" s="271"/>
      <c r="V116" s="271"/>
      <c r="W116" s="271"/>
      <c r="X116" s="271"/>
      <c r="Y116" s="271"/>
      <c r="Z116" s="271"/>
    </row>
    <row r="117" spans="1:26" collapsed="1">
      <c r="A117" s="9"/>
      <c r="B117" s="283"/>
      <c r="C117" s="286" t="str">
        <f>B105</f>
        <v>Distribution Substation Switchgear</v>
      </c>
      <c r="D117" s="9"/>
      <c r="E117" s="284">
        <f ca="1">SUM(E106:E116)</f>
        <v>80.634027539625919</v>
      </c>
      <c r="F117" s="284">
        <f ca="1">IF(A8remlife="N/A","n/a",IF(E117=0,0,SUMPRODUCT(E106:E116,F106:F116)/E117))</f>
        <v>30.354565163753971</v>
      </c>
      <c r="G117" s="285"/>
      <c r="H117" s="45"/>
      <c r="I117" s="284"/>
      <c r="J117" s="284">
        <f ca="1">SUM(J106:J116)</f>
        <v>68.960339048168521</v>
      </c>
      <c r="K117" s="284">
        <f ca="1">IF(A8taxstdlife="N/A","n/a",IF(J117=0,0,SUMPRODUCT(J106:J116,K106:K116)/J117))</f>
        <v>27.38664736425315</v>
      </c>
      <c r="L117" s="286"/>
      <c r="M117" s="9"/>
      <c r="N117" s="9"/>
      <c r="O117" s="9"/>
      <c r="P117" s="9"/>
      <c r="Q117" s="9"/>
      <c r="R117" s="9"/>
      <c r="S117" s="271"/>
      <c r="T117" s="271"/>
      <c r="U117" s="271"/>
      <c r="V117" s="271"/>
      <c r="W117" s="271"/>
      <c r="X117" s="271"/>
      <c r="Y117" s="271"/>
      <c r="Z117" s="271"/>
    </row>
    <row r="118" spans="1:26" hidden="1" outlineLevel="1">
      <c r="A118" s="9"/>
      <c r="B118" s="283"/>
      <c r="C118" s="295"/>
      <c r="D118" s="9"/>
      <c r="E118" s="284"/>
      <c r="F118" s="284"/>
      <c r="G118" s="285"/>
      <c r="H118" s="284"/>
      <c r="I118" s="284"/>
      <c r="J118" s="293"/>
      <c r="K118" s="289"/>
      <c r="L118" s="286"/>
      <c r="M118" s="9"/>
      <c r="N118" s="9"/>
      <c r="O118" s="9"/>
      <c r="P118" s="9"/>
      <c r="Q118" s="9"/>
      <c r="R118" s="9"/>
      <c r="S118" s="271"/>
      <c r="T118" s="271"/>
      <c r="U118" s="271"/>
      <c r="V118" s="271"/>
      <c r="W118" s="271"/>
      <c r="X118" s="271"/>
      <c r="Y118" s="271"/>
      <c r="Z118" s="271"/>
    </row>
    <row r="119" spans="1:26" hidden="1" outlineLevel="1">
      <c r="A119" s="9"/>
      <c r="B119" s="281" t="str">
        <f>Asset9</f>
        <v>Zone Transformers</v>
      </c>
      <c r="C119" s="9"/>
      <c r="D119" s="9"/>
      <c r="E119" s="286"/>
      <c r="F119" s="286"/>
      <c r="G119" s="285"/>
      <c r="H119" s="284"/>
      <c r="I119" s="284"/>
      <c r="J119" s="293"/>
      <c r="K119" s="289"/>
      <c r="L119" s="286"/>
      <c r="M119" s="9"/>
      <c r="N119" s="9"/>
      <c r="O119" s="9"/>
      <c r="P119" s="9"/>
      <c r="Q119" s="9"/>
      <c r="R119" s="9"/>
      <c r="S119" s="271"/>
      <c r="T119" s="271"/>
      <c r="U119" s="271"/>
      <c r="V119" s="271"/>
      <c r="W119" s="271"/>
      <c r="X119" s="271"/>
      <c r="Y119" s="271"/>
      <c r="Z119" s="271"/>
    </row>
    <row r="120" spans="1:26" ht="12.75" hidden="1" customHeight="1" outlineLevel="1">
      <c r="A120" s="9"/>
      <c r="B120" s="283"/>
      <c r="C120" s="358" t="str">
        <f>C106</f>
        <v>Opening RAB</v>
      </c>
      <c r="D120" s="359"/>
      <c r="E120" s="284">
        <f ca="1">A9value-SUM('Actual RAB roll forward'!H148:OFFSET('Actual RAB roll forward'!H148,0,Input!$X$7-1))</f>
        <v>197.27540140904543</v>
      </c>
      <c r="F120" s="284">
        <f>IF(A9remlife="N/A","n/a",A9remlife-Input!$X$7)</f>
        <v>22.544457688637667</v>
      </c>
      <c r="G120" s="285"/>
      <c r="H120" s="360" t="str">
        <f>H106</f>
        <v>Initial Asset Base</v>
      </c>
      <c r="I120" s="361"/>
      <c r="J120" s="284">
        <f ca="1">(A9taxvalue+'Tax value roll forward'!G48)-SUM('Tax value roll forward'!G184:OFFSET('Tax value roll forward'!G184,2,Input!$X$7))</f>
        <v>145.33451778992287</v>
      </c>
      <c r="K120" s="284">
        <f>IF(A9taxremlife="N/A","n/a",A9taxremlife-Input!$X$7-1)</f>
        <v>12.165921029619412</v>
      </c>
      <c r="L120" s="286"/>
      <c r="M120" s="9"/>
      <c r="N120" s="9"/>
      <c r="O120" s="9"/>
      <c r="P120" s="9"/>
      <c r="Q120" s="9"/>
      <c r="R120" s="9"/>
      <c r="S120" s="271"/>
      <c r="T120" s="271"/>
      <c r="U120" s="271"/>
      <c r="V120" s="271"/>
      <c r="W120" s="271"/>
      <c r="X120" s="271"/>
      <c r="Y120" s="271"/>
      <c r="Z120" s="271"/>
    </row>
    <row r="121" spans="1:26" ht="14.45" hidden="1" customHeight="1" outlineLevel="1">
      <c r="A121" s="9"/>
      <c r="B121" s="283"/>
      <c r="C121" s="352" t="str">
        <f>C107</f>
        <v>Capex in year</v>
      </c>
      <c r="D121" s="287">
        <f>D107</f>
        <v>1</v>
      </c>
      <c r="E121" s="284">
        <f ca="1">OFFSET('Actual RAB roll forward'!H$20,0,D121-1)-SUM('Actual RAB roll forward'!H150:OFFSET('Actual RAB roll forward'!H150,0,Input!$X$7-1))</f>
        <v>0</v>
      </c>
      <c r="F121" s="284">
        <f ca="1">IF(A9stdlife="N/A","n/a",IF(E121=0,0,A9stdlife+D121-Input!$X$7))</f>
        <v>0</v>
      </c>
      <c r="G121" s="285"/>
      <c r="H121" s="355" t="str">
        <f>H107</f>
        <v>Capex in year</v>
      </c>
      <c r="I121" s="287">
        <f>I107</f>
        <v>1</v>
      </c>
      <c r="J121" s="284">
        <f ca="1">OFFSET('Tax value roll forward'!H$48,0,I121-1)-SUM('Tax value roll forward'!H187:OFFSET('Tax value roll forward'!H187,0,Input!$X$7-1))</f>
        <v>0</v>
      </c>
      <c r="K121" s="284">
        <f ca="1">IF(A9taxstdlife="N/A","n/a",IF(J121=0,0,A9taxstdlife+I121-Input!$X$7))</f>
        <v>0</v>
      </c>
      <c r="L121" s="286"/>
      <c r="M121" s="9"/>
      <c r="N121" s="9"/>
      <c r="O121" s="9"/>
      <c r="P121" s="9"/>
      <c r="Q121" s="9"/>
      <c r="R121" s="9"/>
      <c r="S121" s="271"/>
      <c r="T121" s="271"/>
      <c r="U121" s="271"/>
      <c r="V121" s="271"/>
      <c r="W121" s="271"/>
      <c r="X121" s="271"/>
      <c r="Y121" s="271"/>
      <c r="Z121" s="271"/>
    </row>
    <row r="122" spans="1:26" ht="14.45" hidden="1" customHeight="1" outlineLevel="1">
      <c r="A122" s="9"/>
      <c r="B122" s="283"/>
      <c r="C122" s="353"/>
      <c r="D122" s="287">
        <f t="shared" ref="D122:D130" si="14">D108</f>
        <v>2</v>
      </c>
      <c r="E122" s="284">
        <f ca="1">OFFSET('Actual RAB roll forward'!H$20,0,D122-1)-SUM('Actual RAB roll forward'!H151:OFFSET('Actual RAB roll forward'!H151,0,Input!$X$7-1))</f>
        <v>0</v>
      </c>
      <c r="F122" s="284">
        <f ca="1">IF(A9stdlife="N/A","n/a",IF(E122=0,0,A9stdlife+D122-Input!$X$7))</f>
        <v>0</v>
      </c>
      <c r="G122" s="285"/>
      <c r="H122" s="356"/>
      <c r="I122" s="287">
        <f t="shared" ref="I122:I130" si="15">I108</f>
        <v>2</v>
      </c>
      <c r="J122" s="284">
        <f ca="1">OFFSET('Tax value roll forward'!H$48,0,I122-1)-SUM('Tax value roll forward'!H188:OFFSET('Tax value roll forward'!H188,0,Input!$X$7-1))</f>
        <v>0</v>
      </c>
      <c r="K122" s="284">
        <f ca="1">IF(A9taxstdlife="N/A","n/a",IF(J122=0,0,A9taxstdlife+I122-Input!$X$7))</f>
        <v>0</v>
      </c>
      <c r="L122" s="286"/>
      <c r="M122" s="9"/>
      <c r="N122" s="9"/>
      <c r="O122" s="9"/>
      <c r="P122" s="9"/>
      <c r="Q122" s="9"/>
      <c r="R122" s="9"/>
      <c r="S122" s="271"/>
      <c r="T122" s="271"/>
      <c r="U122" s="271"/>
      <c r="V122" s="271"/>
      <c r="W122" s="271"/>
      <c r="X122" s="271"/>
      <c r="Y122" s="271"/>
      <c r="Z122" s="271"/>
    </row>
    <row r="123" spans="1:26" ht="14.45" hidden="1" customHeight="1" outlineLevel="1">
      <c r="A123" s="9"/>
      <c r="B123" s="283"/>
      <c r="C123" s="353"/>
      <c r="D123" s="287">
        <f t="shared" si="14"/>
        <v>3</v>
      </c>
      <c r="E123" s="284">
        <f ca="1">OFFSET('Actual RAB roll forward'!H$20,0,D123-1)-SUM('Actual RAB roll forward'!H152:OFFSET('Actual RAB roll forward'!H152,0,Input!$X$7-1))</f>
        <v>0</v>
      </c>
      <c r="F123" s="284">
        <f ca="1">IF(A9stdlife="N/A","n/a",IF(E123=0,0,A9stdlife+D123-Input!$X$7))</f>
        <v>0</v>
      </c>
      <c r="G123" s="285"/>
      <c r="H123" s="356"/>
      <c r="I123" s="287">
        <f t="shared" si="15"/>
        <v>3</v>
      </c>
      <c r="J123" s="284">
        <f ca="1">OFFSET('Tax value roll forward'!H$48,0,I123-1)-SUM('Tax value roll forward'!H189:OFFSET('Tax value roll forward'!H189,0,Input!$X$7-1))</f>
        <v>0</v>
      </c>
      <c r="K123" s="284">
        <f ca="1">IF(A9taxstdlife="N/A","n/a",IF(J123=0,0,A9taxstdlife+I123-Input!$X$7))</f>
        <v>0</v>
      </c>
      <c r="L123" s="286"/>
      <c r="M123" s="9"/>
      <c r="N123" s="9"/>
      <c r="O123" s="9"/>
      <c r="P123" s="9"/>
      <c r="Q123" s="9"/>
      <c r="R123" s="9"/>
      <c r="S123" s="271"/>
      <c r="T123" s="271"/>
      <c r="U123" s="271"/>
      <c r="V123" s="271"/>
      <c r="W123" s="271"/>
      <c r="X123" s="271"/>
      <c r="Y123" s="271"/>
      <c r="Z123" s="271"/>
    </row>
    <row r="124" spans="1:26" ht="14.45" hidden="1" customHeight="1" outlineLevel="1">
      <c r="A124" s="9"/>
      <c r="B124" s="283"/>
      <c r="C124" s="353"/>
      <c r="D124" s="287">
        <f t="shared" si="14"/>
        <v>4</v>
      </c>
      <c r="E124" s="284">
        <f ca="1">OFFSET('Actual RAB roll forward'!H$20,0,D124-1)-SUM('Actual RAB roll forward'!H153:OFFSET('Actual RAB roll forward'!H153,0,Input!$X$7-1))</f>
        <v>0</v>
      </c>
      <c r="F124" s="284">
        <f ca="1">IF(A9stdlife="N/A","n/a",IF(E124=0,0,A9stdlife+D124-Input!$X$7))</f>
        <v>0</v>
      </c>
      <c r="G124" s="285"/>
      <c r="H124" s="356"/>
      <c r="I124" s="287">
        <f t="shared" si="15"/>
        <v>4</v>
      </c>
      <c r="J124" s="284">
        <f ca="1">OFFSET('Tax value roll forward'!H$48,0,I124-1)-SUM('Tax value roll forward'!H190:OFFSET('Tax value roll forward'!H190,0,Input!$X$7-1))</f>
        <v>0</v>
      </c>
      <c r="K124" s="284">
        <f ca="1">IF(A9taxstdlife="N/A","n/a",IF(J124=0,0,A9taxstdlife+I124-Input!$X$7))</f>
        <v>0</v>
      </c>
      <c r="L124" s="286"/>
      <c r="M124" s="9"/>
      <c r="N124" s="9"/>
      <c r="O124" s="9"/>
      <c r="P124" s="9"/>
      <c r="Q124" s="9"/>
      <c r="R124" s="9"/>
      <c r="S124" s="271"/>
      <c r="T124" s="271"/>
      <c r="U124" s="271"/>
      <c r="V124" s="271"/>
      <c r="W124" s="271"/>
      <c r="X124" s="271"/>
      <c r="Y124" s="271"/>
      <c r="Z124" s="271"/>
    </row>
    <row r="125" spans="1:26" ht="14.45" hidden="1" customHeight="1" outlineLevel="1">
      <c r="A125" s="9"/>
      <c r="B125" s="283"/>
      <c r="C125" s="353"/>
      <c r="D125" s="287">
        <f t="shared" si="14"/>
        <v>5</v>
      </c>
      <c r="E125" s="284">
        <f ca="1">OFFSET('Actual RAB roll forward'!H$20,0,D125-1)-SUM('Actual RAB roll forward'!H154:OFFSET('Actual RAB roll forward'!H154,0,Input!$X$7-1))</f>
        <v>0</v>
      </c>
      <c r="F125" s="284">
        <f ca="1">IF(A9stdlife="N/A","n/a",IF(E125=0,0,A9stdlife+D125-Input!$X$7))</f>
        <v>0</v>
      </c>
      <c r="G125" s="285"/>
      <c r="H125" s="356"/>
      <c r="I125" s="287">
        <f t="shared" si="15"/>
        <v>5</v>
      </c>
      <c r="J125" s="284">
        <f ca="1">OFFSET('Tax value roll forward'!H$48,0,I125-1)-SUM('Tax value roll forward'!H191:OFFSET('Tax value roll forward'!H191,0,Input!$X$7-1))</f>
        <v>0</v>
      </c>
      <c r="K125" s="284">
        <f ca="1">IF(A9taxstdlife="N/A","n/a",IF(J125=0,0,A9taxstdlife+I125-Input!$X$7))</f>
        <v>0</v>
      </c>
      <c r="L125" s="286"/>
      <c r="M125" s="9"/>
      <c r="N125" s="9"/>
      <c r="O125" s="9"/>
      <c r="P125" s="9"/>
      <c r="Q125" s="9"/>
      <c r="R125" s="9"/>
      <c r="S125" s="271"/>
      <c r="T125" s="271"/>
      <c r="U125" s="271"/>
      <c r="V125" s="271"/>
      <c r="W125" s="271"/>
      <c r="X125" s="271"/>
      <c r="Y125" s="271"/>
      <c r="Z125" s="271"/>
    </row>
    <row r="126" spans="1:26" ht="14.45" hidden="1" customHeight="1" outlineLevel="1">
      <c r="A126" s="9"/>
      <c r="B126" s="283"/>
      <c r="C126" s="353"/>
      <c r="D126" s="287">
        <f t="shared" si="14"/>
        <v>6</v>
      </c>
      <c r="E126" s="284">
        <f ca="1">OFFSET('Actual RAB roll forward'!H$20,0,D126-1)-SUM('Actual RAB roll forward'!H155:OFFSET('Actual RAB roll forward'!H155,0,Input!$X$7-1))</f>
        <v>0</v>
      </c>
      <c r="F126" s="284">
        <f ca="1">IF(A9stdlife="N/A","n/a",IF(E126=0,0,A9stdlife+D126-Input!$X$7))</f>
        <v>0</v>
      </c>
      <c r="G126" s="285"/>
      <c r="H126" s="356"/>
      <c r="I126" s="287">
        <f t="shared" si="15"/>
        <v>6</v>
      </c>
      <c r="J126" s="284">
        <f ca="1">OFFSET('Tax value roll forward'!H$48,0,I126-1)-SUM('Tax value roll forward'!H192:OFFSET('Tax value roll forward'!H192,0,Input!$X$7-1))</f>
        <v>0</v>
      </c>
      <c r="K126" s="284">
        <f ca="1">IF(A9taxstdlife="N/A","n/a",IF(J126=0,0,A9taxstdlife+I126-Input!$X$7))</f>
        <v>0</v>
      </c>
      <c r="L126" s="286"/>
      <c r="M126" s="9"/>
      <c r="N126" s="9"/>
      <c r="O126" s="9"/>
      <c r="P126" s="9"/>
      <c r="Q126" s="9"/>
      <c r="R126" s="9"/>
      <c r="S126" s="271"/>
      <c r="T126" s="271"/>
      <c r="U126" s="271"/>
      <c r="V126" s="271"/>
      <c r="W126" s="271"/>
      <c r="X126" s="271"/>
      <c r="Y126" s="271"/>
      <c r="Z126" s="271"/>
    </row>
    <row r="127" spans="1:26" ht="14.45" hidden="1" customHeight="1" outlineLevel="1">
      <c r="A127" s="9"/>
      <c r="B127" s="283"/>
      <c r="C127" s="353"/>
      <c r="D127" s="287">
        <f t="shared" si="14"/>
        <v>7</v>
      </c>
      <c r="E127" s="284">
        <f ca="1">OFFSET('Actual RAB roll forward'!H$20,0,D127-1)-SUM('Actual RAB roll forward'!H156:OFFSET('Actual RAB roll forward'!H156,0,Input!$X$7-1))</f>
        <v>0</v>
      </c>
      <c r="F127" s="284">
        <f ca="1">IF(A9stdlife="N/A","n/a",IF(E127=0,0,A9stdlife+D127-Input!$X$7))</f>
        <v>0</v>
      </c>
      <c r="G127" s="285"/>
      <c r="H127" s="356"/>
      <c r="I127" s="287">
        <f t="shared" si="15"/>
        <v>7</v>
      </c>
      <c r="J127" s="284">
        <f ca="1">OFFSET('Tax value roll forward'!H$48,0,I127-1)-SUM('Tax value roll forward'!H193:OFFSET('Tax value roll forward'!H193,0,Input!$X$7-1))</f>
        <v>0</v>
      </c>
      <c r="K127" s="284">
        <f ca="1">IF(A9taxstdlife="N/A","n/a",IF(J127=0,0,A9taxstdlife+I127-Input!$X$7))</f>
        <v>0</v>
      </c>
      <c r="L127" s="286"/>
      <c r="M127" s="9"/>
      <c r="N127" s="9"/>
      <c r="O127" s="9"/>
      <c r="P127" s="9"/>
      <c r="Q127" s="9"/>
      <c r="R127" s="9"/>
      <c r="S127" s="271"/>
      <c r="T127" s="271"/>
      <c r="U127" s="271"/>
      <c r="V127" s="271"/>
      <c r="W127" s="271"/>
      <c r="X127" s="271"/>
      <c r="Y127" s="271"/>
      <c r="Z127" s="271"/>
    </row>
    <row r="128" spans="1:26" ht="14.45" hidden="1" customHeight="1" outlineLevel="1">
      <c r="A128" s="9"/>
      <c r="B128" s="283"/>
      <c r="C128" s="353"/>
      <c r="D128" s="287">
        <f t="shared" si="14"/>
        <v>8</v>
      </c>
      <c r="E128" s="284">
        <f ca="1">OFFSET('Actual RAB roll forward'!H$20,0,D128-1)-SUM('Actual RAB roll forward'!H157:OFFSET('Actual RAB roll forward'!H157,0,Input!$X$7-1))</f>
        <v>0</v>
      </c>
      <c r="F128" s="284">
        <f ca="1">IF(A9stdlife="N/A","n/a",IF(E128=0,0,A9stdlife+D128-Input!$X$7))</f>
        <v>0</v>
      </c>
      <c r="G128" s="285"/>
      <c r="H128" s="356"/>
      <c r="I128" s="287">
        <f t="shared" si="15"/>
        <v>8</v>
      </c>
      <c r="J128" s="284">
        <f ca="1">OFFSET('Tax value roll forward'!H$48,0,I128-1)-SUM('Tax value roll forward'!H194:OFFSET('Tax value roll forward'!H194,0,Input!$X$7-1))</f>
        <v>0</v>
      </c>
      <c r="K128" s="284">
        <f ca="1">IF(A9taxstdlife="N/A","n/a",IF(J128=0,0,A9taxstdlife+I128-Input!$X$7))</f>
        <v>0</v>
      </c>
      <c r="L128" s="286"/>
      <c r="M128" s="9"/>
      <c r="N128" s="9"/>
      <c r="O128" s="9"/>
      <c r="P128" s="9"/>
      <c r="Q128" s="9"/>
      <c r="R128" s="9"/>
      <c r="S128" s="271"/>
      <c r="T128" s="271"/>
      <c r="U128" s="271"/>
      <c r="V128" s="271"/>
      <c r="W128" s="271"/>
      <c r="X128" s="271"/>
      <c r="Y128" s="271"/>
      <c r="Z128" s="271"/>
    </row>
    <row r="129" spans="1:26" ht="14.45" hidden="1" customHeight="1" outlineLevel="1">
      <c r="A129" s="9"/>
      <c r="B129" s="283"/>
      <c r="C129" s="353"/>
      <c r="D129" s="287">
        <f t="shared" si="14"/>
        <v>9</v>
      </c>
      <c r="E129" s="284">
        <f ca="1">OFFSET('Actual RAB roll forward'!H$20,0,D129-1)-SUM('Actual RAB roll forward'!H158:OFFSET('Actual RAB roll forward'!H158,0,Input!$X$7-1))</f>
        <v>0</v>
      </c>
      <c r="F129" s="284">
        <f ca="1">IF(A9stdlife="N/A","n/a",IF(E129=0,0,A9stdlife+D129-Input!$X$7))</f>
        <v>0</v>
      </c>
      <c r="G129" s="285"/>
      <c r="H129" s="356"/>
      <c r="I129" s="287">
        <f t="shared" si="15"/>
        <v>9</v>
      </c>
      <c r="J129" s="284">
        <f ca="1">OFFSET('Tax value roll forward'!H$48,0,I129-1)-SUM('Tax value roll forward'!H195:OFFSET('Tax value roll forward'!H195,0,Input!$X$7-1))</f>
        <v>0</v>
      </c>
      <c r="K129" s="284">
        <f ca="1">IF(A9taxstdlife="N/A","n/a",IF(J129=0,0,A9taxstdlife+I129-Input!$X$7))</f>
        <v>0</v>
      </c>
      <c r="L129" s="286"/>
      <c r="M129" s="9"/>
      <c r="N129" s="9"/>
      <c r="O129" s="9"/>
      <c r="P129" s="9"/>
      <c r="Q129" s="9"/>
      <c r="R129" s="9"/>
      <c r="S129" s="271"/>
      <c r="T129" s="271"/>
      <c r="U129" s="271"/>
      <c r="V129" s="271"/>
      <c r="W129" s="271"/>
      <c r="X129" s="271"/>
      <c r="Y129" s="271"/>
      <c r="Z129" s="271"/>
    </row>
    <row r="130" spans="1:26" ht="14.45" hidden="1" customHeight="1" outlineLevel="1">
      <c r="A130" s="9"/>
      <c r="B130" s="283"/>
      <c r="C130" s="354"/>
      <c r="D130" s="89">
        <f t="shared" si="14"/>
        <v>10</v>
      </c>
      <c r="E130" s="284">
        <f ca="1">OFFSET('Actual RAB roll forward'!H$20,0,D130-1)-SUM('Actual RAB roll forward'!H159:OFFSET('Actual RAB roll forward'!H159,0,Input!$X$7-1))</f>
        <v>0</v>
      </c>
      <c r="F130" s="284">
        <f ca="1">IF(A9stdlife="N/A","n/a",IF(E130=0,0,A9stdlife+D130-Input!$X$7))</f>
        <v>0</v>
      </c>
      <c r="G130" s="285"/>
      <c r="H130" s="357"/>
      <c r="I130" s="89">
        <f t="shared" si="15"/>
        <v>10</v>
      </c>
      <c r="J130" s="284">
        <f ca="1">OFFSET('Tax value roll forward'!H$48,0,I130-1)-SUM('Tax value roll forward'!H196:OFFSET('Tax value roll forward'!H196,0,Input!$X$7-1))</f>
        <v>0</v>
      </c>
      <c r="K130" s="284">
        <f ca="1">IF(A9taxstdlife="N/A","n/a",IF(J130=0,0,A9taxstdlife+I130-Input!$X$7))</f>
        <v>0</v>
      </c>
      <c r="L130" s="286"/>
      <c r="M130" s="9"/>
      <c r="N130" s="9"/>
      <c r="O130" s="9"/>
      <c r="P130" s="9"/>
      <c r="Q130" s="9"/>
      <c r="R130" s="9"/>
      <c r="S130" s="271"/>
      <c r="T130" s="271"/>
      <c r="U130" s="271"/>
      <c r="V130" s="271"/>
      <c r="W130" s="271"/>
      <c r="X130" s="271"/>
      <c r="Y130" s="271"/>
      <c r="Z130" s="271"/>
    </row>
    <row r="131" spans="1:26" collapsed="1">
      <c r="A131" s="9"/>
      <c r="B131" s="283"/>
      <c r="C131" s="286" t="str">
        <f>B119</f>
        <v>Zone Transformers</v>
      </c>
      <c r="D131" s="9"/>
      <c r="E131" s="284">
        <f ca="1">SUM(E120:E130)</f>
        <v>197.27540140904543</v>
      </c>
      <c r="F131" s="284">
        <f ca="1">IF(A9remlife="N/A","n/a",IF(E131=0,0,SUMPRODUCT(E120:E130,F120:F130)/E131))</f>
        <v>22.544457688637667</v>
      </c>
      <c r="G131" s="285"/>
      <c r="H131" s="45"/>
      <c r="I131" s="284"/>
      <c r="J131" s="284">
        <f ca="1">SUM(J120:J130)</f>
        <v>145.33451778992287</v>
      </c>
      <c r="K131" s="284">
        <f ca="1">IF(A9taxstdlife="N/A","n/a",IF(J131=0,0,SUMPRODUCT(J120:J130,K120:K130)/J131))</f>
        <v>12.165921029619412</v>
      </c>
      <c r="L131" s="286"/>
      <c r="M131" s="9"/>
      <c r="N131" s="9"/>
      <c r="O131" s="9"/>
      <c r="P131" s="9"/>
      <c r="Q131" s="9"/>
      <c r="R131" s="9"/>
      <c r="S131" s="271"/>
      <c r="T131" s="271"/>
      <c r="U131" s="271"/>
      <c r="V131" s="271"/>
      <c r="W131" s="271"/>
      <c r="X131" s="271"/>
      <c r="Y131" s="271"/>
      <c r="Z131" s="271"/>
    </row>
    <row r="132" spans="1:26" hidden="1" outlineLevel="1">
      <c r="A132" s="9"/>
      <c r="B132" s="283"/>
      <c r="C132" s="295"/>
      <c r="D132" s="9"/>
      <c r="E132" s="284"/>
      <c r="F132" s="284"/>
      <c r="G132" s="285"/>
      <c r="H132" s="284"/>
      <c r="I132" s="284"/>
      <c r="J132" s="293"/>
      <c r="K132" s="289"/>
      <c r="L132" s="286"/>
      <c r="M132" s="9"/>
      <c r="N132" s="9"/>
      <c r="O132" s="9"/>
      <c r="P132" s="9"/>
      <c r="Q132" s="9"/>
      <c r="R132" s="9"/>
      <c r="S132" s="271"/>
      <c r="T132" s="271"/>
      <c r="U132" s="271"/>
      <c r="V132" s="271"/>
      <c r="W132" s="271"/>
      <c r="X132" s="271"/>
      <c r="Y132" s="271"/>
      <c r="Z132" s="271"/>
    </row>
    <row r="133" spans="1:26" hidden="1" outlineLevel="1">
      <c r="A133" s="9"/>
      <c r="B133" s="281" t="str">
        <f>Asset10</f>
        <v>Distribution Transformers</v>
      </c>
      <c r="C133" s="9"/>
      <c r="D133" s="9"/>
      <c r="E133" s="296"/>
      <c r="F133" s="296"/>
      <c r="G133" s="285"/>
      <c r="H133" s="284"/>
      <c r="I133" s="284"/>
      <c r="J133" s="293"/>
      <c r="K133" s="289"/>
      <c r="L133" s="286"/>
      <c r="M133" s="9"/>
      <c r="N133" s="9"/>
      <c r="O133" s="9"/>
      <c r="P133" s="9"/>
      <c r="Q133" s="9"/>
      <c r="R133" s="9"/>
      <c r="S133" s="271"/>
      <c r="T133" s="271"/>
      <c r="U133" s="271"/>
      <c r="V133" s="271"/>
      <c r="W133" s="271"/>
      <c r="X133" s="271"/>
      <c r="Y133" s="271"/>
      <c r="Z133" s="271"/>
    </row>
    <row r="134" spans="1:26" ht="12.75" hidden="1" customHeight="1" outlineLevel="1">
      <c r="A134" s="9"/>
      <c r="B134" s="283"/>
      <c r="C134" s="358" t="str">
        <f>C120</f>
        <v>Opening RAB</v>
      </c>
      <c r="D134" s="359"/>
      <c r="E134" s="284">
        <f ca="1">A10value-SUM('Actual RAB roll forward'!H161:OFFSET('Actual RAB roll forward'!H161,0,Input!$X$7-1))</f>
        <v>640.03720360234729</v>
      </c>
      <c r="F134" s="284">
        <f>IF(A10remlife="N/A","n/a",A10remlife-Input!$X$7)</f>
        <v>17.268322155415376</v>
      </c>
      <c r="G134" s="285"/>
      <c r="H134" s="360" t="str">
        <f>H120</f>
        <v>Initial Asset Base</v>
      </c>
      <c r="I134" s="361"/>
      <c r="J134" s="284">
        <f ca="1">(A10taxvalue+'Tax value roll forward'!G49)-SUM('Tax value roll forward'!G198:OFFSET('Tax value roll forward'!G198,2,Input!$X$7))</f>
        <v>408.74456217038869</v>
      </c>
      <c r="K134" s="284">
        <f>IF(A10taxremlife="N/A","n/a",A10taxremlife-Input!$X$7-1)</f>
        <v>12.419871570314282</v>
      </c>
      <c r="L134" s="286"/>
      <c r="M134" s="9"/>
      <c r="N134" s="9"/>
      <c r="O134" s="9"/>
      <c r="P134" s="9"/>
      <c r="Q134" s="9"/>
      <c r="R134" s="9"/>
      <c r="S134" s="271"/>
      <c r="T134" s="271"/>
      <c r="U134" s="271"/>
      <c r="V134" s="271"/>
      <c r="W134" s="271"/>
      <c r="X134" s="271"/>
      <c r="Y134" s="271"/>
      <c r="Z134" s="271"/>
    </row>
    <row r="135" spans="1:26" ht="14.45" hidden="1" customHeight="1" outlineLevel="1">
      <c r="A135" s="9"/>
      <c r="B135" s="283"/>
      <c r="C135" s="352" t="str">
        <f>C121</f>
        <v>Capex in year</v>
      </c>
      <c r="D135" s="287">
        <f>D121</f>
        <v>1</v>
      </c>
      <c r="E135" s="284">
        <f ca="1">OFFSET('Actual RAB roll forward'!H$21,0,D135-1)-SUM('Actual RAB roll forward'!H163:OFFSET('Actual RAB roll forward'!H163,0,Input!$X$7-1))</f>
        <v>0</v>
      </c>
      <c r="F135" s="284">
        <f ca="1">IF(A10stdlife="N/A","n/a",IF(E135=0,0,A10stdlife+D135-Input!$X$7))</f>
        <v>0</v>
      </c>
      <c r="G135" s="285"/>
      <c r="H135" s="355" t="str">
        <f>H121</f>
        <v>Capex in year</v>
      </c>
      <c r="I135" s="287">
        <f>I121</f>
        <v>1</v>
      </c>
      <c r="J135" s="284">
        <f ca="1">OFFSET('Tax value roll forward'!H$49,0,I135-1)-SUM('Tax value roll forward'!H201:OFFSET('Tax value roll forward'!H201,0,Input!$X$7-1))</f>
        <v>0</v>
      </c>
      <c r="K135" s="284">
        <f ca="1">IF(A10taxstdlife="N/A","n/a",IF(J135=0,0,A10taxstdlife+I135-Input!$X$7))</f>
        <v>0</v>
      </c>
      <c r="L135" s="286"/>
      <c r="M135" s="9"/>
      <c r="N135" s="9"/>
      <c r="O135" s="9"/>
      <c r="P135" s="9"/>
      <c r="Q135" s="9"/>
      <c r="R135" s="9"/>
      <c r="S135" s="271"/>
      <c r="T135" s="271"/>
      <c r="U135" s="271"/>
      <c r="V135" s="271"/>
      <c r="W135" s="271"/>
      <c r="X135" s="271"/>
      <c r="Y135" s="271"/>
      <c r="Z135" s="271"/>
    </row>
    <row r="136" spans="1:26" ht="14.45" hidden="1" customHeight="1" outlineLevel="1">
      <c r="A136" s="9"/>
      <c r="B136" s="283"/>
      <c r="C136" s="353"/>
      <c r="D136" s="287">
        <f t="shared" ref="D136:D144" si="16">D122</f>
        <v>2</v>
      </c>
      <c r="E136" s="284">
        <f ca="1">OFFSET('Actual RAB roll forward'!H$21,0,D136-1)-SUM('Actual RAB roll forward'!H164:OFFSET('Actual RAB roll forward'!H164,0,Input!$X$7-1))</f>
        <v>0</v>
      </c>
      <c r="F136" s="284">
        <f ca="1">IF(A10stdlife="N/A","n/a",IF(E136=0,0,A10stdlife+D136-Input!$X$7))</f>
        <v>0</v>
      </c>
      <c r="G136" s="285"/>
      <c r="H136" s="356"/>
      <c r="I136" s="287">
        <f t="shared" ref="I136:I144" si="17">I122</f>
        <v>2</v>
      </c>
      <c r="J136" s="284">
        <f ca="1">OFFSET('Tax value roll forward'!H$49,0,I136-1)-SUM('Tax value roll forward'!H202:OFFSET('Tax value roll forward'!H202,0,Input!$X$7-1))</f>
        <v>0</v>
      </c>
      <c r="K136" s="284">
        <f ca="1">IF(A10taxstdlife="N/A","n/a",IF(J136=0,0,A10taxstdlife+I136-Input!$X$7))</f>
        <v>0</v>
      </c>
      <c r="L136" s="286"/>
      <c r="M136" s="9"/>
      <c r="N136" s="9"/>
      <c r="O136" s="9"/>
      <c r="P136" s="9"/>
      <c r="Q136" s="9"/>
      <c r="R136" s="9"/>
      <c r="S136" s="271"/>
      <c r="T136" s="271"/>
      <c r="U136" s="271"/>
      <c r="V136" s="271"/>
      <c r="W136" s="271"/>
      <c r="X136" s="271"/>
      <c r="Y136" s="271"/>
      <c r="Z136" s="271"/>
    </row>
    <row r="137" spans="1:26" ht="14.45" hidden="1" customHeight="1" outlineLevel="1">
      <c r="A137" s="9"/>
      <c r="B137" s="283"/>
      <c r="C137" s="353"/>
      <c r="D137" s="287">
        <f t="shared" si="16"/>
        <v>3</v>
      </c>
      <c r="E137" s="284">
        <f ca="1">OFFSET('Actual RAB roll forward'!H$21,0,D137-1)-SUM('Actual RAB roll forward'!H165:OFFSET('Actual RAB roll forward'!H165,0,Input!$X$7-1))</f>
        <v>0</v>
      </c>
      <c r="F137" s="284">
        <f ca="1">IF(A10stdlife="N/A","n/a",IF(E137=0,0,A10stdlife+D137-Input!$X$7))</f>
        <v>0</v>
      </c>
      <c r="G137" s="285"/>
      <c r="H137" s="356"/>
      <c r="I137" s="287">
        <f t="shared" si="17"/>
        <v>3</v>
      </c>
      <c r="J137" s="284">
        <f ca="1">OFFSET('Tax value roll forward'!H$49,0,I137-1)-SUM('Tax value roll forward'!H203:OFFSET('Tax value roll forward'!H203,0,Input!$X$7-1))</f>
        <v>0</v>
      </c>
      <c r="K137" s="284">
        <f ca="1">IF(A10taxstdlife="N/A","n/a",IF(J137=0,0,A10taxstdlife+I137-Input!$X$7))</f>
        <v>0</v>
      </c>
      <c r="L137" s="286"/>
      <c r="M137" s="9"/>
      <c r="N137" s="9"/>
      <c r="O137" s="9"/>
      <c r="P137" s="9"/>
      <c r="Q137" s="9"/>
      <c r="R137" s="9"/>
      <c r="S137" s="271"/>
      <c r="T137" s="271"/>
      <c r="U137" s="271"/>
      <c r="V137" s="271"/>
      <c r="W137" s="271"/>
      <c r="X137" s="271"/>
      <c r="Y137" s="271"/>
      <c r="Z137" s="271"/>
    </row>
    <row r="138" spans="1:26" ht="14.45" hidden="1" customHeight="1" outlineLevel="1">
      <c r="A138" s="9"/>
      <c r="B138" s="283"/>
      <c r="C138" s="353"/>
      <c r="D138" s="287">
        <f t="shared" si="16"/>
        <v>4</v>
      </c>
      <c r="E138" s="284">
        <f ca="1">OFFSET('Actual RAB roll forward'!H$21,0,D138-1)-SUM('Actual RAB roll forward'!H166:OFFSET('Actual RAB roll forward'!H166,0,Input!$X$7-1))</f>
        <v>0</v>
      </c>
      <c r="F138" s="284">
        <f ca="1">IF(A10stdlife="N/A","n/a",IF(E138=0,0,A10stdlife+D138-Input!$X$7))</f>
        <v>0</v>
      </c>
      <c r="G138" s="285"/>
      <c r="H138" s="356"/>
      <c r="I138" s="287">
        <f t="shared" si="17"/>
        <v>4</v>
      </c>
      <c r="J138" s="284">
        <f ca="1">OFFSET('Tax value roll forward'!H$49,0,I138-1)-SUM('Tax value roll forward'!H204:OFFSET('Tax value roll forward'!H204,0,Input!$X$7-1))</f>
        <v>0</v>
      </c>
      <c r="K138" s="284">
        <f ca="1">IF(A10taxstdlife="N/A","n/a",IF(J138=0,0,A10taxstdlife+I138-Input!$X$7))</f>
        <v>0</v>
      </c>
      <c r="L138" s="286"/>
      <c r="M138" s="9"/>
      <c r="N138" s="9"/>
      <c r="O138" s="9"/>
      <c r="P138" s="9"/>
      <c r="Q138" s="9"/>
      <c r="R138" s="9"/>
      <c r="S138" s="271"/>
      <c r="T138" s="271"/>
      <c r="U138" s="271"/>
      <c r="V138" s="271"/>
      <c r="W138" s="271"/>
      <c r="X138" s="271"/>
      <c r="Y138" s="271"/>
      <c r="Z138" s="271"/>
    </row>
    <row r="139" spans="1:26" ht="14.45" hidden="1" customHeight="1" outlineLevel="1">
      <c r="A139" s="9"/>
      <c r="B139" s="283"/>
      <c r="C139" s="353"/>
      <c r="D139" s="287">
        <f t="shared" si="16"/>
        <v>5</v>
      </c>
      <c r="E139" s="284">
        <f ca="1">OFFSET('Actual RAB roll forward'!H$21,0,D139-1)-SUM('Actual RAB roll forward'!H167:OFFSET('Actual RAB roll forward'!H167,0,Input!$X$7-1))</f>
        <v>0</v>
      </c>
      <c r="F139" s="284">
        <f ca="1">IF(A10stdlife="N/A","n/a",IF(E139=0,0,A10stdlife+D139-Input!$X$7))</f>
        <v>0</v>
      </c>
      <c r="G139" s="285"/>
      <c r="H139" s="356"/>
      <c r="I139" s="287">
        <f t="shared" si="17"/>
        <v>5</v>
      </c>
      <c r="J139" s="284">
        <f ca="1">OFFSET('Tax value roll forward'!H$49,0,I139-1)-SUM('Tax value roll forward'!H205:OFFSET('Tax value roll forward'!H205,0,Input!$X$7-1))</f>
        <v>0</v>
      </c>
      <c r="K139" s="284">
        <f ca="1">IF(A10taxstdlife="N/A","n/a",IF(J139=0,0,A10taxstdlife+I139-Input!$X$7))</f>
        <v>0</v>
      </c>
      <c r="L139" s="286"/>
      <c r="M139" s="9"/>
      <c r="N139" s="9"/>
      <c r="O139" s="9"/>
      <c r="P139" s="9"/>
      <c r="Q139" s="9"/>
      <c r="R139" s="9"/>
      <c r="S139" s="271"/>
      <c r="T139" s="271"/>
      <c r="U139" s="271"/>
      <c r="V139" s="271"/>
      <c r="W139" s="271"/>
      <c r="X139" s="271"/>
      <c r="Y139" s="271"/>
      <c r="Z139" s="271"/>
    </row>
    <row r="140" spans="1:26" ht="14.45" hidden="1" customHeight="1" outlineLevel="1">
      <c r="A140" s="9"/>
      <c r="B140" s="283"/>
      <c r="C140" s="353"/>
      <c r="D140" s="287">
        <f t="shared" si="16"/>
        <v>6</v>
      </c>
      <c r="E140" s="284">
        <f ca="1">OFFSET('Actual RAB roll forward'!H$21,0,D140-1)-SUM('Actual RAB roll forward'!H168:OFFSET('Actual RAB roll forward'!H168,0,Input!$X$7-1))</f>
        <v>0</v>
      </c>
      <c r="F140" s="284">
        <f ca="1">IF(A10stdlife="N/A","n/a",IF(E140=0,0,A10stdlife+D140-Input!$X$7))</f>
        <v>0</v>
      </c>
      <c r="G140" s="285"/>
      <c r="H140" s="356"/>
      <c r="I140" s="287">
        <f t="shared" si="17"/>
        <v>6</v>
      </c>
      <c r="J140" s="284">
        <f ca="1">OFFSET('Tax value roll forward'!H$49,0,I140-1)-SUM('Tax value roll forward'!H206:OFFSET('Tax value roll forward'!H206,0,Input!$X$7-1))</f>
        <v>0</v>
      </c>
      <c r="K140" s="284">
        <f ca="1">IF(A10taxstdlife="N/A","n/a",IF(J140=0,0,A10taxstdlife+I140-Input!$X$7))</f>
        <v>0</v>
      </c>
      <c r="L140" s="286"/>
      <c r="M140" s="9"/>
      <c r="N140" s="9"/>
      <c r="O140" s="9"/>
      <c r="P140" s="9"/>
      <c r="Q140" s="9"/>
      <c r="R140" s="9"/>
      <c r="S140" s="271"/>
      <c r="T140" s="271"/>
      <c r="U140" s="271"/>
      <c r="V140" s="271"/>
      <c r="W140" s="271"/>
      <c r="X140" s="271"/>
      <c r="Y140" s="271"/>
      <c r="Z140" s="271"/>
    </row>
    <row r="141" spans="1:26" ht="14.45" hidden="1" customHeight="1" outlineLevel="1">
      <c r="A141" s="9"/>
      <c r="B141" s="283"/>
      <c r="C141" s="353"/>
      <c r="D141" s="287">
        <f t="shared" si="16"/>
        <v>7</v>
      </c>
      <c r="E141" s="284">
        <f ca="1">OFFSET('Actual RAB roll forward'!H$21,0,D141-1)-SUM('Actual RAB roll forward'!H169:OFFSET('Actual RAB roll forward'!H169,0,Input!$X$7-1))</f>
        <v>0</v>
      </c>
      <c r="F141" s="284">
        <f ca="1">IF(A10stdlife="N/A","n/a",IF(E141=0,0,A10stdlife+D141-Input!$X$7))</f>
        <v>0</v>
      </c>
      <c r="G141" s="285"/>
      <c r="H141" s="356"/>
      <c r="I141" s="287">
        <f t="shared" si="17"/>
        <v>7</v>
      </c>
      <c r="J141" s="284">
        <f ca="1">OFFSET('Tax value roll forward'!H$49,0,I141-1)-SUM('Tax value roll forward'!H207:OFFSET('Tax value roll forward'!H207,0,Input!$X$7-1))</f>
        <v>0</v>
      </c>
      <c r="K141" s="284">
        <f ca="1">IF(A10taxstdlife="N/A","n/a",IF(J141=0,0,A10taxstdlife+I141-Input!$X$7))</f>
        <v>0</v>
      </c>
      <c r="L141" s="286"/>
      <c r="M141" s="9"/>
      <c r="N141" s="9"/>
      <c r="O141" s="9"/>
      <c r="P141" s="9"/>
      <c r="Q141" s="9"/>
      <c r="R141" s="9"/>
      <c r="S141" s="271"/>
      <c r="T141" s="271"/>
      <c r="U141" s="271"/>
      <c r="V141" s="271"/>
      <c r="W141" s="271"/>
      <c r="X141" s="271"/>
      <c r="Y141" s="271"/>
      <c r="Z141" s="271"/>
    </row>
    <row r="142" spans="1:26" ht="14.45" hidden="1" customHeight="1" outlineLevel="1">
      <c r="A142" s="9"/>
      <c r="B142" s="283"/>
      <c r="C142" s="353"/>
      <c r="D142" s="287">
        <f t="shared" si="16"/>
        <v>8</v>
      </c>
      <c r="E142" s="284">
        <f ca="1">OFFSET('Actual RAB roll forward'!H$21,0,D142-1)-SUM('Actual RAB roll forward'!H170:OFFSET('Actual RAB roll forward'!H170,0,Input!$X$7-1))</f>
        <v>0</v>
      </c>
      <c r="F142" s="284">
        <f ca="1">IF(A10stdlife="N/A","n/a",IF(E142=0,0,A10stdlife+D142-Input!$X$7))</f>
        <v>0</v>
      </c>
      <c r="G142" s="285"/>
      <c r="H142" s="356"/>
      <c r="I142" s="287">
        <f t="shared" si="17"/>
        <v>8</v>
      </c>
      <c r="J142" s="284">
        <f ca="1">OFFSET('Tax value roll forward'!H$49,0,I142-1)-SUM('Tax value roll forward'!H208:OFFSET('Tax value roll forward'!H208,0,Input!$X$7-1))</f>
        <v>0</v>
      </c>
      <c r="K142" s="284">
        <f ca="1">IF(A10taxstdlife="N/A","n/a",IF(J142=0,0,A10taxstdlife+I142-Input!$X$7))</f>
        <v>0</v>
      </c>
      <c r="L142" s="286"/>
      <c r="M142" s="9"/>
      <c r="N142" s="9"/>
      <c r="O142" s="9"/>
      <c r="P142" s="9"/>
      <c r="Q142" s="9"/>
      <c r="R142" s="9"/>
      <c r="S142" s="271"/>
      <c r="T142" s="271"/>
      <c r="U142" s="271"/>
      <c r="V142" s="271"/>
      <c r="W142" s="271"/>
      <c r="X142" s="271"/>
      <c r="Y142" s="271"/>
      <c r="Z142" s="271"/>
    </row>
    <row r="143" spans="1:26" ht="14.45" hidden="1" customHeight="1" outlineLevel="1">
      <c r="A143" s="9"/>
      <c r="B143" s="283"/>
      <c r="C143" s="353"/>
      <c r="D143" s="287">
        <f t="shared" si="16"/>
        <v>9</v>
      </c>
      <c r="E143" s="284">
        <f ca="1">OFFSET('Actual RAB roll forward'!H$21,0,D143-1)-SUM('Actual RAB roll forward'!H171:OFFSET('Actual RAB roll forward'!H171,0,Input!$X$7-1))</f>
        <v>0</v>
      </c>
      <c r="F143" s="284">
        <f ca="1">IF(A10stdlife="N/A","n/a",IF(E143=0,0,A10stdlife+D143-Input!$X$7))</f>
        <v>0</v>
      </c>
      <c r="G143" s="285"/>
      <c r="H143" s="356"/>
      <c r="I143" s="287">
        <f t="shared" si="17"/>
        <v>9</v>
      </c>
      <c r="J143" s="284">
        <f ca="1">OFFSET('Tax value roll forward'!H$49,0,I143-1)-SUM('Tax value roll forward'!H209:OFFSET('Tax value roll forward'!H209,0,Input!$X$7-1))</f>
        <v>0</v>
      </c>
      <c r="K143" s="284">
        <f ca="1">IF(A10taxstdlife="N/A","n/a",IF(J143=0,0,A10taxstdlife+I143-Input!$X$7))</f>
        <v>0</v>
      </c>
      <c r="L143" s="286"/>
      <c r="M143" s="9"/>
      <c r="N143" s="9"/>
      <c r="O143" s="9"/>
      <c r="P143" s="9"/>
      <c r="Q143" s="9"/>
      <c r="R143" s="9"/>
      <c r="S143" s="271"/>
      <c r="T143" s="271"/>
      <c r="U143" s="271"/>
      <c r="V143" s="271"/>
      <c r="W143" s="271"/>
      <c r="X143" s="271"/>
      <c r="Y143" s="271"/>
      <c r="Z143" s="271"/>
    </row>
    <row r="144" spans="1:26" ht="14.45" hidden="1" customHeight="1" outlineLevel="1">
      <c r="A144" s="9"/>
      <c r="B144" s="283"/>
      <c r="C144" s="354"/>
      <c r="D144" s="89">
        <f t="shared" si="16"/>
        <v>10</v>
      </c>
      <c r="E144" s="284">
        <f ca="1">OFFSET('Actual RAB roll forward'!H$21,0,D144-1)-SUM('Actual RAB roll forward'!H172:OFFSET('Actual RAB roll forward'!H172,0,Input!$X$7-1))</f>
        <v>0</v>
      </c>
      <c r="F144" s="284">
        <f ca="1">IF(A10stdlife="N/A","n/a",IF(E144=0,0,A10stdlife+D144-Input!$X$7))</f>
        <v>0</v>
      </c>
      <c r="G144" s="285"/>
      <c r="H144" s="357"/>
      <c r="I144" s="89">
        <f t="shared" si="17"/>
        <v>10</v>
      </c>
      <c r="J144" s="284">
        <f ca="1">OFFSET('Tax value roll forward'!H$49,0,I144-1)-SUM('Tax value roll forward'!H210:OFFSET('Tax value roll forward'!H210,0,Input!$X$7-1))</f>
        <v>0</v>
      </c>
      <c r="K144" s="284">
        <f ca="1">IF(A10taxstdlife="N/A","n/a",IF(J144=0,0,A10taxstdlife+I144-Input!$X$7))</f>
        <v>0</v>
      </c>
      <c r="L144" s="286"/>
      <c r="M144" s="9"/>
      <c r="N144" s="9"/>
      <c r="O144" s="9"/>
      <c r="P144" s="9"/>
      <c r="Q144" s="9"/>
      <c r="R144" s="9"/>
      <c r="S144" s="271"/>
      <c r="T144" s="271"/>
      <c r="U144" s="271"/>
      <c r="V144" s="271"/>
      <c r="W144" s="271"/>
      <c r="X144" s="271"/>
      <c r="Y144" s="271"/>
      <c r="Z144" s="271"/>
    </row>
    <row r="145" spans="1:26" collapsed="1">
      <c r="A145" s="9"/>
      <c r="B145" s="283"/>
      <c r="C145" s="286" t="str">
        <f>B133</f>
        <v>Distribution Transformers</v>
      </c>
      <c r="D145" s="9"/>
      <c r="E145" s="284">
        <f ca="1">SUM(E134:E144)</f>
        <v>640.03720360234729</v>
      </c>
      <c r="F145" s="284">
        <f ca="1">IF(A10remlife="N/A","n/a",IF(E145=0,0,SUMPRODUCT(E134:E144,F134:F144)/E145))</f>
        <v>17.268322155415376</v>
      </c>
      <c r="G145" s="285"/>
      <c r="H145" s="45"/>
      <c r="I145" s="284"/>
      <c r="J145" s="284">
        <f ca="1">SUM(J134:J144)</f>
        <v>408.74456217038869</v>
      </c>
      <c r="K145" s="284">
        <f ca="1">IF(A10taxstdlife="N/A","n/a",IF(J145=0,0,SUMPRODUCT(J134:J144,K134:K144)/J145))</f>
        <v>12.419871570314282</v>
      </c>
      <c r="L145" s="286"/>
      <c r="M145" s="9"/>
      <c r="N145" s="9"/>
      <c r="O145" s="9"/>
      <c r="P145" s="9"/>
      <c r="Q145" s="9"/>
      <c r="R145" s="9"/>
      <c r="S145" s="271"/>
      <c r="T145" s="271"/>
      <c r="U145" s="271"/>
      <c r="V145" s="271"/>
      <c r="W145" s="271"/>
      <c r="X145" s="271"/>
      <c r="Y145" s="271"/>
      <c r="Z145" s="271"/>
    </row>
    <row r="146" spans="1:26" hidden="1" outlineLevel="1">
      <c r="A146" s="9"/>
      <c r="B146" s="283"/>
      <c r="C146" s="295"/>
      <c r="D146" s="9"/>
      <c r="E146" s="284"/>
      <c r="F146" s="284"/>
      <c r="G146" s="285"/>
      <c r="H146" s="284"/>
      <c r="I146" s="284"/>
      <c r="J146" s="293"/>
      <c r="K146" s="289"/>
      <c r="L146" s="286"/>
      <c r="M146" s="9"/>
      <c r="N146" s="9"/>
      <c r="O146" s="9"/>
      <c r="P146" s="9"/>
      <c r="Q146" s="9"/>
      <c r="R146" s="9"/>
      <c r="S146" s="271"/>
      <c r="T146" s="271"/>
      <c r="U146" s="271"/>
      <c r="V146" s="271"/>
      <c r="W146" s="271"/>
      <c r="X146" s="271"/>
      <c r="Y146" s="271"/>
      <c r="Z146" s="271"/>
    </row>
    <row r="147" spans="1:26" hidden="1" outlineLevel="1">
      <c r="A147" s="9"/>
      <c r="B147" s="281" t="str">
        <f>Asset11</f>
        <v>Low Voltage Services</v>
      </c>
      <c r="C147" s="9"/>
      <c r="D147" s="9"/>
      <c r="E147" s="296"/>
      <c r="F147" s="296"/>
      <c r="G147" s="285"/>
      <c r="H147" s="284"/>
      <c r="I147" s="284"/>
      <c r="J147" s="293"/>
      <c r="K147" s="289"/>
      <c r="L147" s="286"/>
      <c r="M147" s="9"/>
      <c r="N147" s="9"/>
      <c r="O147" s="9"/>
      <c r="P147" s="9"/>
      <c r="Q147" s="9"/>
      <c r="R147" s="9"/>
      <c r="S147" s="271"/>
      <c r="T147" s="271"/>
      <c r="U147" s="271"/>
      <c r="V147" s="271"/>
      <c r="W147" s="271"/>
      <c r="X147" s="271"/>
      <c r="Y147" s="271"/>
      <c r="Z147" s="271"/>
    </row>
    <row r="148" spans="1:26" ht="12.75" hidden="1" customHeight="1" outlineLevel="1">
      <c r="A148" s="9"/>
      <c r="B148" s="283"/>
      <c r="C148" s="358" t="str">
        <f>C134</f>
        <v>Opening RAB</v>
      </c>
      <c r="D148" s="359"/>
      <c r="E148" s="284">
        <f ca="1">A11value-SUM('Actual RAB roll forward'!H174:OFFSET('Actual RAB roll forward'!H174,0,Input!$X$7-1))</f>
        <v>0</v>
      </c>
      <c r="F148" s="284">
        <f>IF(A11remlife="N/A","n/a",A11remlife-Input!$X$7)</f>
        <v>-0.94103753691861503</v>
      </c>
      <c r="G148" s="285"/>
      <c r="H148" s="360" t="str">
        <f>H134</f>
        <v>Initial Asset Base</v>
      </c>
      <c r="I148" s="361"/>
      <c r="J148" s="284">
        <f ca="1">(A11taxvalue+'Tax value roll forward'!G50)-SUM('Tax value roll forward'!G212:OFFSET('Tax value roll forward'!G212,2,Input!$X$7))</f>
        <v>71.026335086521584</v>
      </c>
      <c r="K148" s="284">
        <f>IF(A11taxremlife="N/A","n/a",A11taxremlife-Input!$X$7-1)</f>
        <v>3.4824614619781986</v>
      </c>
      <c r="L148" s="286"/>
      <c r="M148" s="9"/>
      <c r="N148" s="9"/>
      <c r="O148" s="9"/>
      <c r="P148" s="9"/>
      <c r="Q148" s="9"/>
      <c r="R148" s="9"/>
      <c r="S148" s="271"/>
      <c r="T148" s="271"/>
      <c r="U148" s="271"/>
      <c r="V148" s="271"/>
      <c r="W148" s="271"/>
      <c r="X148" s="271"/>
      <c r="Y148" s="271"/>
      <c r="Z148" s="271"/>
    </row>
    <row r="149" spans="1:26" ht="14.45" hidden="1" customHeight="1" outlineLevel="1">
      <c r="A149" s="9"/>
      <c r="B149" s="283"/>
      <c r="C149" s="352" t="str">
        <f>C135</f>
        <v>Capex in year</v>
      </c>
      <c r="D149" s="287">
        <f>D135</f>
        <v>1</v>
      </c>
      <c r="E149" s="284">
        <f ca="1">OFFSET('Actual RAB roll forward'!H$22,0,D149-1)-SUM('Actual RAB roll forward'!H176:OFFSET('Actual RAB roll forward'!H176,0,Input!$X$7-1))</f>
        <v>0</v>
      </c>
      <c r="F149" s="284">
        <f ca="1">IF(A11stdlife="N/A","n/a",IF(E149=0,0,A11stdlife+D149-Input!$X$7))</f>
        <v>0</v>
      </c>
      <c r="G149" s="285"/>
      <c r="H149" s="355" t="str">
        <f>H135</f>
        <v>Capex in year</v>
      </c>
      <c r="I149" s="287">
        <f>I135</f>
        <v>1</v>
      </c>
      <c r="J149" s="284">
        <f ca="1">OFFSET('Tax value roll forward'!H$50,0,I149-1)-SUM('Tax value roll forward'!H215:OFFSET('Tax value roll forward'!H215,0,Input!$X$7-1))</f>
        <v>0</v>
      </c>
      <c r="K149" s="284">
        <f ca="1">IF(A11taxstdlife="N/A","n/a",IF(J149=0,0,A11taxstdlife+I149-Input!$X$7))</f>
        <v>0</v>
      </c>
      <c r="L149" s="286"/>
      <c r="M149" s="9"/>
      <c r="N149" s="9"/>
      <c r="O149" s="9"/>
      <c r="P149" s="9"/>
      <c r="Q149" s="9"/>
      <c r="R149" s="9"/>
      <c r="S149" s="271"/>
      <c r="T149" s="271"/>
      <c r="U149" s="271"/>
      <c r="V149" s="271"/>
      <c r="W149" s="271"/>
      <c r="X149" s="271"/>
      <c r="Y149" s="271"/>
      <c r="Z149" s="271"/>
    </row>
    <row r="150" spans="1:26" ht="14.45" hidden="1" customHeight="1" outlineLevel="1">
      <c r="A150" s="9"/>
      <c r="B150" s="283"/>
      <c r="C150" s="353"/>
      <c r="D150" s="287">
        <f t="shared" ref="D150:D158" si="18">D136</f>
        <v>2</v>
      </c>
      <c r="E150" s="284">
        <f ca="1">OFFSET('Actual RAB roll forward'!H$22,0,D150-1)-SUM('Actual RAB roll forward'!H177:OFFSET('Actual RAB roll forward'!H177,0,Input!$X$7-1))</f>
        <v>0</v>
      </c>
      <c r="F150" s="284">
        <f ca="1">IF(A11stdlife="N/A","n/a",IF(E150=0,0,A11stdlife+D150-Input!$X$7))</f>
        <v>0</v>
      </c>
      <c r="G150" s="285"/>
      <c r="H150" s="356"/>
      <c r="I150" s="287">
        <f t="shared" ref="I150:I158" si="19">I136</f>
        <v>2</v>
      </c>
      <c r="J150" s="284">
        <f ca="1">OFFSET('Tax value roll forward'!H$50,0,I150-1)-SUM('Tax value roll forward'!H216:OFFSET('Tax value roll forward'!H216,0,Input!$X$7-1))</f>
        <v>0</v>
      </c>
      <c r="K150" s="284">
        <f ca="1">IF(A11taxstdlife="N/A","n/a",IF(J150=0,0,A11taxstdlife+I150-Input!$X$7))</f>
        <v>0</v>
      </c>
      <c r="L150" s="286"/>
      <c r="M150" s="9"/>
      <c r="N150" s="9"/>
      <c r="O150" s="9"/>
      <c r="P150" s="9"/>
      <c r="Q150" s="9"/>
      <c r="R150" s="9"/>
      <c r="S150" s="271"/>
      <c r="T150" s="271"/>
      <c r="U150" s="271"/>
      <c r="V150" s="271"/>
      <c r="W150" s="271"/>
      <c r="X150" s="271"/>
      <c r="Y150" s="271"/>
      <c r="Z150" s="271"/>
    </row>
    <row r="151" spans="1:26" ht="14.45" hidden="1" customHeight="1" outlineLevel="1">
      <c r="A151" s="9"/>
      <c r="B151" s="283"/>
      <c r="C151" s="353"/>
      <c r="D151" s="287">
        <f t="shared" si="18"/>
        <v>3</v>
      </c>
      <c r="E151" s="284">
        <f ca="1">OFFSET('Actual RAB roll forward'!H$22,0,D151-1)-SUM('Actual RAB roll forward'!H178:OFFSET('Actual RAB roll forward'!H178,0,Input!$X$7-1))</f>
        <v>0</v>
      </c>
      <c r="F151" s="284">
        <f ca="1">IF(A11stdlife="N/A","n/a",IF(E151=0,0,A11stdlife+D151-Input!$X$7))</f>
        <v>0</v>
      </c>
      <c r="G151" s="285"/>
      <c r="H151" s="356"/>
      <c r="I151" s="287">
        <f t="shared" si="19"/>
        <v>3</v>
      </c>
      <c r="J151" s="284">
        <f ca="1">OFFSET('Tax value roll forward'!H$50,0,I151-1)-SUM('Tax value roll forward'!H217:OFFSET('Tax value roll forward'!H217,0,Input!$X$7-1))</f>
        <v>0</v>
      </c>
      <c r="K151" s="284">
        <f ca="1">IF(A11taxstdlife="N/A","n/a",IF(J151=0,0,A11taxstdlife+I151-Input!$X$7))</f>
        <v>0</v>
      </c>
      <c r="L151" s="286"/>
      <c r="M151" s="9"/>
      <c r="N151" s="9"/>
      <c r="O151" s="9"/>
      <c r="P151" s="9"/>
      <c r="Q151" s="9"/>
      <c r="R151" s="9"/>
      <c r="S151" s="271"/>
      <c r="T151" s="271"/>
      <c r="U151" s="271"/>
      <c r="V151" s="271"/>
      <c r="W151" s="271"/>
      <c r="X151" s="271"/>
      <c r="Y151" s="271"/>
      <c r="Z151" s="271"/>
    </row>
    <row r="152" spans="1:26" ht="14.45" hidden="1" customHeight="1" outlineLevel="1">
      <c r="A152" s="9"/>
      <c r="B152" s="283"/>
      <c r="C152" s="353"/>
      <c r="D152" s="287">
        <f t="shared" si="18"/>
        <v>4</v>
      </c>
      <c r="E152" s="284">
        <f ca="1">OFFSET('Actual RAB roll forward'!H$22,0,D152-1)-SUM('Actual RAB roll forward'!H179:OFFSET('Actual RAB roll forward'!H179,0,Input!$X$7-1))</f>
        <v>0</v>
      </c>
      <c r="F152" s="284">
        <f ca="1">IF(A11stdlife="N/A","n/a",IF(E152=0,0,A11stdlife+D152-Input!$X$7))</f>
        <v>0</v>
      </c>
      <c r="G152" s="285"/>
      <c r="H152" s="356"/>
      <c r="I152" s="287">
        <f t="shared" si="19"/>
        <v>4</v>
      </c>
      <c r="J152" s="284">
        <f ca="1">OFFSET('Tax value roll forward'!H$50,0,I152-1)-SUM('Tax value roll forward'!H218:OFFSET('Tax value roll forward'!H218,0,Input!$X$7-1))</f>
        <v>0</v>
      </c>
      <c r="K152" s="284">
        <f ca="1">IF(A11taxstdlife="N/A","n/a",IF(J152=0,0,A11taxstdlife+I152-Input!$X$7))</f>
        <v>0</v>
      </c>
      <c r="L152" s="286"/>
      <c r="M152" s="9"/>
      <c r="N152" s="9"/>
      <c r="O152" s="9"/>
      <c r="P152" s="9"/>
      <c r="Q152" s="9"/>
      <c r="R152" s="9"/>
      <c r="S152" s="271"/>
      <c r="T152" s="271"/>
      <c r="U152" s="271"/>
      <c r="V152" s="271"/>
      <c r="W152" s="271"/>
      <c r="X152" s="271"/>
      <c r="Y152" s="271"/>
      <c r="Z152" s="271"/>
    </row>
    <row r="153" spans="1:26" ht="14.45" hidden="1" customHeight="1" outlineLevel="1">
      <c r="A153" s="9"/>
      <c r="B153" s="283"/>
      <c r="C153" s="353"/>
      <c r="D153" s="287">
        <f t="shared" si="18"/>
        <v>5</v>
      </c>
      <c r="E153" s="284">
        <f ca="1">OFFSET('Actual RAB roll forward'!H$22,0,D153-1)-SUM('Actual RAB roll forward'!H180:OFFSET('Actual RAB roll forward'!H180,0,Input!$X$7-1))</f>
        <v>0</v>
      </c>
      <c r="F153" s="284">
        <f ca="1">IF(A11stdlife="N/A","n/a",IF(E153=0,0,A11stdlife+D153-Input!$X$7))</f>
        <v>0</v>
      </c>
      <c r="G153" s="285"/>
      <c r="H153" s="356"/>
      <c r="I153" s="287">
        <f t="shared" si="19"/>
        <v>5</v>
      </c>
      <c r="J153" s="284">
        <f ca="1">OFFSET('Tax value roll forward'!H$50,0,I153-1)-SUM('Tax value roll forward'!H219:OFFSET('Tax value roll forward'!H219,0,Input!$X$7-1))</f>
        <v>0</v>
      </c>
      <c r="K153" s="284">
        <f ca="1">IF(A11taxstdlife="N/A","n/a",IF(J153=0,0,A11taxstdlife+I153-Input!$X$7))</f>
        <v>0</v>
      </c>
      <c r="L153" s="286"/>
      <c r="M153" s="9"/>
      <c r="N153" s="9"/>
      <c r="O153" s="9"/>
      <c r="P153" s="9"/>
      <c r="Q153" s="9"/>
      <c r="R153" s="9"/>
      <c r="S153" s="271"/>
      <c r="T153" s="271"/>
      <c r="U153" s="271"/>
      <c r="V153" s="271"/>
      <c r="W153" s="271"/>
      <c r="X153" s="271"/>
      <c r="Y153" s="271"/>
      <c r="Z153" s="271"/>
    </row>
    <row r="154" spans="1:26" ht="14.45" hidden="1" customHeight="1" outlineLevel="1">
      <c r="A154" s="9"/>
      <c r="B154" s="283"/>
      <c r="C154" s="353"/>
      <c r="D154" s="287">
        <f t="shared" si="18"/>
        <v>6</v>
      </c>
      <c r="E154" s="284">
        <f ca="1">OFFSET('Actual RAB roll forward'!H$22,0,D154-1)-SUM('Actual RAB roll forward'!H181:OFFSET('Actual RAB roll forward'!H181,0,Input!$X$7-1))</f>
        <v>0</v>
      </c>
      <c r="F154" s="284">
        <f ca="1">IF(A11stdlife="N/A","n/a",IF(E154=0,0,A11stdlife+D154-Input!$X$7))</f>
        <v>0</v>
      </c>
      <c r="G154" s="285"/>
      <c r="H154" s="356"/>
      <c r="I154" s="287">
        <f t="shared" si="19"/>
        <v>6</v>
      </c>
      <c r="J154" s="284">
        <f ca="1">OFFSET('Tax value roll forward'!H$50,0,I154-1)-SUM('Tax value roll forward'!H220:OFFSET('Tax value roll forward'!H220,0,Input!$X$7-1))</f>
        <v>0</v>
      </c>
      <c r="K154" s="284">
        <f ca="1">IF(A11taxstdlife="N/A","n/a",IF(J154=0,0,A11taxstdlife+I154-Input!$X$7))</f>
        <v>0</v>
      </c>
      <c r="L154" s="286"/>
      <c r="M154" s="9"/>
      <c r="N154" s="9"/>
      <c r="O154" s="9"/>
      <c r="P154" s="9"/>
      <c r="Q154" s="9"/>
      <c r="R154" s="9"/>
      <c r="S154" s="271"/>
      <c r="T154" s="271"/>
      <c r="U154" s="271"/>
      <c r="V154" s="271"/>
      <c r="W154" s="271"/>
      <c r="X154" s="271"/>
      <c r="Y154" s="271"/>
      <c r="Z154" s="271"/>
    </row>
    <row r="155" spans="1:26" ht="14.45" hidden="1" customHeight="1" outlineLevel="1">
      <c r="A155" s="9"/>
      <c r="B155" s="283"/>
      <c r="C155" s="353"/>
      <c r="D155" s="287">
        <f t="shared" si="18"/>
        <v>7</v>
      </c>
      <c r="E155" s="284">
        <f ca="1">OFFSET('Actual RAB roll forward'!H$22,0,D155-1)-SUM('Actual RAB roll forward'!H182:OFFSET('Actual RAB roll forward'!H182,0,Input!$X$7-1))</f>
        <v>0</v>
      </c>
      <c r="F155" s="284">
        <f ca="1">IF(A11stdlife="N/A","n/a",IF(E155=0,0,A11stdlife+D155-Input!$X$7))</f>
        <v>0</v>
      </c>
      <c r="G155" s="285"/>
      <c r="H155" s="356"/>
      <c r="I155" s="287">
        <f t="shared" si="19"/>
        <v>7</v>
      </c>
      <c r="J155" s="284">
        <f ca="1">OFFSET('Tax value roll forward'!H$50,0,I155-1)-SUM('Tax value roll forward'!H221:OFFSET('Tax value roll forward'!H221,0,Input!$X$7-1))</f>
        <v>0</v>
      </c>
      <c r="K155" s="284">
        <f ca="1">IF(A11taxstdlife="N/A","n/a",IF(J155=0,0,A11taxstdlife+I155-Input!$X$7))</f>
        <v>0</v>
      </c>
      <c r="L155" s="286"/>
      <c r="M155" s="9"/>
      <c r="N155" s="9"/>
      <c r="O155" s="9"/>
      <c r="P155" s="9"/>
      <c r="Q155" s="9"/>
      <c r="R155" s="9"/>
      <c r="S155" s="271"/>
      <c r="T155" s="271"/>
      <c r="U155" s="271"/>
      <c r="V155" s="271"/>
      <c r="W155" s="271"/>
      <c r="X155" s="271"/>
      <c r="Y155" s="271"/>
      <c r="Z155" s="271"/>
    </row>
    <row r="156" spans="1:26" ht="14.45" hidden="1" customHeight="1" outlineLevel="1">
      <c r="A156" s="9"/>
      <c r="B156" s="283"/>
      <c r="C156" s="353"/>
      <c r="D156" s="287">
        <f t="shared" si="18"/>
        <v>8</v>
      </c>
      <c r="E156" s="284">
        <f ca="1">OFFSET('Actual RAB roll forward'!H$22,0,D156-1)-SUM('Actual RAB roll forward'!H183:OFFSET('Actual RAB roll forward'!H183,0,Input!$X$7-1))</f>
        <v>0</v>
      </c>
      <c r="F156" s="284">
        <f ca="1">IF(A11stdlife="N/A","n/a",IF(E156=0,0,A11stdlife+D156-Input!$X$7))</f>
        <v>0</v>
      </c>
      <c r="G156" s="285"/>
      <c r="H156" s="356"/>
      <c r="I156" s="287">
        <f t="shared" si="19"/>
        <v>8</v>
      </c>
      <c r="J156" s="284">
        <f ca="1">OFFSET('Tax value roll forward'!H$50,0,I156-1)-SUM('Tax value roll forward'!H222:OFFSET('Tax value roll forward'!H222,0,Input!$X$7-1))</f>
        <v>0</v>
      </c>
      <c r="K156" s="284">
        <f ca="1">IF(A11taxstdlife="N/A","n/a",IF(J156=0,0,A11taxstdlife+I156-Input!$X$7))</f>
        <v>0</v>
      </c>
      <c r="L156" s="286"/>
      <c r="M156" s="9"/>
      <c r="N156" s="9"/>
      <c r="O156" s="9"/>
      <c r="P156" s="9"/>
      <c r="Q156" s="9"/>
      <c r="R156" s="9"/>
      <c r="S156" s="271"/>
      <c r="T156" s="271"/>
      <c r="U156" s="271"/>
      <c r="V156" s="271"/>
      <c r="W156" s="271"/>
      <c r="X156" s="271"/>
      <c r="Y156" s="271"/>
      <c r="Z156" s="271"/>
    </row>
    <row r="157" spans="1:26" ht="14.45" hidden="1" customHeight="1" outlineLevel="1">
      <c r="A157" s="9"/>
      <c r="B157" s="283"/>
      <c r="C157" s="353"/>
      <c r="D157" s="287">
        <f t="shared" si="18"/>
        <v>9</v>
      </c>
      <c r="E157" s="284">
        <f ca="1">OFFSET('Actual RAB roll forward'!H$22,0,D157-1)-SUM('Actual RAB roll forward'!H184:OFFSET('Actual RAB roll forward'!H184,0,Input!$X$7-1))</f>
        <v>0</v>
      </c>
      <c r="F157" s="284">
        <f ca="1">IF(A11stdlife="N/A","n/a",IF(E157=0,0,A11stdlife+D157-Input!$X$7))</f>
        <v>0</v>
      </c>
      <c r="G157" s="285"/>
      <c r="H157" s="356"/>
      <c r="I157" s="287">
        <f t="shared" si="19"/>
        <v>9</v>
      </c>
      <c r="J157" s="284">
        <f ca="1">OFFSET('Tax value roll forward'!H$50,0,I157-1)-SUM('Tax value roll forward'!H223:OFFSET('Tax value roll forward'!H223,0,Input!$X$7-1))</f>
        <v>0</v>
      </c>
      <c r="K157" s="284">
        <f ca="1">IF(A11taxstdlife="N/A","n/a",IF(J157=0,0,A11taxstdlife+I157-Input!$X$7))</f>
        <v>0</v>
      </c>
      <c r="L157" s="286"/>
      <c r="M157" s="9"/>
      <c r="N157" s="9"/>
      <c r="O157" s="9"/>
      <c r="P157" s="9"/>
      <c r="Q157" s="9"/>
      <c r="R157" s="9"/>
      <c r="S157" s="271"/>
      <c r="T157" s="271"/>
      <c r="U157" s="271"/>
      <c r="V157" s="271"/>
      <c r="W157" s="271"/>
      <c r="X157" s="271"/>
      <c r="Y157" s="271"/>
      <c r="Z157" s="271"/>
    </row>
    <row r="158" spans="1:26" ht="14.45" hidden="1" customHeight="1" outlineLevel="1">
      <c r="A158" s="9"/>
      <c r="B158" s="283"/>
      <c r="C158" s="354"/>
      <c r="D158" s="89">
        <f t="shared" si="18"/>
        <v>10</v>
      </c>
      <c r="E158" s="284">
        <f ca="1">OFFSET('Actual RAB roll forward'!H$22,0,D158-1)-SUM('Actual RAB roll forward'!H185:OFFSET('Actual RAB roll forward'!H185,0,Input!$X$7-1))</f>
        <v>0</v>
      </c>
      <c r="F158" s="284">
        <f ca="1">IF(A11stdlife="N/A","n/a",IF(E158=0,0,A11stdlife+D158-Input!$X$7))</f>
        <v>0</v>
      </c>
      <c r="G158" s="285"/>
      <c r="H158" s="357"/>
      <c r="I158" s="89">
        <f t="shared" si="19"/>
        <v>10</v>
      </c>
      <c r="J158" s="284">
        <f ca="1">OFFSET('Tax value roll forward'!H$50,0,I158-1)-SUM('Tax value roll forward'!H224:OFFSET('Tax value roll forward'!H224,0,Input!$X$7-1))</f>
        <v>0</v>
      </c>
      <c r="K158" s="284">
        <f ca="1">IF(A11taxstdlife="N/A","n/a",IF(J158=0,0,A11taxstdlife+I158-Input!$X$7))</f>
        <v>0</v>
      </c>
      <c r="L158" s="286"/>
      <c r="M158" s="9"/>
      <c r="N158" s="9"/>
      <c r="O158" s="9"/>
      <c r="P158" s="9"/>
      <c r="Q158" s="9"/>
      <c r="R158" s="9"/>
      <c r="S158" s="271"/>
      <c r="T158" s="271"/>
      <c r="U158" s="271"/>
      <c r="V158" s="271"/>
      <c r="W158" s="271"/>
      <c r="X158" s="271"/>
      <c r="Y158" s="271"/>
      <c r="Z158" s="271"/>
    </row>
    <row r="159" spans="1:26" collapsed="1">
      <c r="A159" s="9"/>
      <c r="B159" s="283"/>
      <c r="C159" s="286" t="str">
        <f>B147</f>
        <v>Low Voltage Services</v>
      </c>
      <c r="D159" s="9"/>
      <c r="E159" s="284">
        <f ca="1">SUM(E148:E158)</f>
        <v>0</v>
      </c>
      <c r="F159" s="284">
        <f ca="1">IF(A11remlife="N/A","n/a",IF(E159=0,0,SUMPRODUCT(E148:E158,F148:F158)/E159))</f>
        <v>0</v>
      </c>
      <c r="G159" s="285"/>
      <c r="H159" s="45"/>
      <c r="I159" s="284"/>
      <c r="J159" s="284">
        <f ca="1">SUM(J148:J158)</f>
        <v>71.026335086521584</v>
      </c>
      <c r="K159" s="284">
        <f ca="1">IF(A11taxstdlife="N/A","n/a",IF(J159=0,0,SUMPRODUCT(J148:J158,K148:K158)/J159))</f>
        <v>3.4824614619781986</v>
      </c>
      <c r="L159" s="286"/>
      <c r="M159" s="9"/>
      <c r="N159" s="9"/>
      <c r="O159" s="9"/>
      <c r="P159" s="9"/>
      <c r="Q159" s="9"/>
      <c r="R159" s="9"/>
      <c r="S159" s="271"/>
      <c r="T159" s="271"/>
      <c r="U159" s="271"/>
      <c r="V159" s="271"/>
      <c r="W159" s="271"/>
      <c r="X159" s="271"/>
      <c r="Y159" s="271"/>
      <c r="Z159" s="271"/>
    </row>
    <row r="160" spans="1:26" hidden="1" outlineLevel="1">
      <c r="A160" s="9"/>
      <c r="B160" s="283"/>
      <c r="C160" s="295"/>
      <c r="D160" s="9"/>
      <c r="E160" s="284"/>
      <c r="F160" s="284"/>
      <c r="G160" s="285"/>
      <c r="H160" s="284"/>
      <c r="I160" s="284"/>
      <c r="J160" s="293"/>
      <c r="K160" s="289"/>
      <c r="L160" s="286"/>
      <c r="M160" s="9"/>
      <c r="N160" s="9"/>
      <c r="O160" s="9"/>
      <c r="P160" s="9"/>
      <c r="Q160" s="9"/>
      <c r="R160" s="9"/>
      <c r="S160" s="271"/>
      <c r="T160" s="271"/>
      <c r="U160" s="271"/>
      <c r="V160" s="271"/>
      <c r="W160" s="271"/>
      <c r="X160" s="271"/>
      <c r="Y160" s="271"/>
      <c r="Z160" s="271"/>
    </row>
    <row r="161" spans="1:26" hidden="1" outlineLevel="1">
      <c r="A161" s="9"/>
      <c r="B161" s="281" t="str">
        <f>Asset12</f>
        <v>Metering</v>
      </c>
      <c r="C161" s="9"/>
      <c r="D161" s="9"/>
      <c r="E161" s="296"/>
      <c r="F161" s="296"/>
      <c r="G161" s="285"/>
      <c r="H161" s="284"/>
      <c r="I161" s="284"/>
      <c r="J161" s="293"/>
      <c r="K161" s="289"/>
      <c r="L161" s="286"/>
      <c r="M161" s="9"/>
      <c r="N161" s="9"/>
      <c r="O161" s="9"/>
      <c r="P161" s="9"/>
      <c r="Q161" s="9"/>
      <c r="R161" s="9"/>
      <c r="S161" s="271"/>
      <c r="T161" s="271"/>
      <c r="U161" s="271"/>
      <c r="V161" s="271"/>
      <c r="W161" s="271"/>
      <c r="X161" s="271"/>
      <c r="Y161" s="271"/>
      <c r="Z161" s="271"/>
    </row>
    <row r="162" spans="1:26" ht="12.75" hidden="1" customHeight="1" outlineLevel="1">
      <c r="A162" s="9"/>
      <c r="B162" s="283"/>
      <c r="C162" s="358" t="str">
        <f>C148</f>
        <v>Opening RAB</v>
      </c>
      <c r="D162" s="359"/>
      <c r="E162" s="284">
        <f ca="1">A12value-SUM('Actual RAB roll forward'!H187:OFFSET('Actual RAB roll forward'!H187,0,Input!$X$7-1))</f>
        <v>0.14246667590433049</v>
      </c>
      <c r="F162" s="284">
        <f>IF(A12remlife="N/A","n/a",A12remlife-Input!$X$7)</f>
        <v>1.0815436699544101E-2</v>
      </c>
      <c r="G162" s="285"/>
      <c r="H162" s="360" t="str">
        <f>H148</f>
        <v>Initial Asset Base</v>
      </c>
      <c r="I162" s="361"/>
      <c r="J162" s="284">
        <f ca="1">(A12taxvalue+'Tax value roll forward'!G51)-SUM('Tax value roll forward'!G226:OFFSET('Tax value roll forward'!G226,2,Input!$X$7))</f>
        <v>54.214116576952655</v>
      </c>
      <c r="K162" s="284">
        <f>IF(A12taxremlife="N/A","n/a",A12taxremlife-Input!$X$7-1)</f>
        <v>18.264772218594437</v>
      </c>
      <c r="L162" s="286"/>
      <c r="M162" s="9"/>
      <c r="N162" s="9"/>
      <c r="O162" s="9"/>
      <c r="P162" s="9"/>
      <c r="Q162" s="9"/>
      <c r="R162" s="9"/>
      <c r="S162" s="271"/>
      <c r="T162" s="271"/>
      <c r="U162" s="271"/>
      <c r="V162" s="271"/>
      <c r="W162" s="271"/>
      <c r="X162" s="271"/>
      <c r="Y162" s="271"/>
      <c r="Z162" s="271"/>
    </row>
    <row r="163" spans="1:26" ht="14.45" hidden="1" customHeight="1" outlineLevel="1">
      <c r="A163" s="9"/>
      <c r="B163" s="283"/>
      <c r="C163" s="352" t="str">
        <f>C149</f>
        <v>Capex in year</v>
      </c>
      <c r="D163" s="287">
        <f>D149</f>
        <v>1</v>
      </c>
      <c r="E163" s="284">
        <f ca="1">OFFSET('Actual RAB roll forward'!H$23,0,D163-1)-SUM('Actual RAB roll forward'!H189:OFFSET('Actual RAB roll forward'!H189,0,Input!$X$7-1))</f>
        <v>0</v>
      </c>
      <c r="F163" s="284">
        <f ca="1">IF(A12stdlife="N/A","n/a",IF(E163=0,0,A12stdlife+D163-Input!$X$7))</f>
        <v>0</v>
      </c>
      <c r="G163" s="285"/>
      <c r="H163" s="355" t="str">
        <f>H149</f>
        <v>Capex in year</v>
      </c>
      <c r="I163" s="287">
        <f>I149</f>
        <v>1</v>
      </c>
      <c r="J163" s="284">
        <f ca="1">OFFSET('Tax value roll forward'!H$51,0,I163-1)-SUM('Tax value roll forward'!H229:OFFSET('Tax value roll forward'!H229,0,Input!$X$7-1))</f>
        <v>0</v>
      </c>
      <c r="K163" s="284">
        <f ca="1">IF(A12taxstdlife="N/A","n/a",IF(J163=0,0,A12taxstdlife+I163-Input!$X$7))</f>
        <v>0</v>
      </c>
      <c r="L163" s="286"/>
      <c r="M163" s="9"/>
      <c r="N163" s="9"/>
      <c r="O163" s="9"/>
      <c r="P163" s="9"/>
      <c r="Q163" s="9"/>
      <c r="R163" s="9"/>
      <c r="S163" s="271"/>
      <c r="T163" s="271"/>
      <c r="U163" s="271"/>
      <c r="V163" s="271"/>
      <c r="W163" s="271"/>
      <c r="X163" s="271"/>
      <c r="Y163" s="271"/>
      <c r="Z163" s="271"/>
    </row>
    <row r="164" spans="1:26" ht="14.45" hidden="1" customHeight="1" outlineLevel="1">
      <c r="A164" s="9"/>
      <c r="B164" s="283"/>
      <c r="C164" s="353"/>
      <c r="D164" s="287">
        <f t="shared" ref="D164:D172" si="20">D150</f>
        <v>2</v>
      </c>
      <c r="E164" s="284">
        <f ca="1">OFFSET('Actual RAB roll forward'!H$23,0,D164-1)-SUM('Actual RAB roll forward'!H190:OFFSET('Actual RAB roll forward'!H190,0,Input!$X$7-1))</f>
        <v>0</v>
      </c>
      <c r="F164" s="284">
        <f ca="1">IF(A12stdlife="N/A","n/a",IF(E164=0,0,A12stdlife+D164-Input!$X$7))</f>
        <v>0</v>
      </c>
      <c r="G164" s="285"/>
      <c r="H164" s="356"/>
      <c r="I164" s="287">
        <f t="shared" ref="I164:I172" si="21">I150</f>
        <v>2</v>
      </c>
      <c r="J164" s="284">
        <f ca="1">OFFSET('Tax value roll forward'!H$51,0,I164-1)-SUM('Tax value roll forward'!H230:OFFSET('Tax value roll forward'!H230,0,Input!$X$7-1))</f>
        <v>0</v>
      </c>
      <c r="K164" s="284">
        <f ca="1">IF(A12taxstdlife="N/A","n/a",IF(J164=0,0,A12taxstdlife+I164-Input!$X$7))</f>
        <v>0</v>
      </c>
      <c r="L164" s="286"/>
      <c r="M164" s="9"/>
      <c r="N164" s="9"/>
      <c r="O164" s="9"/>
      <c r="P164" s="9"/>
      <c r="Q164" s="9"/>
      <c r="R164" s="9"/>
      <c r="S164" s="271"/>
      <c r="T164" s="271"/>
      <c r="U164" s="271"/>
      <c r="V164" s="271"/>
      <c r="W164" s="271"/>
      <c r="X164" s="271"/>
      <c r="Y164" s="271"/>
      <c r="Z164" s="271"/>
    </row>
    <row r="165" spans="1:26" ht="14.45" hidden="1" customHeight="1" outlineLevel="1">
      <c r="A165" s="9"/>
      <c r="B165" s="283"/>
      <c r="C165" s="353"/>
      <c r="D165" s="287">
        <f t="shared" si="20"/>
        <v>3</v>
      </c>
      <c r="E165" s="284">
        <f ca="1">OFFSET('Actual RAB roll forward'!H$23,0,D165-1)-SUM('Actual RAB roll forward'!H191:OFFSET('Actual RAB roll forward'!H191,0,Input!$X$7-1))</f>
        <v>0</v>
      </c>
      <c r="F165" s="284">
        <f ca="1">IF(A12stdlife="N/A","n/a",IF(E165=0,0,A12stdlife+D165-Input!$X$7))</f>
        <v>0</v>
      </c>
      <c r="G165" s="285"/>
      <c r="H165" s="356"/>
      <c r="I165" s="287">
        <f t="shared" si="21"/>
        <v>3</v>
      </c>
      <c r="J165" s="284">
        <f ca="1">OFFSET('Tax value roll forward'!H$51,0,I165-1)-SUM('Tax value roll forward'!H231:OFFSET('Tax value roll forward'!H231,0,Input!$X$7-1))</f>
        <v>0</v>
      </c>
      <c r="K165" s="284">
        <f ca="1">IF(A12taxstdlife="N/A","n/a",IF(J165=0,0,A12taxstdlife+I165-Input!$X$7))</f>
        <v>0</v>
      </c>
      <c r="L165" s="286"/>
      <c r="M165" s="9"/>
      <c r="N165" s="9"/>
      <c r="O165" s="9"/>
      <c r="P165" s="9"/>
      <c r="Q165" s="9"/>
      <c r="R165" s="9"/>
      <c r="S165" s="271"/>
      <c r="T165" s="271"/>
      <c r="U165" s="271"/>
      <c r="V165" s="271"/>
      <c r="W165" s="271"/>
      <c r="X165" s="271"/>
      <c r="Y165" s="271"/>
      <c r="Z165" s="271"/>
    </row>
    <row r="166" spans="1:26" ht="14.45" hidden="1" customHeight="1" outlineLevel="1">
      <c r="A166" s="9"/>
      <c r="B166" s="283"/>
      <c r="C166" s="353"/>
      <c r="D166" s="287">
        <f t="shared" si="20"/>
        <v>4</v>
      </c>
      <c r="E166" s="284">
        <f ca="1">OFFSET('Actual RAB roll forward'!H$23,0,D166-1)-SUM('Actual RAB roll forward'!H192:OFFSET('Actual RAB roll forward'!H192,0,Input!$X$7-1))</f>
        <v>0</v>
      </c>
      <c r="F166" s="284">
        <f ca="1">IF(A12stdlife="N/A","n/a",IF(E166=0,0,A12stdlife+D166-Input!$X$7))</f>
        <v>0</v>
      </c>
      <c r="G166" s="285"/>
      <c r="H166" s="356"/>
      <c r="I166" s="287">
        <f t="shared" si="21"/>
        <v>4</v>
      </c>
      <c r="J166" s="284">
        <f ca="1">OFFSET('Tax value roll forward'!H$51,0,I166-1)-SUM('Tax value roll forward'!H232:OFFSET('Tax value roll forward'!H232,0,Input!$X$7-1))</f>
        <v>0</v>
      </c>
      <c r="K166" s="284">
        <f ca="1">IF(A12taxstdlife="N/A","n/a",IF(J166=0,0,A12taxstdlife+I166-Input!$X$7))</f>
        <v>0</v>
      </c>
      <c r="L166" s="286"/>
      <c r="M166" s="9"/>
      <c r="N166" s="9"/>
      <c r="O166" s="9"/>
      <c r="P166" s="9"/>
      <c r="Q166" s="9"/>
      <c r="R166" s="9"/>
      <c r="S166" s="271"/>
      <c r="T166" s="271"/>
      <c r="U166" s="271"/>
      <c r="V166" s="271"/>
      <c r="W166" s="271"/>
      <c r="X166" s="271"/>
      <c r="Y166" s="271"/>
      <c r="Z166" s="271"/>
    </row>
    <row r="167" spans="1:26" ht="14.45" hidden="1" customHeight="1" outlineLevel="1">
      <c r="A167" s="9"/>
      <c r="B167" s="283"/>
      <c r="C167" s="353"/>
      <c r="D167" s="287">
        <f t="shared" si="20"/>
        <v>5</v>
      </c>
      <c r="E167" s="284">
        <f ca="1">OFFSET('Actual RAB roll forward'!H$23,0,D167-1)-SUM('Actual RAB roll forward'!H193:OFFSET('Actual RAB roll forward'!H193,0,Input!$X$7-1))</f>
        <v>0</v>
      </c>
      <c r="F167" s="284">
        <f ca="1">IF(A12stdlife="N/A","n/a",IF(E167=0,0,A12stdlife+D167-Input!$X$7))</f>
        <v>0</v>
      </c>
      <c r="G167" s="285"/>
      <c r="H167" s="356"/>
      <c r="I167" s="287">
        <f t="shared" si="21"/>
        <v>5</v>
      </c>
      <c r="J167" s="284">
        <f ca="1">OFFSET('Tax value roll forward'!H$51,0,I167-1)-SUM('Tax value roll forward'!H233:OFFSET('Tax value roll forward'!H233,0,Input!$X$7-1))</f>
        <v>0</v>
      </c>
      <c r="K167" s="284">
        <f ca="1">IF(A12taxstdlife="N/A","n/a",IF(J167=0,0,A12taxstdlife+I167-Input!$X$7))</f>
        <v>0</v>
      </c>
      <c r="L167" s="286"/>
      <c r="M167" s="9"/>
      <c r="N167" s="9"/>
      <c r="O167" s="9"/>
      <c r="P167" s="9"/>
      <c r="Q167" s="9"/>
      <c r="R167" s="9"/>
      <c r="S167" s="271"/>
      <c r="T167" s="271"/>
      <c r="U167" s="271"/>
      <c r="V167" s="271"/>
      <c r="W167" s="271"/>
      <c r="X167" s="271"/>
      <c r="Y167" s="271"/>
      <c r="Z167" s="271"/>
    </row>
    <row r="168" spans="1:26" ht="14.45" hidden="1" customHeight="1" outlineLevel="1">
      <c r="A168" s="9"/>
      <c r="B168" s="283"/>
      <c r="C168" s="353"/>
      <c r="D168" s="287">
        <f t="shared" si="20"/>
        <v>6</v>
      </c>
      <c r="E168" s="284">
        <f ca="1">OFFSET('Actual RAB roll forward'!H$23,0,D168-1)-SUM('Actual RAB roll forward'!H194:OFFSET('Actual RAB roll forward'!H194,0,Input!$X$7-1))</f>
        <v>0</v>
      </c>
      <c r="F168" s="284">
        <f ca="1">IF(A12stdlife="N/A","n/a",IF(E168=0,0,A12stdlife+D168-Input!$X$7))</f>
        <v>0</v>
      </c>
      <c r="G168" s="285"/>
      <c r="H168" s="356"/>
      <c r="I168" s="287">
        <f t="shared" si="21"/>
        <v>6</v>
      </c>
      <c r="J168" s="284">
        <f ca="1">OFFSET('Tax value roll forward'!H$51,0,I168-1)-SUM('Tax value roll forward'!H234:OFFSET('Tax value roll forward'!H234,0,Input!$X$7-1))</f>
        <v>0</v>
      </c>
      <c r="K168" s="284">
        <f ca="1">IF(A12taxstdlife="N/A","n/a",IF(J168=0,0,A12taxstdlife+I168-Input!$X$7))</f>
        <v>0</v>
      </c>
      <c r="L168" s="286"/>
      <c r="M168" s="9"/>
      <c r="N168" s="9"/>
      <c r="O168" s="9"/>
      <c r="P168" s="9"/>
      <c r="Q168" s="9"/>
      <c r="R168" s="9"/>
      <c r="S168" s="271"/>
      <c r="T168" s="271"/>
      <c r="U168" s="271"/>
      <c r="V168" s="271"/>
      <c r="W168" s="271"/>
      <c r="X168" s="271"/>
      <c r="Y168" s="271"/>
      <c r="Z168" s="271"/>
    </row>
    <row r="169" spans="1:26" ht="14.45" hidden="1" customHeight="1" outlineLevel="1">
      <c r="A169" s="9"/>
      <c r="B169" s="283"/>
      <c r="C169" s="353"/>
      <c r="D169" s="287">
        <f t="shared" si="20"/>
        <v>7</v>
      </c>
      <c r="E169" s="284">
        <f ca="1">OFFSET('Actual RAB roll forward'!H$23,0,D169-1)-SUM('Actual RAB roll forward'!H195:OFFSET('Actual RAB roll forward'!H195,0,Input!$X$7-1))</f>
        <v>0</v>
      </c>
      <c r="F169" s="284">
        <f ca="1">IF(A12stdlife="N/A","n/a",IF(E169=0,0,A12stdlife+D169-Input!$X$7))</f>
        <v>0</v>
      </c>
      <c r="G169" s="285"/>
      <c r="H169" s="356"/>
      <c r="I169" s="287">
        <f t="shared" si="21"/>
        <v>7</v>
      </c>
      <c r="J169" s="284">
        <f ca="1">OFFSET('Tax value roll forward'!H$51,0,I169-1)-SUM('Tax value roll forward'!H235:OFFSET('Tax value roll forward'!H235,0,Input!$X$7-1))</f>
        <v>0</v>
      </c>
      <c r="K169" s="284">
        <f ca="1">IF(A12taxstdlife="N/A","n/a",IF(J169=0,0,A12taxstdlife+I169-Input!$X$7))</f>
        <v>0</v>
      </c>
      <c r="L169" s="286"/>
      <c r="M169" s="9"/>
      <c r="N169" s="9"/>
      <c r="O169" s="9"/>
      <c r="P169" s="9"/>
      <c r="Q169" s="9"/>
      <c r="R169" s="9"/>
      <c r="S169" s="271"/>
      <c r="T169" s="271"/>
      <c r="U169" s="271"/>
      <c r="V169" s="271"/>
      <c r="W169" s="271"/>
      <c r="X169" s="271"/>
      <c r="Y169" s="271"/>
      <c r="Z169" s="271"/>
    </row>
    <row r="170" spans="1:26" ht="14.45" hidden="1" customHeight="1" outlineLevel="1">
      <c r="A170" s="9"/>
      <c r="B170" s="283"/>
      <c r="C170" s="353"/>
      <c r="D170" s="287">
        <f t="shared" si="20"/>
        <v>8</v>
      </c>
      <c r="E170" s="284">
        <f ca="1">OFFSET('Actual RAB roll forward'!H$23,0,D170-1)-SUM('Actual RAB roll forward'!H196:OFFSET('Actual RAB roll forward'!H196,0,Input!$X$7-1))</f>
        <v>0</v>
      </c>
      <c r="F170" s="284">
        <f ca="1">IF(A12stdlife="N/A","n/a",IF(E170=0,0,A12stdlife+D170-Input!$X$7))</f>
        <v>0</v>
      </c>
      <c r="G170" s="285"/>
      <c r="H170" s="356"/>
      <c r="I170" s="287">
        <f t="shared" si="21"/>
        <v>8</v>
      </c>
      <c r="J170" s="284">
        <f ca="1">OFFSET('Tax value roll forward'!H$51,0,I170-1)-SUM('Tax value roll forward'!H236:OFFSET('Tax value roll forward'!H236,0,Input!$X$7-1))</f>
        <v>0</v>
      </c>
      <c r="K170" s="284">
        <f ca="1">IF(A12taxstdlife="N/A","n/a",IF(J170=0,0,A12taxstdlife+I170-Input!$X$7))</f>
        <v>0</v>
      </c>
      <c r="L170" s="286"/>
      <c r="M170" s="9"/>
      <c r="N170" s="9"/>
      <c r="O170" s="9"/>
      <c r="P170" s="9"/>
      <c r="Q170" s="9"/>
      <c r="R170" s="9"/>
      <c r="S170" s="271"/>
      <c r="T170" s="271"/>
      <c r="U170" s="271"/>
      <c r="V170" s="271"/>
      <c r="W170" s="271"/>
      <c r="X170" s="271"/>
      <c r="Y170" s="271"/>
      <c r="Z170" s="271"/>
    </row>
    <row r="171" spans="1:26" ht="14.45" hidden="1" customHeight="1" outlineLevel="1">
      <c r="A171" s="9"/>
      <c r="B171" s="283"/>
      <c r="C171" s="353"/>
      <c r="D171" s="287">
        <f t="shared" si="20"/>
        <v>9</v>
      </c>
      <c r="E171" s="284">
        <f ca="1">OFFSET('Actual RAB roll forward'!H$23,0,D171-1)-SUM('Actual RAB roll forward'!H197:OFFSET('Actual RAB roll forward'!H197,0,Input!$X$7-1))</f>
        <v>0</v>
      </c>
      <c r="F171" s="284">
        <f ca="1">IF(A12stdlife="N/A","n/a",IF(E171=0,0,A12stdlife+D171-Input!$X$7))</f>
        <v>0</v>
      </c>
      <c r="G171" s="285"/>
      <c r="H171" s="356"/>
      <c r="I171" s="287">
        <f t="shared" si="21"/>
        <v>9</v>
      </c>
      <c r="J171" s="284">
        <f ca="1">OFFSET('Tax value roll forward'!H$51,0,I171-1)-SUM('Tax value roll forward'!H237:OFFSET('Tax value roll forward'!H237,0,Input!$X$7-1))</f>
        <v>0</v>
      </c>
      <c r="K171" s="284">
        <f ca="1">IF(A12taxstdlife="N/A","n/a",IF(J171=0,0,A12taxstdlife+I171-Input!$X$7))</f>
        <v>0</v>
      </c>
      <c r="L171" s="286"/>
      <c r="M171" s="9"/>
      <c r="N171" s="9"/>
      <c r="O171" s="9"/>
      <c r="P171" s="9"/>
      <c r="Q171" s="9"/>
      <c r="R171" s="9"/>
      <c r="S171" s="271"/>
      <c r="T171" s="271"/>
      <c r="U171" s="271"/>
      <c r="V171" s="271"/>
      <c r="W171" s="271"/>
      <c r="X171" s="271"/>
      <c r="Y171" s="271"/>
      <c r="Z171" s="271"/>
    </row>
    <row r="172" spans="1:26" ht="14.45" hidden="1" customHeight="1" outlineLevel="1">
      <c r="A172" s="9"/>
      <c r="B172" s="283"/>
      <c r="C172" s="354"/>
      <c r="D172" s="89">
        <f t="shared" si="20"/>
        <v>10</v>
      </c>
      <c r="E172" s="284">
        <f ca="1">OFFSET('Actual RAB roll forward'!H$23,0,D172-1)-SUM('Actual RAB roll forward'!H198:OFFSET('Actual RAB roll forward'!H198,0,Input!$X$7-1))</f>
        <v>0</v>
      </c>
      <c r="F172" s="284">
        <f ca="1">IF(A12stdlife="N/A","n/a",IF(E172=0,0,A12stdlife+D172-Input!$X$7))</f>
        <v>0</v>
      </c>
      <c r="G172" s="285"/>
      <c r="H172" s="357"/>
      <c r="I172" s="89">
        <f t="shared" si="21"/>
        <v>10</v>
      </c>
      <c r="J172" s="284">
        <f ca="1">OFFSET('Tax value roll forward'!H$51,0,I172-1)-SUM('Tax value roll forward'!H238:OFFSET('Tax value roll forward'!H238,0,Input!$X$7-1))</f>
        <v>0</v>
      </c>
      <c r="K172" s="284">
        <f ca="1">IF(A12taxstdlife="N/A","n/a",IF(J172=0,0,A12taxstdlife+I172-Input!$X$7))</f>
        <v>0</v>
      </c>
      <c r="L172" s="286"/>
      <c r="M172" s="9"/>
      <c r="N172" s="9"/>
      <c r="O172" s="9"/>
      <c r="P172" s="9"/>
      <c r="Q172" s="9"/>
      <c r="R172" s="9"/>
      <c r="S172" s="271"/>
      <c r="T172" s="271"/>
      <c r="U172" s="271"/>
      <c r="V172" s="271"/>
      <c r="W172" s="271"/>
      <c r="X172" s="271"/>
      <c r="Y172" s="271"/>
      <c r="Z172" s="271"/>
    </row>
    <row r="173" spans="1:26" collapsed="1">
      <c r="A173" s="9"/>
      <c r="B173" s="283"/>
      <c r="C173" s="286" t="str">
        <f>B161</f>
        <v>Metering</v>
      </c>
      <c r="D173" s="9"/>
      <c r="E173" s="284">
        <f ca="1">SUM(E162:E172)</f>
        <v>0.14246667590433049</v>
      </c>
      <c r="F173" s="284">
        <f ca="1">IF(A12remlife="N/A","n/a",IF(E173=0,0,SUMPRODUCT(E162:E172,F162:F172)/E173))</f>
        <v>1.0815436699544101E-2</v>
      </c>
      <c r="G173" s="285"/>
      <c r="H173" s="45"/>
      <c r="I173" s="284"/>
      <c r="J173" s="284">
        <f ca="1">SUM(J162:J172)</f>
        <v>54.214116576952655</v>
      </c>
      <c r="K173" s="284">
        <f ca="1">IF(J173=0,0,IF(A12taxstdlife="N/A","n/a",SUMPRODUCT(J162:J172,K162:K172)/J173))</f>
        <v>18.264772218594437</v>
      </c>
      <c r="L173" s="286"/>
      <c r="M173" s="9"/>
      <c r="N173" s="9"/>
      <c r="O173" s="9"/>
      <c r="P173" s="9"/>
      <c r="Q173" s="9"/>
      <c r="R173" s="9"/>
      <c r="S173" s="271"/>
      <c r="T173" s="271"/>
      <c r="U173" s="271"/>
      <c r="V173" s="271"/>
      <c r="W173" s="271"/>
      <c r="X173" s="271"/>
      <c r="Y173" s="271"/>
      <c r="Z173" s="271"/>
    </row>
    <row r="174" spans="1:26" hidden="1" outlineLevel="1">
      <c r="A174" s="9"/>
      <c r="B174" s="283"/>
      <c r="C174" s="297"/>
      <c r="D174" s="298"/>
      <c r="E174" s="284"/>
      <c r="F174" s="284"/>
      <c r="G174" s="285"/>
      <c r="H174" s="284"/>
      <c r="I174" s="284"/>
      <c r="J174" s="293"/>
      <c r="K174" s="289"/>
      <c r="L174" s="286"/>
      <c r="M174" s="9"/>
      <c r="N174" s="9"/>
      <c r="O174" s="9"/>
      <c r="P174" s="9"/>
      <c r="Q174" s="9"/>
      <c r="R174" s="9"/>
      <c r="S174" s="271"/>
      <c r="T174" s="271"/>
      <c r="U174" s="271"/>
      <c r="V174" s="271"/>
      <c r="W174" s="271"/>
      <c r="X174" s="271"/>
      <c r="Y174" s="271"/>
      <c r="Z174" s="271"/>
    </row>
    <row r="175" spans="1:26" hidden="1" outlineLevel="1">
      <c r="A175" s="9"/>
      <c r="B175" s="281" t="str">
        <f>Asset13</f>
        <v xml:space="preserve">Communications – Pilot Wires </v>
      </c>
      <c r="C175" s="298"/>
      <c r="D175" s="298"/>
      <c r="E175" s="296"/>
      <c r="F175" s="296"/>
      <c r="G175" s="285"/>
      <c r="H175" s="284"/>
      <c r="I175" s="284"/>
      <c r="J175" s="293"/>
      <c r="K175" s="289"/>
      <c r="L175" s="286"/>
      <c r="M175" s="9"/>
      <c r="N175" s="9"/>
      <c r="O175" s="9"/>
      <c r="P175" s="9"/>
      <c r="Q175" s="9"/>
      <c r="R175" s="9"/>
      <c r="S175" s="271"/>
      <c r="T175" s="271"/>
      <c r="U175" s="271"/>
      <c r="V175" s="271"/>
      <c r="W175" s="271"/>
      <c r="X175" s="271"/>
      <c r="Y175" s="271"/>
      <c r="Z175" s="271"/>
    </row>
    <row r="176" spans="1:26" ht="12.75" hidden="1" customHeight="1" outlineLevel="1">
      <c r="A176" s="9"/>
      <c r="B176" s="283"/>
      <c r="C176" s="358" t="str">
        <f>C162</f>
        <v>Opening RAB</v>
      </c>
      <c r="D176" s="359"/>
      <c r="E176" s="284">
        <f ca="1">A13value-SUM('Actual RAB roll forward'!H200:OFFSET('Actual RAB roll forward'!H200,0,Input!$X$7-1))</f>
        <v>60.259687502149227</v>
      </c>
      <c r="F176" s="284">
        <f>IF(A13remlife="N/A","n/a",A13remlife-Input!$X$7)</f>
        <v>14.950180364112828</v>
      </c>
      <c r="G176" s="285"/>
      <c r="H176" s="360" t="str">
        <f>H162</f>
        <v>Initial Asset Base</v>
      </c>
      <c r="I176" s="361"/>
      <c r="J176" s="284">
        <f ca="1">(A13taxvalue+'Tax value roll forward'!G52)-SUM('Tax value roll forward'!G240:OFFSET('Tax value roll forward'!G240,2,Input!$X$7))</f>
        <v>9.0928323153615604</v>
      </c>
      <c r="K176" s="284">
        <f>IF(A13taxremlife="N/A","n/a",A13taxremlife-Input!$X$7-1)</f>
        <v>3.6555581765901941</v>
      </c>
      <c r="L176" s="286"/>
      <c r="M176" s="9"/>
      <c r="N176" s="9"/>
      <c r="O176" s="9"/>
      <c r="P176" s="9"/>
      <c r="Q176" s="9"/>
      <c r="R176" s="9"/>
      <c r="S176" s="271"/>
      <c r="T176" s="271"/>
      <c r="U176" s="271"/>
      <c r="V176" s="271"/>
      <c r="W176" s="271"/>
      <c r="X176" s="271"/>
      <c r="Y176" s="271"/>
      <c r="Z176" s="271"/>
    </row>
    <row r="177" spans="1:26" ht="14.45" hidden="1" customHeight="1" outlineLevel="1">
      <c r="A177" s="9"/>
      <c r="B177" s="283"/>
      <c r="C177" s="352" t="str">
        <f>C163</f>
        <v>Capex in year</v>
      </c>
      <c r="D177" s="287">
        <f>D163</f>
        <v>1</v>
      </c>
      <c r="E177" s="284">
        <f ca="1">OFFSET('Actual RAB roll forward'!H$24,0,D177-1)-SUM('Actual RAB roll forward'!H202:OFFSET('Actual RAB roll forward'!H202,0,Input!$X$7-1))</f>
        <v>0</v>
      </c>
      <c r="F177" s="284">
        <f ca="1">IF(A13stdlife="N/A","n/a",IF(E177=0,0,A13stdlife+D177-Input!$X$7))</f>
        <v>0</v>
      </c>
      <c r="G177" s="285"/>
      <c r="H177" s="355" t="str">
        <f>H163</f>
        <v>Capex in year</v>
      </c>
      <c r="I177" s="287">
        <f>I163</f>
        <v>1</v>
      </c>
      <c r="J177" s="284">
        <f ca="1">OFFSET('Tax value roll forward'!H$52,0,I177-1)-SUM('Tax value roll forward'!H243:OFFSET('Tax value roll forward'!H243,0,Input!$X$7-1))</f>
        <v>0</v>
      </c>
      <c r="K177" s="284">
        <f ca="1">IF(A13taxstdlife="N/A","n/a",IF(J177=0,0,A13taxstdlife+I177-Input!$X$7))</f>
        <v>0</v>
      </c>
      <c r="L177" s="286"/>
      <c r="M177" s="9"/>
      <c r="N177" s="9"/>
      <c r="O177" s="9"/>
      <c r="P177" s="9"/>
      <c r="Q177" s="9"/>
      <c r="R177" s="9"/>
      <c r="S177" s="271"/>
      <c r="T177" s="271"/>
      <c r="U177" s="271"/>
      <c r="V177" s="271"/>
      <c r="W177" s="271"/>
      <c r="X177" s="271"/>
      <c r="Y177" s="271"/>
      <c r="Z177" s="271"/>
    </row>
    <row r="178" spans="1:26" ht="14.45" hidden="1" customHeight="1" outlineLevel="1">
      <c r="A178" s="9"/>
      <c r="B178" s="283"/>
      <c r="C178" s="353"/>
      <c r="D178" s="287">
        <f t="shared" ref="D178:D186" si="22">D164</f>
        <v>2</v>
      </c>
      <c r="E178" s="284">
        <f ca="1">OFFSET('Actual RAB roll forward'!H$24,0,D178-1)-SUM('Actual RAB roll forward'!H203:OFFSET('Actual RAB roll forward'!H203,0,Input!$X$7-1))</f>
        <v>0</v>
      </c>
      <c r="F178" s="284">
        <f ca="1">IF(A13stdlife="N/A","n/a",IF(E178=0,0,A13stdlife+D178-Input!$X$7))</f>
        <v>0</v>
      </c>
      <c r="G178" s="285"/>
      <c r="H178" s="356"/>
      <c r="I178" s="287">
        <f t="shared" ref="I178:I186" si="23">I164</f>
        <v>2</v>
      </c>
      <c r="J178" s="284">
        <f ca="1">OFFSET('Tax value roll forward'!H$52,0,I178-1)-SUM('Tax value roll forward'!H244:OFFSET('Tax value roll forward'!H244,0,Input!$X$7-1))</f>
        <v>0</v>
      </c>
      <c r="K178" s="284">
        <f ca="1">IF(A13taxstdlife="N/A","n/a",IF(J178=0,0,A13taxstdlife+I178-Input!$X$7))</f>
        <v>0</v>
      </c>
      <c r="L178" s="286"/>
      <c r="M178" s="9"/>
      <c r="N178" s="9"/>
      <c r="O178" s="9"/>
      <c r="P178" s="9"/>
      <c r="Q178" s="9"/>
      <c r="R178" s="9"/>
      <c r="S178" s="271"/>
      <c r="T178" s="271"/>
      <c r="U178" s="271"/>
      <c r="V178" s="271"/>
      <c r="W178" s="271"/>
      <c r="X178" s="271"/>
      <c r="Y178" s="271"/>
      <c r="Z178" s="271"/>
    </row>
    <row r="179" spans="1:26" ht="14.45" hidden="1" customHeight="1" outlineLevel="1">
      <c r="A179" s="9"/>
      <c r="B179" s="283"/>
      <c r="C179" s="353"/>
      <c r="D179" s="287">
        <f t="shared" si="22"/>
        <v>3</v>
      </c>
      <c r="E179" s="284">
        <f ca="1">OFFSET('Actual RAB roll forward'!H$24,0,D179-1)-SUM('Actual RAB roll forward'!H204:OFFSET('Actual RAB roll forward'!H204,0,Input!$X$7-1))</f>
        <v>0</v>
      </c>
      <c r="F179" s="284">
        <f ca="1">IF(A13stdlife="N/A","n/a",IF(E179=0,0,A13stdlife+D179-Input!$X$7))</f>
        <v>0</v>
      </c>
      <c r="G179" s="285"/>
      <c r="H179" s="356"/>
      <c r="I179" s="287">
        <f t="shared" si="23"/>
        <v>3</v>
      </c>
      <c r="J179" s="284">
        <f ca="1">OFFSET('Tax value roll forward'!H$52,0,I179-1)-SUM('Tax value roll forward'!H245:OFFSET('Tax value roll forward'!H245,0,Input!$X$7-1))</f>
        <v>0</v>
      </c>
      <c r="K179" s="284">
        <f ca="1">IF(A13taxstdlife="N/A","n/a",IF(J179=0,0,A13taxstdlife+I179-Input!$X$7))</f>
        <v>0</v>
      </c>
      <c r="L179" s="286"/>
      <c r="M179" s="9"/>
      <c r="N179" s="9"/>
      <c r="O179" s="9"/>
      <c r="P179" s="9"/>
      <c r="Q179" s="9"/>
      <c r="R179" s="9"/>
      <c r="S179" s="271"/>
      <c r="T179" s="271"/>
      <c r="U179" s="271"/>
      <c r="V179" s="271"/>
      <c r="W179" s="271"/>
      <c r="X179" s="271"/>
      <c r="Y179" s="271"/>
      <c r="Z179" s="271"/>
    </row>
    <row r="180" spans="1:26" ht="14.45" hidden="1" customHeight="1" outlineLevel="1">
      <c r="A180" s="9"/>
      <c r="B180" s="283"/>
      <c r="C180" s="353"/>
      <c r="D180" s="287">
        <f t="shared" si="22"/>
        <v>4</v>
      </c>
      <c r="E180" s="284">
        <f ca="1">OFFSET('Actual RAB roll forward'!H$24,0,D180-1)-SUM('Actual RAB roll forward'!H205:OFFSET('Actual RAB roll forward'!H205,0,Input!$X$7-1))</f>
        <v>0</v>
      </c>
      <c r="F180" s="284">
        <f ca="1">IF(A13stdlife="N/A","n/a",IF(E180=0,0,A13stdlife+D180-Input!$X$7))</f>
        <v>0</v>
      </c>
      <c r="G180" s="285"/>
      <c r="H180" s="356"/>
      <c r="I180" s="287">
        <f t="shared" si="23"/>
        <v>4</v>
      </c>
      <c r="J180" s="284">
        <f ca="1">OFFSET('Tax value roll forward'!H$52,0,I180-1)-SUM('Tax value roll forward'!H246:OFFSET('Tax value roll forward'!H246,0,Input!$X$7-1))</f>
        <v>0</v>
      </c>
      <c r="K180" s="284">
        <f ca="1">IF(A13taxstdlife="N/A","n/a",IF(J180=0,0,A13taxstdlife+I180-Input!$X$7))</f>
        <v>0</v>
      </c>
      <c r="L180" s="286"/>
      <c r="M180" s="9"/>
      <c r="N180" s="9"/>
      <c r="O180" s="9"/>
      <c r="P180" s="9"/>
      <c r="Q180" s="9"/>
      <c r="R180" s="9"/>
      <c r="S180" s="271"/>
      <c r="T180" s="271"/>
      <c r="U180" s="271"/>
      <c r="V180" s="271"/>
      <c r="W180" s="271"/>
      <c r="X180" s="271"/>
      <c r="Y180" s="271"/>
      <c r="Z180" s="271"/>
    </row>
    <row r="181" spans="1:26" ht="14.45" hidden="1" customHeight="1" outlineLevel="1">
      <c r="A181" s="9"/>
      <c r="B181" s="283"/>
      <c r="C181" s="353"/>
      <c r="D181" s="287">
        <f t="shared" si="22"/>
        <v>5</v>
      </c>
      <c r="E181" s="284">
        <f ca="1">OFFSET('Actual RAB roll forward'!H$24,0,D181-1)-SUM('Actual RAB roll forward'!H206:OFFSET('Actual RAB roll forward'!H206,0,Input!$X$7-1))</f>
        <v>0</v>
      </c>
      <c r="F181" s="284">
        <f ca="1">IF(A13stdlife="N/A","n/a",IF(E181=0,0,A13stdlife+D181-Input!$X$7))</f>
        <v>0</v>
      </c>
      <c r="G181" s="285"/>
      <c r="H181" s="356"/>
      <c r="I181" s="287">
        <f t="shared" si="23"/>
        <v>5</v>
      </c>
      <c r="J181" s="284">
        <f ca="1">OFFSET('Tax value roll forward'!H$52,0,I181-1)-SUM('Tax value roll forward'!H247:OFFSET('Tax value roll forward'!H247,0,Input!$X$7-1))</f>
        <v>0</v>
      </c>
      <c r="K181" s="284">
        <f ca="1">IF(A13taxstdlife="N/A","n/a",IF(J181=0,0,A13taxstdlife+I181-Input!$X$7))</f>
        <v>0</v>
      </c>
      <c r="L181" s="286"/>
      <c r="M181" s="9"/>
      <c r="N181" s="9"/>
      <c r="O181" s="9"/>
      <c r="P181" s="9"/>
      <c r="Q181" s="9"/>
      <c r="R181" s="9"/>
      <c r="S181" s="271"/>
      <c r="T181" s="271"/>
      <c r="U181" s="271"/>
      <c r="V181" s="271"/>
      <c r="W181" s="271"/>
      <c r="X181" s="271"/>
      <c r="Y181" s="271"/>
      <c r="Z181" s="271"/>
    </row>
    <row r="182" spans="1:26" ht="14.45" hidden="1" customHeight="1" outlineLevel="1">
      <c r="A182" s="9"/>
      <c r="B182" s="283"/>
      <c r="C182" s="353"/>
      <c r="D182" s="287">
        <f t="shared" si="22"/>
        <v>6</v>
      </c>
      <c r="E182" s="284">
        <f ca="1">OFFSET('Actual RAB roll forward'!H$24,0,D182-1)-SUM('Actual RAB roll forward'!H207:OFFSET('Actual RAB roll forward'!H207,0,Input!$X$7-1))</f>
        <v>0</v>
      </c>
      <c r="F182" s="284">
        <f ca="1">IF(A13stdlife="N/A","n/a",IF(E182=0,0,A13stdlife+D182-Input!$X$7))</f>
        <v>0</v>
      </c>
      <c r="G182" s="285"/>
      <c r="H182" s="356"/>
      <c r="I182" s="287">
        <f t="shared" si="23"/>
        <v>6</v>
      </c>
      <c r="J182" s="284">
        <f ca="1">OFFSET('Tax value roll forward'!H$52,0,I182-1)-SUM('Tax value roll forward'!H248:OFFSET('Tax value roll forward'!H248,0,Input!$X$7-1))</f>
        <v>0</v>
      </c>
      <c r="K182" s="284">
        <f ca="1">IF(A13taxstdlife="N/A","n/a",IF(J182=0,0,A13taxstdlife+I182-Input!$X$7))</f>
        <v>0</v>
      </c>
      <c r="L182" s="286"/>
      <c r="M182" s="9"/>
      <c r="N182" s="9"/>
      <c r="O182" s="9"/>
      <c r="P182" s="9"/>
      <c r="Q182" s="9"/>
      <c r="R182" s="9"/>
      <c r="S182" s="271"/>
      <c r="T182" s="271"/>
      <c r="U182" s="271"/>
      <c r="V182" s="271"/>
      <c r="W182" s="271"/>
      <c r="X182" s="271"/>
      <c r="Y182" s="271"/>
      <c r="Z182" s="271"/>
    </row>
    <row r="183" spans="1:26" ht="14.45" hidden="1" customHeight="1" outlineLevel="1">
      <c r="A183" s="9"/>
      <c r="B183" s="283"/>
      <c r="C183" s="353"/>
      <c r="D183" s="287">
        <f t="shared" si="22"/>
        <v>7</v>
      </c>
      <c r="E183" s="284">
        <f ca="1">OFFSET('Actual RAB roll forward'!H$24,0,D183-1)-SUM('Actual RAB roll forward'!H208:OFFSET('Actual RAB roll forward'!H208,0,Input!$X$7-1))</f>
        <v>0</v>
      </c>
      <c r="F183" s="284">
        <f ca="1">IF(A13stdlife="N/A","n/a",IF(E183=0,0,A13stdlife+D183-Input!$X$7))</f>
        <v>0</v>
      </c>
      <c r="G183" s="285"/>
      <c r="H183" s="356"/>
      <c r="I183" s="287">
        <f t="shared" si="23"/>
        <v>7</v>
      </c>
      <c r="J183" s="284">
        <f ca="1">OFFSET('Tax value roll forward'!H$52,0,I183-1)-SUM('Tax value roll forward'!H249:OFFSET('Tax value roll forward'!H249,0,Input!$X$7-1))</f>
        <v>0</v>
      </c>
      <c r="K183" s="284">
        <f ca="1">IF(A13taxstdlife="N/A","n/a",IF(J183=0,0,A13taxstdlife+I183-Input!$X$7))</f>
        <v>0</v>
      </c>
      <c r="L183" s="286"/>
      <c r="M183" s="9"/>
      <c r="N183" s="9"/>
      <c r="O183" s="9"/>
      <c r="P183" s="9"/>
      <c r="Q183" s="9"/>
      <c r="R183" s="9"/>
      <c r="S183" s="271"/>
      <c r="T183" s="271"/>
      <c r="U183" s="271"/>
      <c r="V183" s="271"/>
      <c r="W183" s="271"/>
      <c r="X183" s="271"/>
      <c r="Y183" s="271"/>
      <c r="Z183" s="271"/>
    </row>
    <row r="184" spans="1:26" ht="14.45" hidden="1" customHeight="1" outlineLevel="1">
      <c r="A184" s="9"/>
      <c r="B184" s="283"/>
      <c r="C184" s="353"/>
      <c r="D184" s="287">
        <f t="shared" si="22"/>
        <v>8</v>
      </c>
      <c r="E184" s="284">
        <f ca="1">OFFSET('Actual RAB roll forward'!H$24,0,D184-1)-SUM('Actual RAB roll forward'!H209:OFFSET('Actual RAB roll forward'!H209,0,Input!$X$7-1))</f>
        <v>0</v>
      </c>
      <c r="F184" s="284">
        <f ca="1">IF(A13stdlife="N/A","n/a",IF(E184=0,0,A13stdlife+D184-Input!$X$7))</f>
        <v>0</v>
      </c>
      <c r="G184" s="285"/>
      <c r="H184" s="356"/>
      <c r="I184" s="287">
        <f t="shared" si="23"/>
        <v>8</v>
      </c>
      <c r="J184" s="284">
        <f ca="1">OFFSET('Tax value roll forward'!H$52,0,I184-1)-SUM('Tax value roll forward'!H250:OFFSET('Tax value roll forward'!H250,0,Input!$X$7-1))</f>
        <v>0</v>
      </c>
      <c r="K184" s="284">
        <f ca="1">IF(A13taxstdlife="N/A","n/a",IF(J184=0,0,A13taxstdlife+I184-Input!$X$7))</f>
        <v>0</v>
      </c>
      <c r="L184" s="286"/>
      <c r="M184" s="9"/>
      <c r="N184" s="9"/>
      <c r="O184" s="9"/>
      <c r="P184" s="9"/>
      <c r="Q184" s="9"/>
      <c r="R184" s="9"/>
      <c r="S184" s="271"/>
      <c r="T184" s="271"/>
      <c r="U184" s="271"/>
      <c r="V184" s="271"/>
      <c r="W184" s="271"/>
      <c r="X184" s="271"/>
      <c r="Y184" s="271"/>
      <c r="Z184" s="271"/>
    </row>
    <row r="185" spans="1:26" ht="14.45" hidden="1" customHeight="1" outlineLevel="1">
      <c r="A185" s="9"/>
      <c r="B185" s="283"/>
      <c r="C185" s="353"/>
      <c r="D185" s="287">
        <f t="shared" si="22"/>
        <v>9</v>
      </c>
      <c r="E185" s="284">
        <f ca="1">OFFSET('Actual RAB roll forward'!H$24,0,D185-1)-SUM('Actual RAB roll forward'!H210:OFFSET('Actual RAB roll forward'!H210,0,Input!$X$7-1))</f>
        <v>0</v>
      </c>
      <c r="F185" s="284">
        <f ca="1">IF(A13stdlife="N/A","n/a",IF(E185=0,0,A13stdlife+D185-Input!$X$7))</f>
        <v>0</v>
      </c>
      <c r="G185" s="285"/>
      <c r="H185" s="356"/>
      <c r="I185" s="287">
        <f t="shared" si="23"/>
        <v>9</v>
      </c>
      <c r="J185" s="284">
        <f ca="1">OFFSET('Tax value roll forward'!H$52,0,I185-1)-SUM('Tax value roll forward'!H251:OFFSET('Tax value roll forward'!H251,0,Input!$X$7-1))</f>
        <v>0</v>
      </c>
      <c r="K185" s="284">
        <f ca="1">IF(A13taxstdlife="N/A","n/a",IF(J185=0,0,A13taxstdlife+I185-Input!$X$7))</f>
        <v>0</v>
      </c>
      <c r="L185" s="286"/>
      <c r="M185" s="9"/>
      <c r="N185" s="9"/>
      <c r="O185" s="9"/>
      <c r="P185" s="9"/>
      <c r="Q185" s="9"/>
      <c r="R185" s="9"/>
      <c r="S185" s="271"/>
      <c r="T185" s="271"/>
      <c r="U185" s="271"/>
      <c r="V185" s="271"/>
      <c r="W185" s="271"/>
      <c r="X185" s="271"/>
      <c r="Y185" s="271"/>
      <c r="Z185" s="271"/>
    </row>
    <row r="186" spans="1:26" ht="14.45" hidden="1" customHeight="1" outlineLevel="1">
      <c r="A186" s="9"/>
      <c r="B186" s="283"/>
      <c r="C186" s="354"/>
      <c r="D186" s="89">
        <f t="shared" si="22"/>
        <v>10</v>
      </c>
      <c r="E186" s="284">
        <f ca="1">OFFSET('Actual RAB roll forward'!H$24,0,D186-1)-SUM('Actual RAB roll forward'!H211:OFFSET('Actual RAB roll forward'!H211,0,Input!$X$7-1))</f>
        <v>0</v>
      </c>
      <c r="F186" s="284">
        <f ca="1">IF(A13stdlife="N/A","n/a",IF(E186=0,0,A13stdlife+D186-Input!$X$7))</f>
        <v>0</v>
      </c>
      <c r="G186" s="285"/>
      <c r="H186" s="357"/>
      <c r="I186" s="89">
        <f t="shared" si="23"/>
        <v>10</v>
      </c>
      <c r="J186" s="284"/>
      <c r="K186" s="284">
        <f>IF(A13taxstdlife="N/A","n/a",IF(J186=0,0,A13taxstdlife+I186-Input!$X$7))</f>
        <v>0</v>
      </c>
      <c r="L186" s="286"/>
      <c r="M186" s="9"/>
      <c r="N186" s="9"/>
      <c r="O186" s="9"/>
      <c r="P186" s="9"/>
      <c r="Q186" s="9"/>
      <c r="R186" s="9"/>
      <c r="S186" s="271"/>
      <c r="T186" s="271"/>
      <c r="U186" s="271"/>
      <c r="V186" s="271"/>
      <c r="W186" s="271"/>
      <c r="X186" s="271"/>
      <c r="Y186" s="271"/>
      <c r="Z186" s="271"/>
    </row>
    <row r="187" spans="1:26" collapsed="1">
      <c r="A187" s="9"/>
      <c r="B187" s="283"/>
      <c r="C187" s="286" t="str">
        <f>B175</f>
        <v xml:space="preserve">Communications – Pilot Wires </v>
      </c>
      <c r="D187" s="9"/>
      <c r="E187" s="284">
        <f ca="1">SUM(E176:E186)</f>
        <v>60.259687502149227</v>
      </c>
      <c r="F187" s="284">
        <f ca="1">IF(A13remlife="N/A","n/a",IF(E187=0,0,SUMPRODUCT(E176:E186,F176:F186)/E187))</f>
        <v>14.950180364112827</v>
      </c>
      <c r="G187" s="285"/>
      <c r="H187" s="45"/>
      <c r="I187" s="284"/>
      <c r="J187" s="284">
        <f ca="1">SUM(J176:J186)</f>
        <v>9.0928323153615604</v>
      </c>
      <c r="K187" s="284">
        <f ca="1">IF(A13taxstdlife="N/A","n/a",IF(J187=0,0,SUMPRODUCT(J176:J186,K176:K186)/J187))</f>
        <v>3.6555581765901941</v>
      </c>
      <c r="L187" s="286"/>
      <c r="M187" s="9"/>
      <c r="N187" s="9"/>
      <c r="O187" s="9"/>
      <c r="P187" s="9"/>
      <c r="Q187" s="9"/>
      <c r="R187" s="9"/>
      <c r="S187" s="271"/>
      <c r="T187" s="271"/>
      <c r="U187" s="271"/>
      <c r="V187" s="271"/>
      <c r="W187" s="271"/>
      <c r="X187" s="271"/>
      <c r="Y187" s="271"/>
      <c r="Z187" s="271"/>
    </row>
    <row r="188" spans="1:26" hidden="1" outlineLevel="1">
      <c r="A188" s="9"/>
      <c r="B188" s="283"/>
      <c r="C188" s="297"/>
      <c r="D188" s="298"/>
      <c r="E188" s="284"/>
      <c r="F188" s="284"/>
      <c r="G188" s="285"/>
      <c r="H188" s="284"/>
      <c r="I188" s="284"/>
      <c r="J188" s="293"/>
      <c r="K188" s="289"/>
      <c r="L188" s="286"/>
      <c r="M188" s="9"/>
      <c r="N188" s="9"/>
      <c r="O188" s="9"/>
      <c r="P188" s="9"/>
      <c r="Q188" s="9"/>
      <c r="R188" s="9"/>
      <c r="S188" s="271"/>
      <c r="T188" s="271"/>
      <c r="U188" s="271"/>
      <c r="V188" s="271"/>
      <c r="W188" s="271"/>
      <c r="X188" s="271"/>
      <c r="Y188" s="271"/>
      <c r="Z188" s="271"/>
    </row>
    <row r="189" spans="1:26" hidden="1" outlineLevel="1">
      <c r="A189" s="9"/>
      <c r="B189" s="281" t="str">
        <f>Asset14</f>
        <v>Generation Assets</v>
      </c>
      <c r="C189" s="298"/>
      <c r="D189" s="298"/>
      <c r="E189" s="296"/>
      <c r="F189" s="296"/>
      <c r="G189" s="285"/>
      <c r="H189" s="284"/>
      <c r="I189" s="284"/>
      <c r="J189" s="293"/>
      <c r="K189" s="289"/>
      <c r="L189" s="286"/>
      <c r="M189" s="9"/>
      <c r="N189" s="9"/>
      <c r="O189" s="9"/>
      <c r="P189" s="9"/>
      <c r="Q189" s="9"/>
      <c r="R189" s="9"/>
      <c r="S189" s="271"/>
      <c r="T189" s="271"/>
      <c r="U189" s="271"/>
      <c r="V189" s="271"/>
      <c r="W189" s="271"/>
      <c r="X189" s="271"/>
      <c r="Y189" s="271"/>
      <c r="Z189" s="271"/>
    </row>
    <row r="190" spans="1:26" ht="12.75" hidden="1" customHeight="1" outlineLevel="1">
      <c r="A190" s="9"/>
      <c r="B190" s="283"/>
      <c r="C190" s="358" t="str">
        <f>C176</f>
        <v>Opening RAB</v>
      </c>
      <c r="D190" s="359"/>
      <c r="E190" s="284">
        <f ca="1">A14value-SUM('Actual RAB roll forward'!H213:OFFSET('Actual RAB roll forward'!H213,0,Input!$X$7-1))</f>
        <v>0.37646408612474414</v>
      </c>
      <c r="F190" s="284">
        <f>IF(A14remlife="N/A","n/a",A14remlife-Input!$X$7)</f>
        <v>0.60892754577580721</v>
      </c>
      <c r="G190" s="285"/>
      <c r="H190" s="360" t="str">
        <f>H176</f>
        <v>Initial Asset Base</v>
      </c>
      <c r="I190" s="361"/>
      <c r="J190" s="284">
        <f ca="1">(A14taxvalue+'Tax value roll forward'!G53)-SUM('Tax value roll forward'!G254:OFFSET('Tax value roll forward'!G254,2,Input!$X$7))</f>
        <v>0.22995024877487236</v>
      </c>
      <c r="K190" s="284">
        <f>IF(A14taxremlife="N/A","n/a",A14taxremlife-Input!$X$7-1)</f>
        <v>0.59930745115103523</v>
      </c>
      <c r="L190" s="286"/>
      <c r="M190" s="9"/>
      <c r="N190" s="9"/>
      <c r="O190" s="9"/>
      <c r="P190" s="9"/>
      <c r="Q190" s="9"/>
      <c r="R190" s="9"/>
      <c r="S190" s="271"/>
      <c r="T190" s="271"/>
      <c r="U190" s="271"/>
      <c r="V190" s="271"/>
      <c r="W190" s="271"/>
      <c r="X190" s="271"/>
      <c r="Y190" s="271"/>
      <c r="Z190" s="271"/>
    </row>
    <row r="191" spans="1:26" ht="14.45" hidden="1" customHeight="1" outlineLevel="1">
      <c r="A191" s="9"/>
      <c r="B191" s="283"/>
      <c r="C191" s="352" t="str">
        <f>C177</f>
        <v>Capex in year</v>
      </c>
      <c r="D191" s="287">
        <f>D177</f>
        <v>1</v>
      </c>
      <c r="E191" s="284">
        <f ca="1">OFFSET('Actual RAB roll forward'!H$25,0,D191-1)-SUM('Actual RAB roll forward'!H215:OFFSET('Actual RAB roll forward'!H215,0,Input!$X$7-1))</f>
        <v>0</v>
      </c>
      <c r="F191" s="284">
        <f ca="1">IF(A14stdlife="N/A","n/a",IF(E191=0,0,A14stdlife+D191-Input!$X$7))</f>
        <v>0</v>
      </c>
      <c r="G191" s="285"/>
      <c r="H191" s="355" t="str">
        <f>H177</f>
        <v>Capex in year</v>
      </c>
      <c r="I191" s="287">
        <f>I177</f>
        <v>1</v>
      </c>
      <c r="J191" s="284">
        <f ca="1">OFFSET('Tax value roll forward'!H$53,0,I191-1)-SUM('Tax value roll forward'!H257:OFFSET('Tax value roll forward'!H257,0,Input!$X$7-1))</f>
        <v>0</v>
      </c>
      <c r="K191" s="284">
        <f ca="1">IF(A14taxstdlife="N/A","n/a",IF(J191=0,0,A14taxstdlife+I191-Input!$X$7))</f>
        <v>0</v>
      </c>
      <c r="L191" s="286"/>
      <c r="M191" s="9"/>
      <c r="N191" s="9"/>
      <c r="O191" s="9"/>
      <c r="P191" s="9"/>
      <c r="Q191" s="9"/>
      <c r="R191" s="9"/>
      <c r="S191" s="271"/>
      <c r="T191" s="271"/>
      <c r="U191" s="271"/>
      <c r="V191" s="271"/>
      <c r="W191" s="271"/>
      <c r="X191" s="271"/>
      <c r="Y191" s="271"/>
      <c r="Z191" s="271"/>
    </row>
    <row r="192" spans="1:26" ht="14.45" hidden="1" customHeight="1" outlineLevel="1">
      <c r="A192" s="9"/>
      <c r="B192" s="283"/>
      <c r="C192" s="353"/>
      <c r="D192" s="287">
        <f t="shared" ref="D192:D200" si="24">D178</f>
        <v>2</v>
      </c>
      <c r="E192" s="284">
        <f ca="1">OFFSET('Actual RAB roll forward'!H$25,0,D192-1)-SUM('Actual RAB roll forward'!H216:OFFSET('Actual RAB roll forward'!H216,0,Input!$X$7-1))</f>
        <v>0</v>
      </c>
      <c r="F192" s="284">
        <f ca="1">IF(A14stdlife="N/A","n/a",IF(E192=0,0,A14stdlife+D192-Input!$X$7))</f>
        <v>0</v>
      </c>
      <c r="G192" s="285"/>
      <c r="H192" s="356"/>
      <c r="I192" s="287">
        <f t="shared" ref="I192:I200" si="25">I178</f>
        <v>2</v>
      </c>
      <c r="J192" s="284">
        <f ca="1">OFFSET('Tax value roll forward'!H$53,0,I192-1)-SUM('Tax value roll forward'!H258:OFFSET('Tax value roll forward'!H258,0,Input!$X$7-1))</f>
        <v>0</v>
      </c>
      <c r="K192" s="284">
        <f ca="1">IF(A14taxstdlife="N/A","n/a",IF(J192=0,0,A14taxstdlife+I192-Input!$X$7))</f>
        <v>0</v>
      </c>
      <c r="L192" s="286"/>
      <c r="M192" s="9"/>
      <c r="N192" s="9"/>
      <c r="O192" s="9"/>
      <c r="P192" s="9"/>
      <c r="Q192" s="9"/>
      <c r="R192" s="9"/>
      <c r="S192" s="271"/>
      <c r="T192" s="271"/>
      <c r="U192" s="271"/>
      <c r="V192" s="271"/>
      <c r="W192" s="271"/>
      <c r="X192" s="271"/>
      <c r="Y192" s="271"/>
      <c r="Z192" s="271"/>
    </row>
    <row r="193" spans="1:26" ht="14.45" hidden="1" customHeight="1" outlineLevel="1">
      <c r="A193" s="9"/>
      <c r="B193" s="283"/>
      <c r="C193" s="353"/>
      <c r="D193" s="287">
        <f t="shared" si="24"/>
        <v>3</v>
      </c>
      <c r="E193" s="284">
        <f ca="1">OFFSET('Actual RAB roll forward'!H$25,0,D193-1)-SUM('Actual RAB roll forward'!H217:OFFSET('Actual RAB roll forward'!H217,0,Input!$X$7-1))</f>
        <v>0</v>
      </c>
      <c r="F193" s="284">
        <f ca="1">IF(A14stdlife="N/A","n/a",IF(E193=0,0,A14stdlife+D193-Input!$X$7))</f>
        <v>0</v>
      </c>
      <c r="G193" s="285"/>
      <c r="H193" s="356"/>
      <c r="I193" s="287">
        <f t="shared" si="25"/>
        <v>3</v>
      </c>
      <c r="J193" s="284">
        <f ca="1">OFFSET('Tax value roll forward'!H$53,0,I193-1)-SUM('Tax value roll forward'!H259:OFFSET('Tax value roll forward'!H259,0,Input!$X$7-1))</f>
        <v>0</v>
      </c>
      <c r="K193" s="284">
        <f ca="1">IF(A14taxstdlife="N/A","n/a",IF(J193=0,0,A14taxstdlife+I193-Input!$X$7))</f>
        <v>0</v>
      </c>
      <c r="L193" s="286"/>
      <c r="M193" s="9"/>
      <c r="N193" s="9"/>
      <c r="O193" s="9"/>
      <c r="P193" s="9"/>
      <c r="Q193" s="9"/>
      <c r="R193" s="9"/>
      <c r="S193" s="271"/>
      <c r="T193" s="271"/>
      <c r="U193" s="271"/>
      <c r="V193" s="271"/>
      <c r="W193" s="271"/>
      <c r="X193" s="271"/>
      <c r="Y193" s="271"/>
      <c r="Z193" s="271"/>
    </row>
    <row r="194" spans="1:26" ht="14.45" hidden="1" customHeight="1" outlineLevel="1">
      <c r="A194" s="9"/>
      <c r="B194" s="283"/>
      <c r="C194" s="353"/>
      <c r="D194" s="287">
        <f t="shared" si="24"/>
        <v>4</v>
      </c>
      <c r="E194" s="284">
        <f ca="1">OFFSET('Actual RAB roll forward'!H$25,0,D194-1)-SUM('Actual RAB roll forward'!H218:OFFSET('Actual RAB roll forward'!H218,0,Input!$X$7-1))</f>
        <v>0</v>
      </c>
      <c r="F194" s="284">
        <f ca="1">IF(A14stdlife="N/A","n/a",IF(E194=0,0,A14stdlife+D194-Input!$X$7))</f>
        <v>0</v>
      </c>
      <c r="G194" s="285"/>
      <c r="H194" s="356"/>
      <c r="I194" s="287">
        <f t="shared" si="25"/>
        <v>4</v>
      </c>
      <c r="J194" s="284">
        <f ca="1">OFFSET('Tax value roll forward'!H$53,0,I194-1)-SUM('Tax value roll forward'!H260:OFFSET('Tax value roll forward'!H260,0,Input!$X$7-1))</f>
        <v>0</v>
      </c>
      <c r="K194" s="284">
        <f ca="1">IF(A14taxstdlife="N/A","n/a",IF(J194=0,0,A14taxstdlife+I194-Input!$X$7))</f>
        <v>0</v>
      </c>
      <c r="L194" s="286"/>
      <c r="M194" s="9"/>
      <c r="N194" s="9"/>
      <c r="O194" s="9"/>
      <c r="P194" s="9"/>
      <c r="Q194" s="9"/>
      <c r="R194" s="9"/>
      <c r="S194" s="271"/>
      <c r="T194" s="271"/>
      <c r="U194" s="271"/>
      <c r="V194" s="271"/>
      <c r="W194" s="271"/>
      <c r="X194" s="271"/>
      <c r="Y194" s="271"/>
      <c r="Z194" s="271"/>
    </row>
    <row r="195" spans="1:26" ht="14.45" hidden="1" customHeight="1" outlineLevel="1">
      <c r="A195" s="9"/>
      <c r="B195" s="283"/>
      <c r="C195" s="353"/>
      <c r="D195" s="287">
        <f t="shared" si="24"/>
        <v>5</v>
      </c>
      <c r="E195" s="284">
        <f ca="1">OFFSET('Actual RAB roll forward'!H$25,0,D195-1)-SUM('Actual RAB roll forward'!H219:OFFSET('Actual RAB roll forward'!H219,0,Input!$X$7-1))</f>
        <v>0</v>
      </c>
      <c r="F195" s="284">
        <f ca="1">IF(A14stdlife="N/A","n/a",IF(E195=0,0,A14stdlife+D195-Input!$X$7))</f>
        <v>0</v>
      </c>
      <c r="G195" s="285"/>
      <c r="H195" s="356"/>
      <c r="I195" s="287">
        <f t="shared" si="25"/>
        <v>5</v>
      </c>
      <c r="J195" s="284">
        <f ca="1">OFFSET('Tax value roll forward'!H$53,0,I195-1)-SUM('Tax value roll forward'!H261:OFFSET('Tax value roll forward'!H261,0,Input!$X$7-1))</f>
        <v>0</v>
      </c>
      <c r="K195" s="284">
        <f ca="1">IF(A14taxstdlife="N/A","n/a",IF(J195=0,0,A14taxstdlife+I195-Input!$X$7))</f>
        <v>0</v>
      </c>
      <c r="L195" s="286"/>
      <c r="M195" s="9"/>
      <c r="N195" s="9"/>
      <c r="O195" s="9"/>
      <c r="P195" s="9"/>
      <c r="Q195" s="9"/>
      <c r="R195" s="9"/>
      <c r="S195" s="271"/>
      <c r="T195" s="271"/>
      <c r="U195" s="271"/>
      <c r="V195" s="271"/>
      <c r="W195" s="271"/>
      <c r="X195" s="271"/>
      <c r="Y195" s="271"/>
      <c r="Z195" s="271"/>
    </row>
    <row r="196" spans="1:26" ht="14.45" hidden="1" customHeight="1" outlineLevel="1">
      <c r="A196" s="9"/>
      <c r="B196" s="283"/>
      <c r="C196" s="353"/>
      <c r="D196" s="287">
        <f t="shared" si="24"/>
        <v>6</v>
      </c>
      <c r="E196" s="284">
        <f ca="1">OFFSET('Actual RAB roll forward'!H$25,0,D196-1)-SUM('Actual RAB roll forward'!H220:OFFSET('Actual RAB roll forward'!H220,0,Input!$X$7-1))</f>
        <v>0</v>
      </c>
      <c r="F196" s="284">
        <f ca="1">IF(A14stdlife="N/A","n/a",IF(E196=0,0,A14stdlife+D196-Input!$X$7))</f>
        <v>0</v>
      </c>
      <c r="G196" s="285"/>
      <c r="H196" s="356"/>
      <c r="I196" s="287">
        <f t="shared" si="25"/>
        <v>6</v>
      </c>
      <c r="J196" s="284">
        <f ca="1">OFFSET('Tax value roll forward'!H$53,0,I196-1)-SUM('Tax value roll forward'!H262:OFFSET('Tax value roll forward'!H262,0,Input!$X$7-1))</f>
        <v>0</v>
      </c>
      <c r="K196" s="284">
        <f ca="1">IF(A14taxstdlife="N/A","n/a",IF(J196=0,0,A14taxstdlife+I196-Input!$X$7))</f>
        <v>0</v>
      </c>
      <c r="L196" s="286"/>
      <c r="M196" s="9"/>
      <c r="N196" s="9"/>
      <c r="O196" s="9"/>
      <c r="P196" s="9"/>
      <c r="Q196" s="9"/>
      <c r="R196" s="9"/>
      <c r="S196" s="271"/>
      <c r="T196" s="271"/>
      <c r="U196" s="271"/>
      <c r="V196" s="271"/>
      <c r="W196" s="271"/>
      <c r="X196" s="271"/>
      <c r="Y196" s="271"/>
      <c r="Z196" s="271"/>
    </row>
    <row r="197" spans="1:26" ht="14.45" hidden="1" customHeight="1" outlineLevel="1">
      <c r="A197" s="9"/>
      <c r="B197" s="283"/>
      <c r="C197" s="353"/>
      <c r="D197" s="287">
        <f t="shared" si="24"/>
        <v>7</v>
      </c>
      <c r="E197" s="284">
        <f ca="1">OFFSET('Actual RAB roll forward'!H$25,0,D197-1)-SUM('Actual RAB roll forward'!H221:OFFSET('Actual RAB roll forward'!H221,0,Input!$X$7-1))</f>
        <v>0</v>
      </c>
      <c r="F197" s="284">
        <f ca="1">IF(A14stdlife="N/A","n/a",IF(E197=0,0,A14stdlife+D197-Input!$X$7))</f>
        <v>0</v>
      </c>
      <c r="G197" s="285"/>
      <c r="H197" s="356"/>
      <c r="I197" s="287">
        <f t="shared" si="25"/>
        <v>7</v>
      </c>
      <c r="J197" s="284">
        <f ca="1">OFFSET('Tax value roll forward'!H$53,0,I197-1)-SUM('Tax value roll forward'!H263:OFFSET('Tax value roll forward'!H263,0,Input!$X$7-1))</f>
        <v>0</v>
      </c>
      <c r="K197" s="284">
        <f ca="1">IF(A14taxstdlife="N/A","n/a",IF(J197=0,0,A14taxstdlife+I197-Input!$X$7))</f>
        <v>0</v>
      </c>
      <c r="L197" s="286"/>
      <c r="M197" s="9"/>
      <c r="N197" s="9"/>
      <c r="O197" s="9"/>
      <c r="P197" s="9"/>
      <c r="Q197" s="9"/>
      <c r="R197" s="9"/>
      <c r="S197" s="271"/>
      <c r="T197" s="271"/>
      <c r="U197" s="271"/>
      <c r="V197" s="271"/>
      <c r="W197" s="271"/>
      <c r="X197" s="271"/>
      <c r="Y197" s="271"/>
      <c r="Z197" s="271"/>
    </row>
    <row r="198" spans="1:26" ht="14.45" hidden="1" customHeight="1" outlineLevel="1">
      <c r="A198" s="9"/>
      <c r="B198" s="283"/>
      <c r="C198" s="353"/>
      <c r="D198" s="287">
        <f t="shared" si="24"/>
        <v>8</v>
      </c>
      <c r="E198" s="284">
        <f ca="1">OFFSET('Actual RAB roll forward'!H$25,0,D198-1)-SUM('Actual RAB roll forward'!H222:OFFSET('Actual RAB roll forward'!H222,0,Input!$X$7-1))</f>
        <v>0</v>
      </c>
      <c r="F198" s="284">
        <f ca="1">IF(A14stdlife="N/A","n/a",IF(E198=0,0,A14stdlife+D198-Input!$X$7))</f>
        <v>0</v>
      </c>
      <c r="G198" s="285"/>
      <c r="H198" s="356"/>
      <c r="I198" s="287">
        <f t="shared" si="25"/>
        <v>8</v>
      </c>
      <c r="J198" s="284">
        <f ca="1">OFFSET('Tax value roll forward'!H$53,0,I198-1)-SUM('Tax value roll forward'!H264:OFFSET('Tax value roll forward'!H264,0,Input!$X$7-1))</f>
        <v>0</v>
      </c>
      <c r="K198" s="284">
        <f ca="1">IF(A14taxstdlife="N/A","n/a",IF(J198=0,0,A14taxstdlife+I198-Input!$X$7))</f>
        <v>0</v>
      </c>
      <c r="L198" s="286"/>
      <c r="M198" s="9"/>
      <c r="N198" s="9"/>
      <c r="O198" s="9"/>
      <c r="P198" s="9"/>
      <c r="Q198" s="9"/>
      <c r="R198" s="9"/>
      <c r="S198" s="271"/>
      <c r="T198" s="271"/>
      <c r="U198" s="271"/>
      <c r="V198" s="271"/>
      <c r="W198" s="271"/>
      <c r="X198" s="271"/>
      <c r="Y198" s="271"/>
      <c r="Z198" s="271"/>
    </row>
    <row r="199" spans="1:26" ht="14.45" hidden="1" customHeight="1" outlineLevel="1">
      <c r="A199" s="9"/>
      <c r="B199" s="283"/>
      <c r="C199" s="353"/>
      <c r="D199" s="287">
        <f t="shared" si="24"/>
        <v>9</v>
      </c>
      <c r="E199" s="284">
        <f ca="1">OFFSET('Actual RAB roll forward'!H$25,0,D199-1)-SUM('Actual RAB roll forward'!H223:OFFSET('Actual RAB roll forward'!H223,0,Input!$X$7-1))</f>
        <v>0</v>
      </c>
      <c r="F199" s="284">
        <f ca="1">IF(A14stdlife="N/A","n/a",IF(E199=0,0,A14stdlife+D199-Input!$X$7))</f>
        <v>0</v>
      </c>
      <c r="G199" s="285"/>
      <c r="H199" s="356"/>
      <c r="I199" s="287">
        <f t="shared" si="25"/>
        <v>9</v>
      </c>
      <c r="J199" s="284">
        <f ca="1">OFFSET('Tax value roll forward'!H$53,0,I199-1)-SUM('Tax value roll forward'!H265:OFFSET('Tax value roll forward'!H265,0,Input!$X$7-1))</f>
        <v>0</v>
      </c>
      <c r="K199" s="284">
        <f ca="1">IF(A14taxstdlife="N/A","n/a",IF(J199=0,0,A14taxstdlife+I199-Input!$X$7))</f>
        <v>0</v>
      </c>
      <c r="L199" s="286"/>
      <c r="M199" s="9"/>
      <c r="N199" s="9"/>
      <c r="O199" s="9"/>
      <c r="P199" s="9"/>
      <c r="Q199" s="9"/>
      <c r="R199" s="9"/>
      <c r="S199" s="271"/>
      <c r="T199" s="271"/>
      <c r="U199" s="271"/>
      <c r="V199" s="271"/>
      <c r="W199" s="271"/>
      <c r="X199" s="271"/>
      <c r="Y199" s="271"/>
      <c r="Z199" s="271"/>
    </row>
    <row r="200" spans="1:26" ht="14.45" hidden="1" customHeight="1" outlineLevel="1">
      <c r="A200" s="9"/>
      <c r="B200" s="283"/>
      <c r="C200" s="354"/>
      <c r="D200" s="89">
        <f t="shared" si="24"/>
        <v>10</v>
      </c>
      <c r="E200" s="284">
        <f ca="1">OFFSET('Actual RAB roll forward'!H$25,0,D200-1)-SUM('Actual RAB roll forward'!H224:OFFSET('Actual RAB roll forward'!H224,0,Input!$X$7-1))</f>
        <v>0</v>
      </c>
      <c r="F200" s="284">
        <f ca="1">IF(A14stdlife="N/A","n/a",IF(E200=0,0,A14stdlife+D200-Input!$X$7))</f>
        <v>0</v>
      </c>
      <c r="G200" s="285"/>
      <c r="H200" s="357"/>
      <c r="I200" s="89">
        <f t="shared" si="25"/>
        <v>10</v>
      </c>
      <c r="J200" s="284">
        <f ca="1">OFFSET('Tax value roll forward'!H$53,0,I200-1)-SUM('Tax value roll forward'!H266:OFFSET('Tax value roll forward'!H266,0,Input!$X$7-1))</f>
        <v>0</v>
      </c>
      <c r="K200" s="284">
        <f ca="1">IF(A14taxstdlife="N/A","n/a",IF(J200=0,0,A14taxstdlife+I200-Input!$X$7))</f>
        <v>0</v>
      </c>
      <c r="L200" s="286"/>
      <c r="M200" s="9"/>
      <c r="N200" s="9"/>
      <c r="O200" s="9"/>
      <c r="P200" s="9"/>
      <c r="Q200" s="9"/>
      <c r="R200" s="9"/>
      <c r="S200" s="271"/>
      <c r="T200" s="271"/>
      <c r="U200" s="271"/>
      <c r="V200" s="271"/>
      <c r="W200" s="271"/>
      <c r="X200" s="271"/>
      <c r="Y200" s="271"/>
      <c r="Z200" s="271"/>
    </row>
    <row r="201" spans="1:26" collapsed="1">
      <c r="A201" s="9"/>
      <c r="B201" s="283"/>
      <c r="C201" s="286" t="str">
        <f>B189</f>
        <v>Generation Assets</v>
      </c>
      <c r="D201" s="9"/>
      <c r="E201" s="284">
        <f ca="1">SUM(E190:E200)</f>
        <v>0.37646408612474414</v>
      </c>
      <c r="F201" s="284">
        <f ca="1">IF(A14remlife="N/A","n/a",IF(E201=0,0,SUMPRODUCT(E190:E200,F190:F200)/E201))</f>
        <v>0.60892754577580721</v>
      </c>
      <c r="G201" s="285"/>
      <c r="H201" s="45"/>
      <c r="I201" s="284"/>
      <c r="J201" s="284">
        <f ca="1">SUM(J190:J200)</f>
        <v>0.22995024877487236</v>
      </c>
      <c r="K201" s="284">
        <f ca="1">IF(A14taxstdlife="N/A","n/a",IF(J201=0,0,SUMPRODUCT(J190:J200,K190:K200)/J201))</f>
        <v>0.59930745115103523</v>
      </c>
      <c r="L201" s="286"/>
      <c r="M201" s="9"/>
      <c r="N201" s="9"/>
      <c r="O201" s="9"/>
      <c r="P201" s="9"/>
      <c r="Q201" s="9"/>
      <c r="R201" s="9"/>
      <c r="S201" s="271"/>
      <c r="T201" s="271"/>
      <c r="U201" s="271"/>
      <c r="V201" s="271"/>
      <c r="W201" s="271"/>
      <c r="X201" s="271"/>
      <c r="Y201" s="271"/>
      <c r="Z201" s="271"/>
    </row>
    <row r="202" spans="1:26" hidden="1" outlineLevel="1">
      <c r="A202" s="9"/>
      <c r="B202" s="283"/>
      <c r="C202" s="297"/>
      <c r="D202" s="298"/>
      <c r="E202" s="284"/>
      <c r="F202" s="284"/>
      <c r="G202" s="285"/>
      <c r="H202" s="284"/>
      <c r="I202" s="284"/>
      <c r="J202" s="293"/>
      <c r="K202" s="289"/>
      <c r="L202" s="286"/>
      <c r="M202" s="9"/>
      <c r="N202" s="9"/>
      <c r="O202" s="9"/>
      <c r="P202" s="9"/>
      <c r="Q202" s="9"/>
      <c r="R202" s="9"/>
      <c r="S202" s="271"/>
      <c r="T202" s="271"/>
      <c r="U202" s="271"/>
      <c r="V202" s="271"/>
      <c r="W202" s="271"/>
      <c r="X202" s="271"/>
      <c r="Y202" s="271"/>
      <c r="Z202" s="271"/>
    </row>
    <row r="203" spans="1:26" hidden="1" outlineLevel="1">
      <c r="A203" s="9"/>
      <c r="B203" s="281" t="str">
        <f>Asset15</f>
        <v>Street Lighting</v>
      </c>
      <c r="C203" s="298"/>
      <c r="D203" s="298"/>
      <c r="E203" s="296"/>
      <c r="F203" s="296"/>
      <c r="G203" s="285"/>
      <c r="H203" s="284"/>
      <c r="I203" s="284"/>
      <c r="J203" s="293"/>
      <c r="K203" s="289"/>
      <c r="L203" s="286"/>
      <c r="M203" s="9"/>
      <c r="N203" s="9"/>
      <c r="O203" s="9"/>
      <c r="P203" s="9"/>
      <c r="Q203" s="9"/>
      <c r="R203" s="9"/>
      <c r="S203" s="271"/>
      <c r="T203" s="271"/>
      <c r="U203" s="271"/>
      <c r="V203" s="271"/>
      <c r="W203" s="271"/>
      <c r="X203" s="271"/>
      <c r="Y203" s="271"/>
      <c r="Z203" s="271"/>
    </row>
    <row r="204" spans="1:26" ht="12.75" hidden="1" customHeight="1" outlineLevel="1">
      <c r="A204" s="9"/>
      <c r="B204" s="283"/>
      <c r="C204" s="358" t="str">
        <f>C190</f>
        <v>Opening RAB</v>
      </c>
      <c r="D204" s="359"/>
      <c r="E204" s="284">
        <f ca="1">A15value-SUM('Actual RAB roll forward'!H226:OFFSET('Actual RAB roll forward'!H226,0,Input!$X$7-1))</f>
        <v>0</v>
      </c>
      <c r="F204" s="284">
        <f>IF(A15remlife="N/A","n/a",A15remlife-Input!$X$7)</f>
        <v>-5</v>
      </c>
      <c r="G204" s="285"/>
      <c r="H204" s="360" t="str">
        <f>H190</f>
        <v>Initial Asset Base</v>
      </c>
      <c r="I204" s="361"/>
      <c r="J204" s="284">
        <f ca="1">(A15taxvalue+'Tax value roll forward'!G54)-SUM('Tax value roll forward'!G268:OFFSET('Tax value roll forward'!G268,2,Input!$X$7))</f>
        <v>0</v>
      </c>
      <c r="K204" s="284">
        <f>IF(A15taxremlife="N/A","n/a",A15taxremlife-Input!$X$7-1)</f>
        <v>-6</v>
      </c>
      <c r="L204" s="286"/>
      <c r="M204" s="9"/>
      <c r="N204" s="9"/>
      <c r="O204" s="9"/>
      <c r="P204" s="9"/>
      <c r="Q204" s="9"/>
      <c r="R204" s="9"/>
      <c r="S204" s="271"/>
      <c r="T204" s="271"/>
      <c r="U204" s="271"/>
      <c r="V204" s="271"/>
      <c r="W204" s="271"/>
      <c r="X204" s="271"/>
      <c r="Y204" s="271"/>
      <c r="Z204" s="271"/>
    </row>
    <row r="205" spans="1:26" ht="14.45" hidden="1" customHeight="1" outlineLevel="1">
      <c r="A205" s="9"/>
      <c r="B205" s="283"/>
      <c r="C205" s="352" t="str">
        <f>C191</f>
        <v>Capex in year</v>
      </c>
      <c r="D205" s="287">
        <f>D191</f>
        <v>1</v>
      </c>
      <c r="E205" s="284">
        <f ca="1">OFFSET('Actual RAB roll forward'!H$26,0,D205-1)-SUM('Actual RAB roll forward'!H228:OFFSET('Actual RAB roll forward'!H228,0,Input!$X$7-1))</f>
        <v>0</v>
      </c>
      <c r="F205" s="284">
        <f ca="1">IF(A15stdlife="N/A","n/a",IF(E205=0,0,A15stdlife+D205-Input!$X$7))</f>
        <v>0</v>
      </c>
      <c r="G205" s="285"/>
      <c r="H205" s="355" t="str">
        <f>H191</f>
        <v>Capex in year</v>
      </c>
      <c r="I205" s="287">
        <f>I191</f>
        <v>1</v>
      </c>
      <c r="J205" s="284">
        <f ca="1">OFFSET('Tax value roll forward'!H$54,0,I205-1)-SUM('Tax value roll forward'!H271:OFFSET('Tax value roll forward'!H271,0,Input!$X$7-1))</f>
        <v>0</v>
      </c>
      <c r="K205" s="284">
        <f ca="1">IF(A15taxstdlife="N/A","n/a",IF(J205=0,0,A15taxstdlife+I205-Input!$X$7))</f>
        <v>0</v>
      </c>
      <c r="L205" s="286"/>
      <c r="M205" s="9"/>
      <c r="N205" s="9"/>
      <c r="O205" s="9"/>
      <c r="P205" s="9"/>
      <c r="Q205" s="9"/>
      <c r="R205" s="9"/>
      <c r="S205" s="271"/>
      <c r="T205" s="271"/>
      <c r="U205" s="271"/>
      <c r="V205" s="271"/>
      <c r="W205" s="271"/>
      <c r="X205" s="271"/>
      <c r="Y205" s="271"/>
      <c r="Z205" s="271"/>
    </row>
    <row r="206" spans="1:26" ht="14.45" hidden="1" customHeight="1" outlineLevel="1">
      <c r="A206" s="9"/>
      <c r="B206" s="283"/>
      <c r="C206" s="353"/>
      <c r="D206" s="287">
        <f t="shared" ref="D206:D214" si="26">D192</f>
        <v>2</v>
      </c>
      <c r="E206" s="284">
        <f ca="1">OFFSET('Actual RAB roll forward'!H$26,0,D206-1)-SUM('Actual RAB roll forward'!H229:OFFSET('Actual RAB roll forward'!H229,0,Input!$X$7-1))</f>
        <v>0</v>
      </c>
      <c r="F206" s="284">
        <f ca="1">IF(A15stdlife="N/A","n/a",IF(E206=0,0,A15stdlife+D206-Input!$X$7))</f>
        <v>0</v>
      </c>
      <c r="G206" s="285"/>
      <c r="H206" s="356"/>
      <c r="I206" s="287">
        <f t="shared" ref="I206:I214" si="27">I192</f>
        <v>2</v>
      </c>
      <c r="J206" s="284">
        <f ca="1">OFFSET('Tax value roll forward'!H$54,0,I206-1)-SUM('Tax value roll forward'!H272:OFFSET('Tax value roll forward'!H272,0,Input!$X$7-1))</f>
        <v>0</v>
      </c>
      <c r="K206" s="284">
        <f ca="1">IF(A15taxstdlife="N/A","n/a",IF(J206=0,0,A15taxstdlife+I206-Input!$X$7))</f>
        <v>0</v>
      </c>
      <c r="L206" s="286"/>
      <c r="M206" s="9"/>
      <c r="N206" s="9"/>
      <c r="O206" s="9"/>
      <c r="P206" s="9"/>
      <c r="Q206" s="9"/>
      <c r="R206" s="9"/>
      <c r="S206" s="271"/>
      <c r="T206" s="271"/>
      <c r="U206" s="271"/>
      <c r="V206" s="271"/>
      <c r="W206" s="271"/>
      <c r="X206" s="271"/>
      <c r="Y206" s="271"/>
      <c r="Z206" s="271"/>
    </row>
    <row r="207" spans="1:26" ht="14.45" hidden="1" customHeight="1" outlineLevel="1">
      <c r="A207" s="9"/>
      <c r="B207" s="283"/>
      <c r="C207" s="353"/>
      <c r="D207" s="287">
        <f t="shared" si="26"/>
        <v>3</v>
      </c>
      <c r="E207" s="284">
        <f ca="1">OFFSET('Actual RAB roll forward'!H$26,0,D207-1)-SUM('Actual RAB roll forward'!H230:OFFSET('Actual RAB roll forward'!H230,0,Input!$X$7-1))</f>
        <v>0</v>
      </c>
      <c r="F207" s="284">
        <f ca="1">IF(A15stdlife="N/A","n/a",IF(E207=0,0,A15stdlife+D207-Input!$X$7))</f>
        <v>0</v>
      </c>
      <c r="G207" s="285"/>
      <c r="H207" s="356"/>
      <c r="I207" s="287">
        <f t="shared" si="27"/>
        <v>3</v>
      </c>
      <c r="J207" s="284">
        <f ca="1">OFFSET('Tax value roll forward'!H$54,0,I207-1)-SUM('Tax value roll forward'!H273:OFFSET('Tax value roll forward'!H273,0,Input!$X$7-1))</f>
        <v>0</v>
      </c>
      <c r="K207" s="284">
        <f ca="1">IF(A15taxstdlife="N/A","n/a",IF(J207=0,0,A15taxstdlife+I207-Input!$X$7))</f>
        <v>0</v>
      </c>
      <c r="L207" s="286"/>
      <c r="M207" s="9"/>
      <c r="N207" s="9"/>
      <c r="O207" s="9"/>
      <c r="P207" s="9"/>
      <c r="Q207" s="9"/>
      <c r="R207" s="9"/>
      <c r="S207" s="271"/>
      <c r="T207" s="271"/>
      <c r="U207" s="271"/>
      <c r="V207" s="271"/>
      <c r="W207" s="271"/>
      <c r="X207" s="271"/>
      <c r="Y207" s="271"/>
      <c r="Z207" s="271"/>
    </row>
    <row r="208" spans="1:26" ht="14.45" hidden="1" customHeight="1" outlineLevel="1">
      <c r="A208" s="9"/>
      <c r="B208" s="283"/>
      <c r="C208" s="353"/>
      <c r="D208" s="287">
        <f t="shared" si="26"/>
        <v>4</v>
      </c>
      <c r="E208" s="284">
        <f ca="1">OFFSET('Actual RAB roll forward'!H$26,0,D208-1)-SUM('Actual RAB roll forward'!H231:OFFSET('Actual RAB roll forward'!H231,0,Input!$X$7-1))</f>
        <v>0</v>
      </c>
      <c r="F208" s="284">
        <f ca="1">IF(A15stdlife="N/A","n/a",IF(E208=0,0,A15stdlife+D208-Input!$X$7))</f>
        <v>0</v>
      </c>
      <c r="G208" s="285"/>
      <c r="H208" s="356"/>
      <c r="I208" s="287">
        <f t="shared" si="27"/>
        <v>4</v>
      </c>
      <c r="J208" s="284">
        <f ca="1">OFFSET('Tax value roll forward'!H$54,0,I208-1)-SUM('Tax value roll forward'!H274:OFFSET('Tax value roll forward'!H274,0,Input!$X$7-1))</f>
        <v>0</v>
      </c>
      <c r="K208" s="284">
        <f ca="1">IF(A15taxstdlife="N/A","n/a",IF(J208=0,0,A15taxstdlife+I208-Input!$X$7))</f>
        <v>0</v>
      </c>
      <c r="L208" s="286"/>
      <c r="M208" s="9"/>
      <c r="N208" s="9"/>
      <c r="O208" s="9"/>
      <c r="P208" s="9"/>
      <c r="Q208" s="9"/>
      <c r="R208" s="9"/>
      <c r="S208" s="271"/>
      <c r="T208" s="271"/>
      <c r="U208" s="271"/>
      <c r="V208" s="271"/>
      <c r="W208" s="271"/>
      <c r="X208" s="271"/>
      <c r="Y208" s="271"/>
      <c r="Z208" s="271"/>
    </row>
    <row r="209" spans="1:26" ht="14.45" hidden="1" customHeight="1" outlineLevel="1">
      <c r="A209" s="9"/>
      <c r="B209" s="283"/>
      <c r="C209" s="353"/>
      <c r="D209" s="287">
        <f t="shared" si="26"/>
        <v>5</v>
      </c>
      <c r="E209" s="284">
        <f ca="1">OFFSET('Actual RAB roll forward'!H$26,0,D209-1)-SUM('Actual RAB roll forward'!H232:OFFSET('Actual RAB roll forward'!H232,0,Input!$X$7-1))</f>
        <v>0</v>
      </c>
      <c r="F209" s="284">
        <f ca="1">IF(A15stdlife="N/A","n/a",IF(E209=0,0,A15stdlife+D209-Input!$X$7))</f>
        <v>0</v>
      </c>
      <c r="G209" s="285"/>
      <c r="H209" s="356"/>
      <c r="I209" s="287">
        <f t="shared" si="27"/>
        <v>5</v>
      </c>
      <c r="J209" s="284">
        <f ca="1">OFFSET('Tax value roll forward'!H$54,0,I209-1)-SUM('Tax value roll forward'!H275:OFFSET('Tax value roll forward'!H275,0,Input!$X$7-1))</f>
        <v>0</v>
      </c>
      <c r="K209" s="284">
        <f ca="1">IF(A15taxstdlife="N/A","n/a",IF(J209=0,0,A15taxstdlife+I209-Input!$X$7))</f>
        <v>0</v>
      </c>
      <c r="L209" s="286"/>
      <c r="M209" s="9"/>
      <c r="N209" s="9"/>
      <c r="O209" s="9"/>
      <c r="P209" s="9"/>
      <c r="Q209" s="9"/>
      <c r="R209" s="9"/>
      <c r="S209" s="271"/>
      <c r="T209" s="271"/>
      <c r="U209" s="271"/>
      <c r="V209" s="271"/>
      <c r="W209" s="271"/>
      <c r="X209" s="271"/>
      <c r="Y209" s="271"/>
      <c r="Z209" s="271"/>
    </row>
    <row r="210" spans="1:26" ht="14.45" hidden="1" customHeight="1" outlineLevel="1">
      <c r="A210" s="9"/>
      <c r="B210" s="283"/>
      <c r="C210" s="353"/>
      <c r="D210" s="287">
        <f t="shared" si="26"/>
        <v>6</v>
      </c>
      <c r="E210" s="284">
        <f ca="1">OFFSET('Actual RAB roll forward'!H$26,0,D210-1)-SUM('Actual RAB roll forward'!H233:OFFSET('Actual RAB roll forward'!H233,0,Input!$X$7-1))</f>
        <v>0</v>
      </c>
      <c r="F210" s="284">
        <f ca="1">IF(A15stdlife="N/A","n/a",IF(E210=0,0,A15stdlife+D210-Input!$X$7))</f>
        <v>0</v>
      </c>
      <c r="G210" s="285"/>
      <c r="H210" s="356"/>
      <c r="I210" s="287">
        <f t="shared" si="27"/>
        <v>6</v>
      </c>
      <c r="J210" s="284">
        <f ca="1">OFFSET('Tax value roll forward'!H$54,0,I210-1)-SUM('Tax value roll forward'!H276:OFFSET('Tax value roll forward'!H276,0,Input!$X$7-1))</f>
        <v>0</v>
      </c>
      <c r="K210" s="284">
        <f ca="1">IF(A15taxstdlife="N/A","n/a",IF(J210=0,0,A15taxstdlife+I210-Input!$X$7))</f>
        <v>0</v>
      </c>
      <c r="L210" s="286"/>
      <c r="M210" s="9"/>
      <c r="N210" s="9"/>
      <c r="O210" s="9"/>
      <c r="P210" s="9"/>
      <c r="Q210" s="9"/>
      <c r="R210" s="9"/>
      <c r="S210" s="271"/>
      <c r="T210" s="271"/>
      <c r="U210" s="271"/>
      <c r="V210" s="271"/>
      <c r="W210" s="271"/>
      <c r="X210" s="271"/>
      <c r="Y210" s="271"/>
      <c r="Z210" s="271"/>
    </row>
    <row r="211" spans="1:26" ht="14.45" hidden="1" customHeight="1" outlineLevel="1">
      <c r="A211" s="9"/>
      <c r="B211" s="283"/>
      <c r="C211" s="353"/>
      <c r="D211" s="287">
        <f t="shared" si="26"/>
        <v>7</v>
      </c>
      <c r="E211" s="284">
        <f ca="1">OFFSET('Actual RAB roll forward'!H$26,0,D211-1)-SUM('Actual RAB roll forward'!H234:OFFSET('Actual RAB roll forward'!H234,0,Input!$X$7-1))</f>
        <v>0</v>
      </c>
      <c r="F211" s="284">
        <f ca="1">IF(A15stdlife="N/A","n/a",IF(E211=0,0,A15stdlife+D211-Input!$X$7))</f>
        <v>0</v>
      </c>
      <c r="G211" s="285"/>
      <c r="H211" s="356"/>
      <c r="I211" s="287">
        <f t="shared" si="27"/>
        <v>7</v>
      </c>
      <c r="J211" s="284">
        <f ca="1">OFFSET('Tax value roll forward'!H$54,0,I211-1)-SUM('Tax value roll forward'!H277:OFFSET('Tax value roll forward'!H277,0,Input!$X$7-1))</f>
        <v>0</v>
      </c>
      <c r="K211" s="284">
        <f ca="1">IF(A15taxstdlife="N/A","n/a",IF(J211=0,0,A15taxstdlife+I211-Input!$X$7))</f>
        <v>0</v>
      </c>
      <c r="L211" s="286"/>
      <c r="M211" s="9"/>
      <c r="N211" s="9"/>
      <c r="O211" s="9"/>
      <c r="P211" s="9"/>
      <c r="Q211" s="9"/>
      <c r="R211" s="9"/>
      <c r="S211" s="271"/>
      <c r="T211" s="271"/>
      <c r="U211" s="271"/>
      <c r="V211" s="271"/>
      <c r="W211" s="271"/>
      <c r="X211" s="271"/>
      <c r="Y211" s="271"/>
      <c r="Z211" s="271"/>
    </row>
    <row r="212" spans="1:26" ht="14.45" hidden="1" customHeight="1" outlineLevel="1">
      <c r="A212" s="9"/>
      <c r="B212" s="283"/>
      <c r="C212" s="353"/>
      <c r="D212" s="287">
        <f t="shared" si="26"/>
        <v>8</v>
      </c>
      <c r="E212" s="284">
        <f ca="1">OFFSET('Actual RAB roll forward'!H$26,0,D212-1)-SUM('Actual RAB roll forward'!H235:OFFSET('Actual RAB roll forward'!H235,0,Input!$X$7-1))</f>
        <v>0</v>
      </c>
      <c r="F212" s="284">
        <f ca="1">IF(A15stdlife="N/A","n/a",IF(E212=0,0,A15stdlife+D212-Input!$X$7))</f>
        <v>0</v>
      </c>
      <c r="G212" s="285"/>
      <c r="H212" s="356"/>
      <c r="I212" s="287">
        <f t="shared" si="27"/>
        <v>8</v>
      </c>
      <c r="J212" s="284">
        <f ca="1">OFFSET('Tax value roll forward'!H$54,0,I212-1)-SUM('Tax value roll forward'!H278:OFFSET('Tax value roll forward'!H278,0,Input!$X$7-1))</f>
        <v>0</v>
      </c>
      <c r="K212" s="284">
        <f ca="1">IF(A15taxstdlife="N/A","n/a",IF(J212=0,0,A15taxstdlife+I212-Input!$X$7))</f>
        <v>0</v>
      </c>
      <c r="L212" s="286"/>
      <c r="M212" s="9"/>
      <c r="N212" s="9"/>
      <c r="O212" s="9"/>
      <c r="P212" s="9"/>
      <c r="Q212" s="9"/>
      <c r="R212" s="9"/>
      <c r="S212" s="271"/>
      <c r="T212" s="271"/>
      <c r="U212" s="271"/>
      <c r="V212" s="271"/>
      <c r="W212" s="271"/>
      <c r="X212" s="271"/>
      <c r="Y212" s="271"/>
      <c r="Z212" s="271"/>
    </row>
    <row r="213" spans="1:26" ht="14.45" hidden="1" customHeight="1" outlineLevel="1">
      <c r="A213" s="9"/>
      <c r="B213" s="283"/>
      <c r="C213" s="353"/>
      <c r="D213" s="287">
        <f t="shared" si="26"/>
        <v>9</v>
      </c>
      <c r="E213" s="284">
        <f ca="1">OFFSET('Actual RAB roll forward'!H$26,0,D213-1)-SUM('Actual RAB roll forward'!H236:OFFSET('Actual RAB roll forward'!H236,0,Input!$X$7-1))</f>
        <v>0</v>
      </c>
      <c r="F213" s="284">
        <f ca="1">IF(A15stdlife="N/A","n/a",IF(E213=0,0,A15stdlife+D213-Input!$X$7))</f>
        <v>0</v>
      </c>
      <c r="G213" s="285"/>
      <c r="H213" s="356"/>
      <c r="I213" s="287">
        <f t="shared" si="27"/>
        <v>9</v>
      </c>
      <c r="J213" s="284">
        <f ca="1">OFFSET('Tax value roll forward'!H$54,0,I213-1)-SUM('Tax value roll forward'!H279:OFFSET('Tax value roll forward'!H279,0,Input!$X$7-1))</f>
        <v>0</v>
      </c>
      <c r="K213" s="284">
        <f ca="1">IF(A15taxstdlife="N/A","n/a",IF(J213=0,0,A15taxstdlife+I213-Input!$X$7))</f>
        <v>0</v>
      </c>
      <c r="L213" s="286"/>
      <c r="M213" s="9"/>
      <c r="N213" s="9"/>
      <c r="O213" s="9"/>
      <c r="P213" s="9"/>
      <c r="Q213" s="9"/>
      <c r="R213" s="9"/>
      <c r="S213" s="271"/>
      <c r="T213" s="271"/>
      <c r="U213" s="271"/>
      <c r="V213" s="271"/>
      <c r="W213" s="271"/>
      <c r="X213" s="271"/>
      <c r="Y213" s="271"/>
      <c r="Z213" s="271"/>
    </row>
    <row r="214" spans="1:26" ht="14.45" hidden="1" customHeight="1" outlineLevel="1">
      <c r="A214" s="9"/>
      <c r="B214" s="283"/>
      <c r="C214" s="354"/>
      <c r="D214" s="89">
        <f t="shared" si="26"/>
        <v>10</v>
      </c>
      <c r="E214" s="284">
        <f ca="1">OFFSET('Actual RAB roll forward'!H$26,0,D214-1)-SUM('Actual RAB roll forward'!H237:OFFSET('Actual RAB roll forward'!H237,0,Input!$X$7-1))</f>
        <v>0</v>
      </c>
      <c r="F214" s="284">
        <f ca="1">IF(A15stdlife="N/A","n/a",IF(E214=0,0,A15stdlife+D214-Input!$X$7))</f>
        <v>0</v>
      </c>
      <c r="G214" s="285"/>
      <c r="H214" s="357"/>
      <c r="I214" s="89">
        <f t="shared" si="27"/>
        <v>10</v>
      </c>
      <c r="J214" s="284">
        <f ca="1">OFFSET('Tax value roll forward'!H$54,0,I214-1)-SUM('Tax value roll forward'!H280:OFFSET('Tax value roll forward'!H280,0,Input!$X$7-1))</f>
        <v>0</v>
      </c>
      <c r="K214" s="284">
        <f ca="1">IF(A15taxstdlife="N/A","n/a",IF(J214=0,0,A15taxstdlife+I214-Input!$X$7))</f>
        <v>0</v>
      </c>
      <c r="L214" s="286"/>
      <c r="M214" s="9"/>
      <c r="N214" s="9"/>
      <c r="O214" s="9"/>
      <c r="P214" s="9"/>
      <c r="Q214" s="9"/>
      <c r="R214" s="9"/>
      <c r="S214" s="271"/>
      <c r="T214" s="271"/>
      <c r="U214" s="271"/>
      <c r="V214" s="271"/>
      <c r="W214" s="271"/>
      <c r="X214" s="271"/>
      <c r="Y214" s="271"/>
      <c r="Z214" s="271"/>
    </row>
    <row r="215" spans="1:26" collapsed="1">
      <c r="A215" s="9"/>
      <c r="B215" s="283"/>
      <c r="C215" s="286" t="str">
        <f>B203</f>
        <v>Street Lighting</v>
      </c>
      <c r="D215" s="9"/>
      <c r="E215" s="284">
        <f ca="1">SUM(E204:E214)</f>
        <v>0</v>
      </c>
      <c r="F215" s="284">
        <f ca="1">IF(A15remlife="N/A","n/a",IF(E215=0,0,SUMPRODUCT(E204:E214,F204:F214)/E215))</f>
        <v>0</v>
      </c>
      <c r="G215" s="285"/>
      <c r="H215" s="45"/>
      <c r="I215" s="284"/>
      <c r="J215" s="284">
        <f ca="1">SUM(J204:J214)</f>
        <v>0</v>
      </c>
      <c r="K215" s="284">
        <f ca="1">IF(A15taxstdlife="N/A","n/a",IF(J215=0,0,SUMPRODUCT(J204:J214,K204:K214)/J215))</f>
        <v>0</v>
      </c>
      <c r="L215" s="286"/>
      <c r="M215" s="9"/>
      <c r="N215" s="9"/>
      <c r="O215" s="9"/>
      <c r="P215" s="9"/>
      <c r="Q215" s="9"/>
      <c r="R215" s="9"/>
      <c r="S215" s="271"/>
      <c r="T215" s="271"/>
      <c r="U215" s="271"/>
      <c r="V215" s="271"/>
      <c r="W215" s="271"/>
      <c r="X215" s="271"/>
      <c r="Y215" s="271"/>
      <c r="Z215" s="271"/>
    </row>
    <row r="216" spans="1:26" hidden="1" outlineLevel="1">
      <c r="A216" s="9"/>
      <c r="B216" s="283"/>
      <c r="C216" s="297"/>
      <c r="D216" s="298"/>
      <c r="E216" s="284"/>
      <c r="F216" s="284"/>
      <c r="G216" s="285"/>
      <c r="H216" s="284"/>
      <c r="I216" s="284"/>
      <c r="J216" s="293"/>
      <c r="K216" s="289"/>
      <c r="L216" s="286"/>
      <c r="M216" s="9"/>
      <c r="N216" s="9"/>
      <c r="O216" s="9"/>
      <c r="P216" s="9"/>
      <c r="Q216" s="9"/>
      <c r="R216" s="9"/>
      <c r="S216" s="271"/>
      <c r="T216" s="271"/>
      <c r="U216" s="271"/>
      <c r="V216" s="271"/>
      <c r="W216" s="271"/>
      <c r="X216" s="271"/>
      <c r="Y216" s="271"/>
      <c r="Z216" s="271"/>
    </row>
    <row r="217" spans="1:26" hidden="1" outlineLevel="1">
      <c r="A217" s="9"/>
      <c r="B217" s="281" t="str">
        <f>Asset16</f>
        <v>Other Equipment</v>
      </c>
      <c r="C217" s="298"/>
      <c r="D217" s="298"/>
      <c r="E217" s="296"/>
      <c r="F217" s="296"/>
      <c r="G217" s="285"/>
      <c r="H217" s="284"/>
      <c r="I217" s="284"/>
      <c r="J217" s="293"/>
      <c r="K217" s="289"/>
      <c r="L217" s="286"/>
      <c r="M217" s="9"/>
      <c r="N217" s="9"/>
      <c r="O217" s="9"/>
      <c r="P217" s="9"/>
      <c r="Q217" s="9"/>
      <c r="R217" s="9"/>
      <c r="S217" s="271"/>
      <c r="T217" s="271"/>
      <c r="U217" s="271"/>
      <c r="V217" s="271"/>
      <c r="W217" s="271"/>
      <c r="X217" s="271"/>
      <c r="Y217" s="271"/>
      <c r="Z217" s="271"/>
    </row>
    <row r="218" spans="1:26" ht="12.75" hidden="1" customHeight="1" outlineLevel="1">
      <c r="A218" s="9"/>
      <c r="B218" s="299"/>
      <c r="C218" s="358" t="str">
        <f>C204</f>
        <v>Opening RAB</v>
      </c>
      <c r="D218" s="359"/>
      <c r="E218" s="284">
        <f ca="1">A16value-SUM('Actual RAB roll forward'!H239:OFFSET('Actual RAB roll forward'!H239,0,Input!$X$7-1))</f>
        <v>15.708282389886721</v>
      </c>
      <c r="F218" s="284">
        <f>IF(A16remlife="N/A","n/a",A16remlife-Input!$X$7)</f>
        <v>31.785407606725194</v>
      </c>
      <c r="G218" s="285"/>
      <c r="H218" s="360" t="str">
        <f>H204</f>
        <v>Initial Asset Base</v>
      </c>
      <c r="I218" s="361"/>
      <c r="J218" s="284">
        <f ca="1">(A16taxvalue+'Tax value roll forward'!G55)-SUM('Tax value roll forward'!G282:OFFSET('Tax value roll forward'!G282,2,Input!$X$7))</f>
        <v>17.653043450704107</v>
      </c>
      <c r="K218" s="284">
        <f>IF(A16taxremlife="N/A","n/a",A16taxremlife-Input!$X$7-1)</f>
        <v>31.769387900381986</v>
      </c>
      <c r="L218" s="286"/>
      <c r="M218" s="9"/>
      <c r="N218" s="9"/>
      <c r="O218" s="9"/>
      <c r="P218" s="9"/>
      <c r="Q218" s="9"/>
      <c r="R218" s="9"/>
      <c r="S218" s="271"/>
      <c r="T218" s="271"/>
      <c r="U218" s="271"/>
      <c r="V218" s="271"/>
      <c r="W218" s="271"/>
      <c r="X218" s="271"/>
      <c r="Y218" s="271"/>
      <c r="Z218" s="271"/>
    </row>
    <row r="219" spans="1:26" ht="14.45" hidden="1" customHeight="1" outlineLevel="1">
      <c r="A219" s="9"/>
      <c r="B219" s="283"/>
      <c r="C219" s="352" t="str">
        <f>C205</f>
        <v>Capex in year</v>
      </c>
      <c r="D219" s="287">
        <f>D205</f>
        <v>1</v>
      </c>
      <c r="E219" s="284">
        <f ca="1">OFFSET('Actual RAB roll forward'!H$27,0,D219-1)-SUM('Actual RAB roll forward'!H241:OFFSET('Actual RAB roll forward'!H241,0,Input!$X$7-1))</f>
        <v>0</v>
      </c>
      <c r="F219" s="284">
        <f ca="1">IF(A16stdlife="N/A","n/a",IF(E219=0,0,A16stdlife+D219-Input!$X$7))</f>
        <v>0</v>
      </c>
      <c r="G219" s="285"/>
      <c r="H219" s="355" t="str">
        <f>H205</f>
        <v>Capex in year</v>
      </c>
      <c r="I219" s="287">
        <f>I205</f>
        <v>1</v>
      </c>
      <c r="J219" s="284">
        <f ca="1">OFFSET('Tax value roll forward'!H$55,0,I219-1)-SUM('Tax value roll forward'!H285:OFFSET('Tax value roll forward'!H285,0,Input!$X$7-1))</f>
        <v>0</v>
      </c>
      <c r="K219" s="284">
        <f ca="1">IF(A16taxstdlife="N/A","n/a",IF(J219=0,0,A16taxstdlife+I219-Input!$X$7))</f>
        <v>0</v>
      </c>
      <c r="L219" s="286"/>
      <c r="M219" s="9"/>
      <c r="N219" s="9"/>
      <c r="O219" s="9"/>
      <c r="P219" s="9"/>
      <c r="Q219" s="9"/>
      <c r="R219" s="9"/>
      <c r="S219" s="271"/>
      <c r="T219" s="271"/>
      <c r="U219" s="271"/>
      <c r="V219" s="271"/>
      <c r="W219" s="271"/>
      <c r="X219" s="271"/>
      <c r="Y219" s="271"/>
      <c r="Z219" s="271"/>
    </row>
    <row r="220" spans="1:26" ht="14.45" hidden="1" customHeight="1" outlineLevel="1">
      <c r="A220" s="9"/>
      <c r="B220" s="283"/>
      <c r="C220" s="353"/>
      <c r="D220" s="287">
        <f t="shared" ref="D220:D228" si="28">D206</f>
        <v>2</v>
      </c>
      <c r="E220" s="284">
        <f ca="1">OFFSET('Actual RAB roll forward'!H$27,0,D220-1)-SUM('Actual RAB roll forward'!H242:OFFSET('Actual RAB roll forward'!H242,0,Input!$X$7-1))</f>
        <v>0</v>
      </c>
      <c r="F220" s="284">
        <f ca="1">IF(A16stdlife="N/A","n/a",IF(E220=0,0,A16stdlife+D220-Input!$X$7))</f>
        <v>0</v>
      </c>
      <c r="G220" s="285"/>
      <c r="H220" s="356"/>
      <c r="I220" s="287">
        <f t="shared" ref="I220:I228" si="29">I206</f>
        <v>2</v>
      </c>
      <c r="J220" s="284">
        <f ca="1">OFFSET('Tax value roll forward'!H$55,0,I220-1)-SUM('Tax value roll forward'!H286:OFFSET('Tax value roll forward'!H286,0,Input!$X$7-1))</f>
        <v>0</v>
      </c>
      <c r="K220" s="284">
        <f ca="1">IF(A16taxstdlife="N/A","n/a",IF(J220=0,0,A16taxstdlife+I220-Input!$X$7))</f>
        <v>0</v>
      </c>
      <c r="L220" s="286"/>
      <c r="M220" s="9"/>
      <c r="N220" s="9"/>
      <c r="O220" s="9"/>
      <c r="P220" s="9"/>
      <c r="Q220" s="9"/>
      <c r="R220" s="9"/>
      <c r="S220" s="271"/>
      <c r="T220" s="271"/>
      <c r="U220" s="271"/>
      <c r="V220" s="271"/>
      <c r="W220" s="271"/>
      <c r="X220" s="271"/>
      <c r="Y220" s="271"/>
      <c r="Z220" s="271"/>
    </row>
    <row r="221" spans="1:26" ht="14.45" hidden="1" customHeight="1" outlineLevel="1">
      <c r="A221" s="9"/>
      <c r="B221" s="283"/>
      <c r="C221" s="353"/>
      <c r="D221" s="287">
        <f t="shared" si="28"/>
        <v>3</v>
      </c>
      <c r="E221" s="284">
        <f ca="1">OFFSET('Actual RAB roll forward'!H$27,0,D221-1)-SUM('Actual RAB roll forward'!H243:OFFSET('Actual RAB roll forward'!H243,0,Input!$X$7-1))</f>
        <v>0</v>
      </c>
      <c r="F221" s="284">
        <f ca="1">IF(A16stdlife="N/A","n/a",IF(E221=0,0,A16stdlife+D221-Input!$X$7))</f>
        <v>0</v>
      </c>
      <c r="G221" s="285"/>
      <c r="H221" s="356"/>
      <c r="I221" s="287">
        <f t="shared" si="29"/>
        <v>3</v>
      </c>
      <c r="J221" s="284">
        <f ca="1">OFFSET('Tax value roll forward'!H$55,0,I221-1)-SUM('Tax value roll forward'!H287:OFFSET('Tax value roll forward'!H287,0,Input!$X$7-1))</f>
        <v>0</v>
      </c>
      <c r="K221" s="284">
        <f ca="1">IF(A16taxstdlife="N/A","n/a",IF(J221=0,0,A16taxstdlife+I221-Input!$X$7))</f>
        <v>0</v>
      </c>
      <c r="L221" s="286"/>
      <c r="M221" s="9"/>
      <c r="N221" s="9"/>
      <c r="O221" s="9"/>
      <c r="P221" s="9"/>
      <c r="Q221" s="9"/>
      <c r="R221" s="9"/>
      <c r="S221" s="271"/>
      <c r="T221" s="271"/>
      <c r="U221" s="271"/>
      <c r="V221" s="271"/>
      <c r="W221" s="271"/>
      <c r="X221" s="271"/>
      <c r="Y221" s="271"/>
      <c r="Z221" s="271"/>
    </row>
    <row r="222" spans="1:26" ht="14.45" hidden="1" customHeight="1" outlineLevel="1">
      <c r="A222" s="9"/>
      <c r="B222" s="283"/>
      <c r="C222" s="353"/>
      <c r="D222" s="287">
        <f t="shared" si="28"/>
        <v>4</v>
      </c>
      <c r="E222" s="284">
        <f ca="1">OFFSET('Actual RAB roll forward'!H$27,0,D222-1)-SUM('Actual RAB roll forward'!H244:OFFSET('Actual RAB roll forward'!H244,0,Input!$X$7-1))</f>
        <v>0</v>
      </c>
      <c r="F222" s="284">
        <f ca="1">IF(A16stdlife="N/A","n/a",IF(E222=0,0,A16stdlife+D222-Input!$X$7))</f>
        <v>0</v>
      </c>
      <c r="G222" s="285"/>
      <c r="H222" s="356"/>
      <c r="I222" s="287">
        <f t="shared" si="29"/>
        <v>4</v>
      </c>
      <c r="J222" s="284">
        <f ca="1">OFFSET('Tax value roll forward'!H$55,0,I222-1)-SUM('Tax value roll forward'!H288:OFFSET('Tax value roll forward'!H288,0,Input!$X$7-1))</f>
        <v>0</v>
      </c>
      <c r="K222" s="284">
        <f ca="1">IF(A16taxstdlife="N/A","n/a",IF(J222=0,0,A16taxstdlife+I222-Input!$X$7))</f>
        <v>0</v>
      </c>
      <c r="L222" s="286"/>
      <c r="M222" s="9"/>
      <c r="N222" s="9"/>
      <c r="O222" s="9"/>
      <c r="P222" s="9"/>
      <c r="Q222" s="9"/>
      <c r="R222" s="9"/>
      <c r="S222" s="271"/>
      <c r="T222" s="271"/>
      <c r="U222" s="271"/>
      <c r="V222" s="271"/>
      <c r="W222" s="271"/>
      <c r="X222" s="271"/>
      <c r="Y222" s="271"/>
      <c r="Z222" s="271"/>
    </row>
    <row r="223" spans="1:26" ht="14.45" hidden="1" customHeight="1" outlineLevel="1">
      <c r="A223" s="9"/>
      <c r="B223" s="283"/>
      <c r="C223" s="353"/>
      <c r="D223" s="287">
        <f t="shared" si="28"/>
        <v>5</v>
      </c>
      <c r="E223" s="284">
        <f ca="1">OFFSET('Actual RAB roll forward'!H$27,0,D223-1)-SUM('Actual RAB roll forward'!H245:OFFSET('Actual RAB roll forward'!H245,0,Input!$X$7-1))</f>
        <v>0</v>
      </c>
      <c r="F223" s="284">
        <f ca="1">IF(A16stdlife="N/A","n/a",IF(E223=0,0,A16stdlife+D223-Input!$X$7))</f>
        <v>0</v>
      </c>
      <c r="G223" s="285"/>
      <c r="H223" s="356"/>
      <c r="I223" s="287">
        <f t="shared" si="29"/>
        <v>5</v>
      </c>
      <c r="J223" s="284">
        <f ca="1">OFFSET('Tax value roll forward'!H$55,0,I223-1)-SUM('Tax value roll forward'!H289:OFFSET('Tax value roll forward'!H289,0,Input!$X$7-1))</f>
        <v>0</v>
      </c>
      <c r="K223" s="284">
        <f ca="1">IF(A16taxstdlife="N/A","n/a",IF(J223=0,0,A16taxstdlife+I223-Input!$X$7))</f>
        <v>0</v>
      </c>
      <c r="L223" s="286"/>
      <c r="M223" s="9"/>
      <c r="N223" s="9"/>
      <c r="O223" s="9"/>
      <c r="P223" s="9"/>
      <c r="Q223" s="9"/>
      <c r="R223" s="9"/>
      <c r="S223" s="271"/>
      <c r="T223" s="271"/>
      <c r="U223" s="271"/>
      <c r="V223" s="271"/>
      <c r="W223" s="271"/>
      <c r="X223" s="271"/>
      <c r="Y223" s="271"/>
      <c r="Z223" s="271"/>
    </row>
    <row r="224" spans="1:26" ht="14.45" hidden="1" customHeight="1" outlineLevel="1">
      <c r="A224" s="9"/>
      <c r="B224" s="283"/>
      <c r="C224" s="353"/>
      <c r="D224" s="287">
        <f t="shared" si="28"/>
        <v>6</v>
      </c>
      <c r="E224" s="284">
        <f ca="1">OFFSET('Actual RAB roll forward'!H$27,0,D224-1)-SUM('Actual RAB roll forward'!H246:OFFSET('Actual RAB roll forward'!H246,0,Input!$X$7-1))</f>
        <v>0</v>
      </c>
      <c r="F224" s="284">
        <f ca="1">IF(A16stdlife="N/A","n/a",IF(E224=0,0,A16stdlife+D224-Input!$X$7))</f>
        <v>0</v>
      </c>
      <c r="G224" s="285"/>
      <c r="H224" s="356"/>
      <c r="I224" s="287">
        <f t="shared" si="29"/>
        <v>6</v>
      </c>
      <c r="J224" s="284">
        <f ca="1">OFFSET('Tax value roll forward'!H$55,0,I224-1)-SUM('Tax value roll forward'!H290:OFFSET('Tax value roll forward'!H290,0,Input!$X$7-1))</f>
        <v>0</v>
      </c>
      <c r="K224" s="284">
        <f ca="1">IF(A16taxstdlife="N/A","n/a",IF(J224=0,0,A16taxstdlife+I224-Input!$X$7))</f>
        <v>0</v>
      </c>
      <c r="L224" s="286"/>
      <c r="M224" s="9"/>
      <c r="N224" s="9"/>
      <c r="O224" s="9"/>
      <c r="P224" s="9"/>
      <c r="Q224" s="9"/>
      <c r="R224" s="9"/>
      <c r="S224" s="271"/>
      <c r="T224" s="271"/>
      <c r="U224" s="271"/>
      <c r="V224" s="271"/>
      <c r="W224" s="271"/>
      <c r="X224" s="271"/>
      <c r="Y224" s="271"/>
      <c r="Z224" s="271"/>
    </row>
    <row r="225" spans="1:26" ht="14.45" hidden="1" customHeight="1" outlineLevel="1">
      <c r="A225" s="9"/>
      <c r="B225" s="283"/>
      <c r="C225" s="353"/>
      <c r="D225" s="287">
        <f t="shared" si="28"/>
        <v>7</v>
      </c>
      <c r="E225" s="284">
        <f ca="1">OFFSET('Actual RAB roll forward'!H$27,0,D225-1)-SUM('Actual RAB roll forward'!H247:OFFSET('Actual RAB roll forward'!H247,0,Input!$X$7-1))</f>
        <v>0</v>
      </c>
      <c r="F225" s="284">
        <f ca="1">IF(A16stdlife="N/A","n/a",IF(E225=0,0,A16stdlife+D225-Input!$X$7))</f>
        <v>0</v>
      </c>
      <c r="G225" s="285"/>
      <c r="H225" s="356"/>
      <c r="I225" s="287">
        <f t="shared" si="29"/>
        <v>7</v>
      </c>
      <c r="J225" s="284">
        <f ca="1">OFFSET('Tax value roll forward'!H$55,0,I225-1)-SUM('Tax value roll forward'!H291:OFFSET('Tax value roll forward'!H291,0,Input!$X$7-1))</f>
        <v>0</v>
      </c>
      <c r="K225" s="284">
        <f ca="1">IF(A16taxstdlife="N/A","n/a",IF(J225=0,0,A16taxstdlife+I225-Input!$X$7))</f>
        <v>0</v>
      </c>
      <c r="L225" s="286"/>
      <c r="M225" s="9"/>
      <c r="N225" s="9"/>
      <c r="O225" s="9"/>
      <c r="P225" s="9"/>
      <c r="Q225" s="9"/>
      <c r="R225" s="9"/>
      <c r="S225" s="271"/>
      <c r="T225" s="271"/>
      <c r="U225" s="271"/>
      <c r="V225" s="271"/>
      <c r="W225" s="271"/>
      <c r="X225" s="271"/>
      <c r="Y225" s="271"/>
      <c r="Z225" s="271"/>
    </row>
    <row r="226" spans="1:26" ht="14.45" hidden="1" customHeight="1" outlineLevel="1">
      <c r="A226" s="9"/>
      <c r="B226" s="283"/>
      <c r="C226" s="353"/>
      <c r="D226" s="287">
        <f t="shared" si="28"/>
        <v>8</v>
      </c>
      <c r="E226" s="284">
        <f ca="1">OFFSET('Actual RAB roll forward'!H$27,0,D226-1)-SUM('Actual RAB roll forward'!H248:OFFSET('Actual RAB roll forward'!H248,0,Input!$X$7-1))</f>
        <v>0</v>
      </c>
      <c r="F226" s="284">
        <f ca="1">IF(A16stdlife="N/A","n/a",IF(E226=0,0,A16stdlife+D226-Input!$X$7))</f>
        <v>0</v>
      </c>
      <c r="G226" s="285"/>
      <c r="H226" s="356"/>
      <c r="I226" s="287">
        <f t="shared" si="29"/>
        <v>8</v>
      </c>
      <c r="J226" s="284">
        <f ca="1">OFFSET('Tax value roll forward'!H$55,0,I226-1)-SUM('Tax value roll forward'!H292:OFFSET('Tax value roll forward'!H292,0,Input!$X$7-1))</f>
        <v>0</v>
      </c>
      <c r="K226" s="284">
        <f ca="1">IF(A16taxstdlife="N/A","n/a",IF(J226=0,0,A16taxstdlife+I226-Input!$X$7))</f>
        <v>0</v>
      </c>
      <c r="L226" s="286"/>
      <c r="M226" s="9"/>
      <c r="N226" s="9"/>
      <c r="O226" s="9"/>
      <c r="P226" s="9"/>
      <c r="Q226" s="9"/>
      <c r="R226" s="9"/>
      <c r="S226" s="271"/>
      <c r="T226" s="271"/>
      <c r="U226" s="271"/>
      <c r="V226" s="271"/>
      <c r="W226" s="271"/>
      <c r="X226" s="271"/>
      <c r="Y226" s="271"/>
      <c r="Z226" s="271"/>
    </row>
    <row r="227" spans="1:26" ht="14.45" hidden="1" customHeight="1" outlineLevel="1">
      <c r="A227" s="9"/>
      <c r="B227" s="283"/>
      <c r="C227" s="353"/>
      <c r="D227" s="287">
        <f t="shared" si="28"/>
        <v>9</v>
      </c>
      <c r="E227" s="284">
        <f ca="1">OFFSET('Actual RAB roll forward'!H$27,0,D227-1)-SUM('Actual RAB roll forward'!H249:OFFSET('Actual RAB roll forward'!H249,0,Input!$X$7-1))</f>
        <v>0</v>
      </c>
      <c r="F227" s="284">
        <f ca="1">IF(A16stdlife="N/A","n/a",IF(E227=0,0,A16stdlife+D227-Input!$X$7))</f>
        <v>0</v>
      </c>
      <c r="G227" s="285"/>
      <c r="H227" s="356"/>
      <c r="I227" s="287">
        <f t="shared" si="29"/>
        <v>9</v>
      </c>
      <c r="J227" s="284">
        <f ca="1">OFFSET('Tax value roll forward'!H$55,0,I227-1)-SUM('Tax value roll forward'!H293:OFFSET('Tax value roll forward'!H293,0,Input!$X$7-1))</f>
        <v>0</v>
      </c>
      <c r="K227" s="284">
        <f ca="1">IF(A16taxstdlife="N/A","n/a",IF(J227=0,0,A16taxstdlife+I227-Input!$X$7))</f>
        <v>0</v>
      </c>
      <c r="L227" s="286"/>
      <c r="M227" s="9"/>
      <c r="N227" s="9"/>
      <c r="O227" s="9"/>
      <c r="P227" s="9"/>
      <c r="Q227" s="9"/>
      <c r="R227" s="9"/>
      <c r="S227" s="271"/>
      <c r="T227" s="271"/>
      <c r="U227" s="271"/>
      <c r="V227" s="271"/>
      <c r="W227" s="271"/>
      <c r="X227" s="271"/>
      <c r="Y227" s="271"/>
      <c r="Z227" s="271"/>
    </row>
    <row r="228" spans="1:26" ht="14.45" hidden="1" customHeight="1" outlineLevel="1">
      <c r="A228" s="9"/>
      <c r="B228" s="283"/>
      <c r="C228" s="354"/>
      <c r="D228" s="89">
        <f t="shared" si="28"/>
        <v>10</v>
      </c>
      <c r="E228" s="284">
        <f ca="1">OFFSET('Actual RAB roll forward'!H$27,0,D228-1)-SUM('Actual RAB roll forward'!H250:OFFSET('Actual RAB roll forward'!H250,0,Input!$X$7-1))</f>
        <v>0</v>
      </c>
      <c r="F228" s="284">
        <f ca="1">IF(A16stdlife="N/A","n/a",IF(E228=0,0,A16stdlife+D228-Input!$X$7))</f>
        <v>0</v>
      </c>
      <c r="G228" s="285"/>
      <c r="H228" s="357"/>
      <c r="I228" s="89">
        <f t="shared" si="29"/>
        <v>10</v>
      </c>
      <c r="J228" s="284">
        <f ca="1">OFFSET('Tax value roll forward'!H$55,0,I228-1)-SUM('Tax value roll forward'!H294:OFFSET('Tax value roll forward'!H294,0,Input!$X$7-1))</f>
        <v>0</v>
      </c>
      <c r="K228" s="284">
        <f ca="1">IF(A16taxstdlife="N/A","n/a",IF(J228=0,0,A16taxstdlife+I228-Input!$X$7))</f>
        <v>0</v>
      </c>
      <c r="L228" s="286"/>
      <c r="M228" s="9"/>
      <c r="N228" s="9"/>
      <c r="O228" s="9"/>
      <c r="P228" s="9"/>
      <c r="Q228" s="9"/>
      <c r="R228" s="9"/>
      <c r="S228" s="271"/>
      <c r="T228" s="271"/>
      <c r="U228" s="271"/>
      <c r="V228" s="271"/>
      <c r="W228" s="271"/>
      <c r="X228" s="271"/>
      <c r="Y228" s="271"/>
      <c r="Z228" s="271"/>
    </row>
    <row r="229" spans="1:26" collapsed="1">
      <c r="A229" s="9"/>
      <c r="B229" s="283"/>
      <c r="C229" s="286" t="str">
        <f>B217</f>
        <v>Other Equipment</v>
      </c>
      <c r="D229" s="9"/>
      <c r="E229" s="284">
        <f ca="1">SUM(E218:E228)</f>
        <v>15.708282389886721</v>
      </c>
      <c r="F229" s="284">
        <f ca="1">IF(A16remlife="N/A","n/a",IF(E229=0,0,SUMPRODUCT(E218:E228,F218:F228)/E229))</f>
        <v>31.785407606725194</v>
      </c>
      <c r="G229" s="285"/>
      <c r="H229" s="45"/>
      <c r="I229" s="284"/>
      <c r="J229" s="284">
        <f ca="1">SUM(J218:J228)</f>
        <v>17.653043450704107</v>
      </c>
      <c r="K229" s="284">
        <f ca="1">IF(A16taxstdlife="N/A","n/a",IF(J229=0,0,SUMPRODUCT(J218:J228,K218:K228)/J229))</f>
        <v>31.769387900381989</v>
      </c>
      <c r="L229" s="286"/>
      <c r="M229" s="9"/>
      <c r="N229" s="9"/>
      <c r="O229" s="9"/>
      <c r="P229" s="9"/>
      <c r="Q229" s="9"/>
      <c r="R229" s="9"/>
      <c r="S229" s="271"/>
      <c r="T229" s="271"/>
      <c r="U229" s="271"/>
      <c r="V229" s="271"/>
      <c r="W229" s="271"/>
      <c r="X229" s="271"/>
      <c r="Y229" s="271"/>
      <c r="Z229" s="271"/>
    </row>
    <row r="230" spans="1:26" hidden="1" outlineLevel="1">
      <c r="A230" s="9"/>
      <c r="B230" s="283"/>
      <c r="C230" s="297"/>
      <c r="D230" s="298"/>
      <c r="E230" s="284"/>
      <c r="F230" s="284"/>
      <c r="G230" s="285"/>
      <c r="H230" s="284"/>
      <c r="I230" s="284"/>
      <c r="J230" s="293"/>
      <c r="K230" s="289"/>
      <c r="L230" s="286"/>
      <c r="M230" s="9"/>
      <c r="N230" s="9"/>
      <c r="O230" s="9"/>
      <c r="P230" s="9"/>
      <c r="Q230" s="9"/>
      <c r="R230" s="9"/>
      <c r="S230" s="271"/>
      <c r="T230" s="271"/>
      <c r="U230" s="271"/>
      <c r="V230" s="271"/>
      <c r="W230" s="271"/>
      <c r="X230" s="271"/>
      <c r="Y230" s="271"/>
      <c r="Z230" s="271"/>
    </row>
    <row r="231" spans="1:26" hidden="1" outlineLevel="1">
      <c r="A231" s="9"/>
      <c r="B231" s="281" t="str">
        <f>Asset17</f>
        <v>Control Centre - SCADA</v>
      </c>
      <c r="C231" s="298"/>
      <c r="D231" s="298"/>
      <c r="E231" s="296"/>
      <c r="F231" s="296"/>
      <c r="G231" s="285"/>
      <c r="H231" s="284"/>
      <c r="I231" s="284"/>
      <c r="J231" s="293"/>
      <c r="K231" s="289"/>
      <c r="L231" s="286"/>
      <c r="M231" s="9"/>
      <c r="N231" s="9"/>
      <c r="O231" s="9"/>
      <c r="P231" s="9"/>
      <c r="Q231" s="9"/>
      <c r="R231" s="9"/>
      <c r="S231" s="271"/>
      <c r="T231" s="271"/>
      <c r="U231" s="271"/>
      <c r="V231" s="271"/>
      <c r="W231" s="271"/>
      <c r="X231" s="271"/>
      <c r="Y231" s="271"/>
      <c r="Z231" s="271"/>
    </row>
    <row r="232" spans="1:26" ht="12.75" hidden="1" customHeight="1" outlineLevel="1">
      <c r="A232" s="9"/>
      <c r="B232" s="283"/>
      <c r="C232" s="358" t="str">
        <f>C218</f>
        <v>Opening RAB</v>
      </c>
      <c r="D232" s="359"/>
      <c r="E232" s="284">
        <f ca="1">A17value-SUM('Actual RAB roll forward'!H252:OFFSET('Actual RAB roll forward'!H252,0,Input!$X$7-1))</f>
        <v>0</v>
      </c>
      <c r="F232" s="284">
        <f>IF(A17remlife="N/A","n/a",A17remlife-Input!$X$7)</f>
        <v>-1.5669678414162109</v>
      </c>
      <c r="G232" s="285"/>
      <c r="H232" s="360" t="str">
        <f>H218</f>
        <v>Initial Asset Base</v>
      </c>
      <c r="I232" s="361"/>
      <c r="J232" s="284">
        <f ca="1">(A17taxvalue+'Tax value roll forward'!G56)-SUM('Tax value roll forward'!G296:OFFSET('Tax value roll forward'!G296,2,Input!$X$7))</f>
        <v>18.268492217181741</v>
      </c>
      <c r="K232" s="284">
        <f>IF(A17taxremlife="N/A","n/a",A17taxremlife-Input!$X$7-1)</f>
        <v>3.0807120909960766</v>
      </c>
      <c r="L232" s="286"/>
      <c r="M232" s="9"/>
      <c r="N232" s="9"/>
      <c r="O232" s="9"/>
      <c r="P232" s="9"/>
      <c r="Q232" s="9"/>
      <c r="R232" s="9"/>
      <c r="S232" s="271"/>
      <c r="T232" s="271"/>
      <c r="U232" s="271"/>
      <c r="V232" s="271"/>
      <c r="W232" s="271"/>
      <c r="X232" s="271"/>
      <c r="Y232" s="271"/>
      <c r="Z232" s="271"/>
    </row>
    <row r="233" spans="1:26" ht="14.45" hidden="1" customHeight="1" outlineLevel="1">
      <c r="A233" s="9"/>
      <c r="B233" s="283"/>
      <c r="C233" s="352" t="str">
        <f>C219</f>
        <v>Capex in year</v>
      </c>
      <c r="D233" s="287">
        <f>D219</f>
        <v>1</v>
      </c>
      <c r="E233" s="284">
        <f ca="1">OFFSET('Actual RAB roll forward'!H$28,0,D233-1)-SUM('Actual RAB roll forward'!H254:OFFSET('Actual RAB roll forward'!H254,0,Input!$X$7-1))</f>
        <v>0</v>
      </c>
      <c r="F233" s="284">
        <f ca="1">IF(A17stdlife="N/A","n/a",IF(E233=0,0,A17stdlife+D233-Input!$X$7))</f>
        <v>0</v>
      </c>
      <c r="G233" s="285"/>
      <c r="H233" s="355" t="str">
        <f>H219</f>
        <v>Capex in year</v>
      </c>
      <c r="I233" s="287">
        <f>I219</f>
        <v>1</v>
      </c>
      <c r="J233" s="284">
        <f ca="1">OFFSET('Tax value roll forward'!H$56,0,I233-1)-SUM('Tax value roll forward'!H299:OFFSET('Tax value roll forward'!H299,0,Input!$X$7-1))</f>
        <v>0</v>
      </c>
      <c r="K233" s="284">
        <f ca="1">IF(A17taxstdlife="N/A","n/a",IF(J233=0,0,A17taxstdlife+I233-Input!$X$7))</f>
        <v>0</v>
      </c>
      <c r="L233" s="286"/>
      <c r="M233" s="9"/>
      <c r="N233" s="9"/>
      <c r="O233" s="9"/>
      <c r="P233" s="9"/>
      <c r="Q233" s="9"/>
      <c r="R233" s="9"/>
      <c r="S233" s="271"/>
      <c r="T233" s="271"/>
      <c r="U233" s="271"/>
      <c r="V233" s="271"/>
      <c r="W233" s="271"/>
      <c r="X233" s="271"/>
      <c r="Y233" s="271"/>
      <c r="Z233" s="271"/>
    </row>
    <row r="234" spans="1:26" ht="14.45" hidden="1" customHeight="1" outlineLevel="1">
      <c r="A234" s="9"/>
      <c r="B234" s="283"/>
      <c r="C234" s="353"/>
      <c r="D234" s="287">
        <f t="shared" ref="D234:D242" si="30">D220</f>
        <v>2</v>
      </c>
      <c r="E234" s="284">
        <f ca="1">OFFSET('Actual RAB roll forward'!H$28,0,D234-1)-SUM('Actual RAB roll forward'!H255:OFFSET('Actual RAB roll forward'!H255,0,Input!$X$7-1))</f>
        <v>0</v>
      </c>
      <c r="F234" s="284">
        <f ca="1">IF(A17stdlife="N/A","n/a",IF(E234=0,0,A17stdlife+D234-Input!$X$7))</f>
        <v>0</v>
      </c>
      <c r="G234" s="285"/>
      <c r="H234" s="356"/>
      <c r="I234" s="287">
        <f t="shared" ref="I234:I242" si="31">I220</f>
        <v>2</v>
      </c>
      <c r="J234" s="284">
        <f ca="1">OFFSET('Tax value roll forward'!H$56,0,I234-1)-SUM('Tax value roll forward'!H300:OFFSET('Tax value roll forward'!H300,0,Input!$X$7-1))</f>
        <v>0</v>
      </c>
      <c r="K234" s="284">
        <f ca="1">IF(A17taxstdlife="N/A","n/a",IF(J234=0,0,A17taxstdlife+I234-Input!$X$7))</f>
        <v>0</v>
      </c>
      <c r="L234" s="286"/>
      <c r="M234" s="9"/>
      <c r="N234" s="9"/>
      <c r="O234" s="9"/>
      <c r="P234" s="9"/>
      <c r="Q234" s="9"/>
      <c r="R234" s="9"/>
      <c r="S234" s="271"/>
      <c r="T234" s="271"/>
      <c r="U234" s="271"/>
      <c r="V234" s="271"/>
      <c r="W234" s="271"/>
      <c r="X234" s="271"/>
      <c r="Y234" s="271"/>
      <c r="Z234" s="271"/>
    </row>
    <row r="235" spans="1:26" ht="14.45" hidden="1" customHeight="1" outlineLevel="1">
      <c r="A235" s="9"/>
      <c r="B235" s="283"/>
      <c r="C235" s="353"/>
      <c r="D235" s="287">
        <f t="shared" si="30"/>
        <v>3</v>
      </c>
      <c r="E235" s="284">
        <f ca="1">OFFSET('Actual RAB roll forward'!H$28,0,D235-1)-SUM('Actual RAB roll forward'!H256:OFFSET('Actual RAB roll forward'!H256,0,Input!$X$7-1))</f>
        <v>0</v>
      </c>
      <c r="F235" s="284">
        <f ca="1">IF(A17stdlife="N/A","n/a",IF(E235=0,0,A17stdlife+D235-Input!$X$7))</f>
        <v>0</v>
      </c>
      <c r="G235" s="285"/>
      <c r="H235" s="356"/>
      <c r="I235" s="287">
        <f t="shared" si="31"/>
        <v>3</v>
      </c>
      <c r="J235" s="284">
        <f ca="1">OFFSET('Tax value roll forward'!H$56,0,I235-1)-SUM('Tax value roll forward'!H301:OFFSET('Tax value roll forward'!H301,0,Input!$X$7-1))</f>
        <v>0</v>
      </c>
      <c r="K235" s="284">
        <f ca="1">IF(A17taxstdlife="N/A","n/a",IF(J235=0,0,A17taxstdlife+I235-Input!$X$7))</f>
        <v>0</v>
      </c>
      <c r="L235" s="286"/>
      <c r="M235" s="9"/>
      <c r="N235" s="9"/>
      <c r="O235" s="9"/>
      <c r="P235" s="9"/>
      <c r="Q235" s="9"/>
      <c r="R235" s="9"/>
      <c r="S235" s="271"/>
      <c r="T235" s="271"/>
      <c r="U235" s="271"/>
      <c r="V235" s="271"/>
      <c r="W235" s="271"/>
      <c r="X235" s="271"/>
      <c r="Y235" s="271"/>
      <c r="Z235" s="271"/>
    </row>
    <row r="236" spans="1:26" ht="14.45" hidden="1" customHeight="1" outlineLevel="1">
      <c r="A236" s="9"/>
      <c r="B236" s="283"/>
      <c r="C236" s="353"/>
      <c r="D236" s="287">
        <f t="shared" si="30"/>
        <v>4</v>
      </c>
      <c r="E236" s="284">
        <f ca="1">OFFSET('Actual RAB roll forward'!H$28,0,D236-1)-SUM('Actual RAB roll forward'!H257:OFFSET('Actual RAB roll forward'!H257,0,Input!$X$7-1))</f>
        <v>0</v>
      </c>
      <c r="F236" s="284">
        <f ca="1">IF(A17stdlife="N/A","n/a",IF(E236=0,0,A17stdlife+D236-Input!$X$7))</f>
        <v>0</v>
      </c>
      <c r="G236" s="285"/>
      <c r="H236" s="356"/>
      <c r="I236" s="287">
        <f t="shared" si="31"/>
        <v>4</v>
      </c>
      <c r="J236" s="284">
        <f ca="1">OFFSET('Tax value roll forward'!H$56,0,I236-1)-SUM('Tax value roll forward'!H302:OFFSET('Tax value roll forward'!H302,0,Input!$X$7-1))</f>
        <v>0</v>
      </c>
      <c r="K236" s="284">
        <f ca="1">IF(A17taxstdlife="N/A","n/a",IF(J236=0,0,A17taxstdlife+I236-Input!$X$7))</f>
        <v>0</v>
      </c>
      <c r="L236" s="286"/>
      <c r="M236" s="9"/>
      <c r="N236" s="9"/>
      <c r="O236" s="9"/>
      <c r="P236" s="9"/>
      <c r="Q236" s="9"/>
      <c r="R236" s="9"/>
      <c r="S236" s="271"/>
      <c r="T236" s="271"/>
      <c r="U236" s="271"/>
      <c r="V236" s="271"/>
      <c r="W236" s="271"/>
      <c r="X236" s="271"/>
      <c r="Y236" s="271"/>
      <c r="Z236" s="271"/>
    </row>
    <row r="237" spans="1:26" ht="14.45" hidden="1" customHeight="1" outlineLevel="1">
      <c r="A237" s="9"/>
      <c r="B237" s="283"/>
      <c r="C237" s="353"/>
      <c r="D237" s="287">
        <f t="shared" si="30"/>
        <v>5</v>
      </c>
      <c r="E237" s="284">
        <f ca="1">OFFSET('Actual RAB roll forward'!H$28,0,D237-1)-SUM('Actual RAB roll forward'!H258:OFFSET('Actual RAB roll forward'!H258,0,Input!$X$7-1))</f>
        <v>0</v>
      </c>
      <c r="F237" s="284">
        <f ca="1">IF(A17stdlife="N/A","n/a",IF(E237=0,0,A17stdlife+D237-Input!$X$7))</f>
        <v>0</v>
      </c>
      <c r="G237" s="285"/>
      <c r="H237" s="356"/>
      <c r="I237" s="287">
        <f t="shared" si="31"/>
        <v>5</v>
      </c>
      <c r="J237" s="284">
        <f ca="1">OFFSET('Tax value roll forward'!H$56,0,I237-1)-SUM('Tax value roll forward'!H303:OFFSET('Tax value roll forward'!H303,0,Input!$X$7-1))</f>
        <v>0</v>
      </c>
      <c r="K237" s="284">
        <f ca="1">IF(A17taxstdlife="N/A","n/a",IF(J237=0,0,A17taxstdlife+I237-Input!$X$7))</f>
        <v>0</v>
      </c>
      <c r="L237" s="286"/>
      <c r="M237" s="9"/>
      <c r="N237" s="9"/>
      <c r="O237" s="9"/>
      <c r="P237" s="9"/>
      <c r="Q237" s="9"/>
      <c r="R237" s="9"/>
      <c r="S237" s="271"/>
      <c r="T237" s="271"/>
      <c r="U237" s="271"/>
      <c r="V237" s="271"/>
      <c r="W237" s="271"/>
      <c r="X237" s="271"/>
      <c r="Y237" s="271"/>
      <c r="Z237" s="271"/>
    </row>
    <row r="238" spans="1:26" ht="14.45" hidden="1" customHeight="1" outlineLevel="1">
      <c r="A238" s="9"/>
      <c r="B238" s="283"/>
      <c r="C238" s="353"/>
      <c r="D238" s="287">
        <f t="shared" si="30"/>
        <v>6</v>
      </c>
      <c r="E238" s="284">
        <f ca="1">OFFSET('Actual RAB roll forward'!H$28,0,D238-1)-SUM('Actual RAB roll forward'!H259:OFFSET('Actual RAB roll forward'!H259,0,Input!$X$7-1))</f>
        <v>0</v>
      </c>
      <c r="F238" s="284">
        <f ca="1">IF(A17stdlife="N/A","n/a",IF(E238=0,0,A17stdlife+D238-Input!$X$7))</f>
        <v>0</v>
      </c>
      <c r="G238" s="285"/>
      <c r="H238" s="356"/>
      <c r="I238" s="287">
        <f t="shared" si="31"/>
        <v>6</v>
      </c>
      <c r="J238" s="284">
        <f ca="1">OFFSET('Tax value roll forward'!H$56,0,I238-1)-SUM('Tax value roll forward'!H304:OFFSET('Tax value roll forward'!H304,0,Input!$X$7-1))</f>
        <v>0</v>
      </c>
      <c r="K238" s="284">
        <f ca="1">IF(A17taxstdlife="N/A","n/a",IF(J238=0,0,A17taxstdlife+I238-Input!$X$7))</f>
        <v>0</v>
      </c>
      <c r="L238" s="286"/>
      <c r="M238" s="9"/>
      <c r="N238" s="9"/>
      <c r="O238" s="9"/>
      <c r="P238" s="9"/>
      <c r="Q238" s="9"/>
      <c r="R238" s="9"/>
      <c r="S238" s="271"/>
      <c r="T238" s="271"/>
      <c r="U238" s="271"/>
      <c r="V238" s="271"/>
      <c r="W238" s="271"/>
      <c r="X238" s="271"/>
      <c r="Y238" s="271"/>
      <c r="Z238" s="271"/>
    </row>
    <row r="239" spans="1:26" ht="14.45" hidden="1" customHeight="1" outlineLevel="1">
      <c r="A239" s="9"/>
      <c r="B239" s="283"/>
      <c r="C239" s="353"/>
      <c r="D239" s="287">
        <f t="shared" si="30"/>
        <v>7</v>
      </c>
      <c r="E239" s="284">
        <f ca="1">OFFSET('Actual RAB roll forward'!H$28,0,D239-1)-SUM('Actual RAB roll forward'!H260:OFFSET('Actual RAB roll forward'!H260,0,Input!$X$7-1))</f>
        <v>0</v>
      </c>
      <c r="F239" s="284">
        <f ca="1">IF(A17stdlife="N/A","n/a",IF(E239=0,0,A17stdlife+D239-Input!$X$7))</f>
        <v>0</v>
      </c>
      <c r="G239" s="285"/>
      <c r="H239" s="356"/>
      <c r="I239" s="287">
        <f t="shared" si="31"/>
        <v>7</v>
      </c>
      <c r="J239" s="284">
        <f ca="1">OFFSET('Tax value roll forward'!H$56,0,I239-1)-SUM('Tax value roll forward'!H305:OFFSET('Tax value roll forward'!H305,0,Input!$X$7-1))</f>
        <v>0</v>
      </c>
      <c r="K239" s="284">
        <f ca="1">IF(A17taxstdlife="N/A","n/a",IF(J239=0,0,A17taxstdlife+I239-Input!$X$7))</f>
        <v>0</v>
      </c>
      <c r="L239" s="286"/>
      <c r="M239" s="9"/>
      <c r="N239" s="9"/>
      <c r="O239" s="9"/>
      <c r="P239" s="9"/>
      <c r="Q239" s="9"/>
      <c r="R239" s="9"/>
      <c r="S239" s="271"/>
      <c r="T239" s="271"/>
      <c r="U239" s="271"/>
      <c r="V239" s="271"/>
      <c r="W239" s="271"/>
      <c r="X239" s="271"/>
      <c r="Y239" s="271"/>
      <c r="Z239" s="271"/>
    </row>
    <row r="240" spans="1:26" ht="14.45" hidden="1" customHeight="1" outlineLevel="1">
      <c r="A240" s="9"/>
      <c r="B240" s="283"/>
      <c r="C240" s="353"/>
      <c r="D240" s="287">
        <f t="shared" si="30"/>
        <v>8</v>
      </c>
      <c r="E240" s="284">
        <f ca="1">OFFSET('Actual RAB roll forward'!H$28,0,D240-1)-SUM('Actual RAB roll forward'!H261:OFFSET('Actual RAB roll forward'!H261,0,Input!$X$7-1))</f>
        <v>0</v>
      </c>
      <c r="F240" s="284">
        <f ca="1">IF(A17stdlife="N/A","n/a",IF(E240=0,0,A17stdlife+D240-Input!$X$7))</f>
        <v>0</v>
      </c>
      <c r="G240" s="285"/>
      <c r="H240" s="356"/>
      <c r="I240" s="287">
        <f t="shared" si="31"/>
        <v>8</v>
      </c>
      <c r="J240" s="284">
        <f ca="1">OFFSET('Tax value roll forward'!H$56,0,I240-1)-SUM('Tax value roll forward'!H306:OFFSET('Tax value roll forward'!H306,0,Input!$X$7-1))</f>
        <v>0</v>
      </c>
      <c r="K240" s="284">
        <f ca="1">IF(A17taxstdlife="N/A","n/a",IF(J240=0,0,A17taxstdlife+I240-Input!$X$7))</f>
        <v>0</v>
      </c>
      <c r="L240" s="286"/>
      <c r="M240" s="9"/>
      <c r="N240" s="9"/>
      <c r="O240" s="9"/>
      <c r="P240" s="9"/>
      <c r="Q240" s="9"/>
      <c r="R240" s="9"/>
      <c r="S240" s="271"/>
      <c r="T240" s="271"/>
      <c r="U240" s="271"/>
      <c r="V240" s="271"/>
      <c r="W240" s="271"/>
      <c r="X240" s="271"/>
      <c r="Y240" s="271"/>
      <c r="Z240" s="271"/>
    </row>
    <row r="241" spans="1:26" ht="14.45" hidden="1" customHeight="1" outlineLevel="1">
      <c r="A241" s="9"/>
      <c r="B241" s="283"/>
      <c r="C241" s="353"/>
      <c r="D241" s="287">
        <f t="shared" si="30"/>
        <v>9</v>
      </c>
      <c r="E241" s="284">
        <f ca="1">OFFSET('Actual RAB roll forward'!H$28,0,D241-1)-SUM('Actual RAB roll forward'!H262:OFFSET('Actual RAB roll forward'!H262,0,Input!$X$7-1))</f>
        <v>0</v>
      </c>
      <c r="F241" s="284">
        <f ca="1">IF(A17stdlife="N/A","n/a",IF(E241=0,0,A17stdlife+D241-Input!$X$7))</f>
        <v>0</v>
      </c>
      <c r="G241" s="285"/>
      <c r="H241" s="356"/>
      <c r="I241" s="287">
        <f t="shared" si="31"/>
        <v>9</v>
      </c>
      <c r="J241" s="284">
        <f ca="1">OFFSET('Tax value roll forward'!H$56,0,I241-1)-SUM('Tax value roll forward'!H307:OFFSET('Tax value roll forward'!H307,0,Input!$X$7-1))</f>
        <v>0</v>
      </c>
      <c r="K241" s="284">
        <f ca="1">IF(A17taxstdlife="N/A","n/a",IF(J241=0,0,A17taxstdlife+I241-Input!$X$7))</f>
        <v>0</v>
      </c>
      <c r="L241" s="286"/>
      <c r="M241" s="9"/>
      <c r="N241" s="9"/>
      <c r="O241" s="9"/>
      <c r="P241" s="9"/>
      <c r="Q241" s="9"/>
      <c r="R241" s="9"/>
      <c r="S241" s="271"/>
      <c r="T241" s="271"/>
      <c r="U241" s="271"/>
      <c r="V241" s="271"/>
      <c r="W241" s="271"/>
      <c r="X241" s="271"/>
      <c r="Y241" s="271"/>
      <c r="Z241" s="271"/>
    </row>
    <row r="242" spans="1:26" ht="14.45" hidden="1" customHeight="1" outlineLevel="1">
      <c r="A242" s="9"/>
      <c r="B242" s="283"/>
      <c r="C242" s="354"/>
      <c r="D242" s="89">
        <f t="shared" si="30"/>
        <v>10</v>
      </c>
      <c r="E242" s="284">
        <f ca="1">OFFSET('Actual RAB roll forward'!H$28,0,D242-1)-SUM('Actual RAB roll forward'!H263:OFFSET('Actual RAB roll forward'!H263,0,Input!$X$7-1))</f>
        <v>0</v>
      </c>
      <c r="F242" s="284">
        <f ca="1">IF(A17stdlife="N/A","n/a",IF(E242=0,0,A17stdlife+D242-Input!$X$7))</f>
        <v>0</v>
      </c>
      <c r="G242" s="285"/>
      <c r="H242" s="357"/>
      <c r="I242" s="89">
        <f t="shared" si="31"/>
        <v>10</v>
      </c>
      <c r="J242" s="284">
        <f ca="1">OFFSET('Tax value roll forward'!H$56,0,I242-1)-SUM('Tax value roll forward'!H308:OFFSET('Tax value roll forward'!H308,0,Input!$X$7-1))</f>
        <v>0</v>
      </c>
      <c r="K242" s="284">
        <f ca="1">IF(A17taxstdlife="N/A","n/a",IF(J242=0,0,A17taxstdlife+I242-Input!$X$7))</f>
        <v>0</v>
      </c>
      <c r="L242" s="286"/>
      <c r="M242" s="9"/>
      <c r="N242" s="9"/>
      <c r="O242" s="9"/>
      <c r="P242" s="9"/>
      <c r="Q242" s="9"/>
      <c r="R242" s="9"/>
      <c r="S242" s="271"/>
      <c r="T242" s="271"/>
      <c r="U242" s="271"/>
      <c r="V242" s="271"/>
      <c r="W242" s="271"/>
      <c r="X242" s="271"/>
      <c r="Y242" s="271"/>
      <c r="Z242" s="271"/>
    </row>
    <row r="243" spans="1:26" collapsed="1">
      <c r="A243" s="9"/>
      <c r="B243" s="283"/>
      <c r="C243" s="286" t="str">
        <f>B231</f>
        <v>Control Centre - SCADA</v>
      </c>
      <c r="D243" s="9"/>
      <c r="E243" s="284">
        <f ca="1">SUM(E232:E242)</f>
        <v>0</v>
      </c>
      <c r="F243" s="284">
        <f ca="1">IF(A17remlife="N/A","n/a",IF(E243=0,0,SUMPRODUCT(E232:E242,F232:F242)/E243))</f>
        <v>0</v>
      </c>
      <c r="G243" s="285"/>
      <c r="H243" s="45"/>
      <c r="I243" s="284"/>
      <c r="J243" s="284">
        <f ca="1">SUM(J232:J242)</f>
        <v>18.268492217181741</v>
      </c>
      <c r="K243" s="284">
        <f ca="1">IF(A17taxstdlife="N/A","n/a",IF(J243=0,0,SUMPRODUCT(J232:J242,K232:K242)/J243))</f>
        <v>3.0807120909960766</v>
      </c>
      <c r="L243" s="286"/>
      <c r="M243" s="9"/>
      <c r="N243" s="9"/>
      <c r="O243" s="9"/>
      <c r="P243" s="9"/>
      <c r="Q243" s="9"/>
      <c r="R243" s="9"/>
      <c r="S243" s="271"/>
      <c r="T243" s="271"/>
      <c r="U243" s="271"/>
      <c r="V243" s="271"/>
      <c r="W243" s="271"/>
      <c r="X243" s="271"/>
      <c r="Y243" s="271"/>
      <c r="Z243" s="271"/>
    </row>
    <row r="244" spans="1:26" hidden="1" outlineLevel="1">
      <c r="A244" s="9"/>
      <c r="B244" s="283"/>
      <c r="C244" s="297"/>
      <c r="D244" s="298"/>
      <c r="E244" s="284"/>
      <c r="F244" s="284"/>
      <c r="G244" s="285"/>
      <c r="H244" s="284"/>
      <c r="I244" s="284"/>
      <c r="J244" s="293"/>
      <c r="K244" s="289"/>
      <c r="L244" s="286"/>
      <c r="M244" s="9"/>
      <c r="N244" s="9"/>
      <c r="O244" s="9"/>
      <c r="P244" s="9"/>
      <c r="Q244" s="9"/>
      <c r="R244" s="9"/>
      <c r="S244" s="271"/>
      <c r="T244" s="271"/>
      <c r="U244" s="271"/>
      <c r="V244" s="271"/>
      <c r="W244" s="271"/>
      <c r="X244" s="271"/>
      <c r="Y244" s="271"/>
      <c r="Z244" s="271"/>
    </row>
    <row r="245" spans="1:26" hidden="1" outlineLevel="1">
      <c r="A245" s="9"/>
      <c r="B245" s="281" t="str">
        <f>Asset18</f>
        <v>Land &amp; Easements (System)</v>
      </c>
      <c r="C245" s="298"/>
      <c r="D245" s="298"/>
      <c r="E245" s="296"/>
      <c r="F245" s="296"/>
      <c r="G245" s="285"/>
      <c r="H245" s="284"/>
      <c r="I245" s="284"/>
      <c r="J245" s="293"/>
      <c r="K245" s="289"/>
      <c r="L245" s="286"/>
      <c r="M245" s="9"/>
      <c r="N245" s="9"/>
      <c r="O245" s="9"/>
      <c r="P245" s="9"/>
      <c r="Q245" s="9"/>
      <c r="R245" s="9"/>
      <c r="S245" s="271"/>
      <c r="T245" s="271"/>
      <c r="U245" s="271"/>
      <c r="V245" s="271"/>
      <c r="W245" s="271"/>
      <c r="X245" s="271"/>
      <c r="Y245" s="271"/>
      <c r="Z245" s="271"/>
    </row>
    <row r="246" spans="1:26" ht="12.75" hidden="1" customHeight="1" outlineLevel="1">
      <c r="A246" s="9"/>
      <c r="B246" s="283"/>
      <c r="C246" s="358" t="str">
        <f>C232</f>
        <v>Opening RAB</v>
      </c>
      <c r="D246" s="359"/>
      <c r="E246" s="284">
        <f ca="1">A18value-SUM('Actual RAB roll forward'!H265:OFFSET('Actual RAB roll forward'!H265,0,Input!$X$7-1))</f>
        <v>80.727458999999996</v>
      </c>
      <c r="F246" s="284" t="str">
        <f>IF(A18remlife="N/A","n/a",A18remlife-Input!$X$7)</f>
        <v>n/a</v>
      </c>
      <c r="G246" s="285"/>
      <c r="H246" s="360" t="str">
        <f>H232</f>
        <v>Initial Asset Base</v>
      </c>
      <c r="I246" s="361"/>
      <c r="J246" s="284">
        <f ca="1">(A18taxvalue+'Tax value roll forward'!G57)-SUM('Tax value roll forward'!G310:OFFSET('Tax value roll forward'!G310,2,Input!$X$7))</f>
        <v>26.317697000000003</v>
      </c>
      <c r="K246" s="284" t="str">
        <f>IF(A18taxremlife="N/A","n/a",A18taxremlife-Input!$X$7-1)</f>
        <v>n/a</v>
      </c>
      <c r="L246" s="286"/>
      <c r="M246" s="9"/>
      <c r="N246" s="9"/>
      <c r="O246" s="9"/>
      <c r="P246" s="9"/>
      <c r="Q246" s="9"/>
      <c r="R246" s="9"/>
      <c r="S246" s="271"/>
      <c r="T246" s="271"/>
      <c r="U246" s="271"/>
      <c r="V246" s="271"/>
      <c r="W246" s="271"/>
      <c r="X246" s="271"/>
      <c r="Y246" s="271"/>
      <c r="Z246" s="271"/>
    </row>
    <row r="247" spans="1:26" ht="14.45" hidden="1" customHeight="1" outlineLevel="1">
      <c r="A247" s="9"/>
      <c r="B247" s="283"/>
      <c r="C247" s="352" t="str">
        <f>C233</f>
        <v>Capex in year</v>
      </c>
      <c r="D247" s="287">
        <f>D233</f>
        <v>1</v>
      </c>
      <c r="E247" s="284">
        <f ca="1">OFFSET('Actual RAB roll forward'!H$29,0,D247-1)-SUM('Actual RAB roll forward'!H267:OFFSET('Actual RAB roll forward'!H267,0,Input!$X$7-1))</f>
        <v>0</v>
      </c>
      <c r="F247" s="284" t="str">
        <f>IF(A18stdlife="N/A","n/a",IF(E247=0,0,A18stdlife+D247-Input!$X$7))</f>
        <v>n/a</v>
      </c>
      <c r="G247" s="285"/>
      <c r="H247" s="355" t="str">
        <f>H233</f>
        <v>Capex in year</v>
      </c>
      <c r="I247" s="287">
        <f>I233</f>
        <v>1</v>
      </c>
      <c r="J247" s="284">
        <f ca="1">OFFSET('Tax value roll forward'!H$57,0,I247-1)-SUM('Tax value roll forward'!H313:OFFSET('Tax value roll forward'!H313,0,Input!$X$7-1))</f>
        <v>0</v>
      </c>
      <c r="K247" s="284" t="str">
        <f>IF(A18taxstdlife="N/A","n/a",IF(J247=0,0,A18taxstdlife+I247-Input!$X$7))</f>
        <v>n/a</v>
      </c>
      <c r="L247" s="286"/>
      <c r="M247" s="9"/>
      <c r="N247" s="9"/>
      <c r="O247" s="9"/>
      <c r="P247" s="9"/>
      <c r="Q247" s="9"/>
      <c r="R247" s="9"/>
      <c r="S247" s="271"/>
      <c r="T247" s="271"/>
      <c r="U247" s="271"/>
      <c r="V247" s="271"/>
      <c r="W247" s="271"/>
      <c r="X247" s="271"/>
      <c r="Y247" s="271"/>
      <c r="Z247" s="271"/>
    </row>
    <row r="248" spans="1:26" ht="14.45" hidden="1" customHeight="1" outlineLevel="1">
      <c r="A248" s="9"/>
      <c r="B248" s="283"/>
      <c r="C248" s="353"/>
      <c r="D248" s="287">
        <f t="shared" ref="D248:D256" si="32">D234</f>
        <v>2</v>
      </c>
      <c r="E248" s="284">
        <f ca="1">OFFSET('Actual RAB roll forward'!H$29,0,D248-1)-SUM('Actual RAB roll forward'!H268:OFFSET('Actual RAB roll forward'!H268,0,Input!$X$7-1))</f>
        <v>0</v>
      </c>
      <c r="F248" s="284" t="str">
        <f>IF(A18stdlife="N/A","n/a",IF(E248=0,0,A18stdlife+D248-Input!$X$7))</f>
        <v>n/a</v>
      </c>
      <c r="G248" s="285"/>
      <c r="H248" s="356"/>
      <c r="I248" s="287">
        <f t="shared" ref="I248:I256" si="33">I234</f>
        <v>2</v>
      </c>
      <c r="J248" s="284">
        <f ca="1">OFFSET('Tax value roll forward'!H$57,0,I248-1)-SUM('Tax value roll forward'!H314:OFFSET('Tax value roll forward'!H314,0,Input!$X$7-1))</f>
        <v>0</v>
      </c>
      <c r="K248" s="284" t="str">
        <f>IF(A18taxstdlife="N/A","n/a",IF(J248=0,0,A18taxstdlife+I248-Input!$X$7))</f>
        <v>n/a</v>
      </c>
      <c r="L248" s="286"/>
      <c r="M248" s="9"/>
      <c r="N248" s="9"/>
      <c r="O248" s="9"/>
      <c r="P248" s="9"/>
      <c r="Q248" s="9"/>
      <c r="R248" s="9"/>
      <c r="S248" s="271"/>
      <c r="T248" s="271"/>
      <c r="U248" s="271"/>
      <c r="V248" s="271"/>
      <c r="W248" s="271"/>
      <c r="X248" s="271"/>
      <c r="Y248" s="271"/>
      <c r="Z248" s="271"/>
    </row>
    <row r="249" spans="1:26" ht="14.45" hidden="1" customHeight="1" outlineLevel="1">
      <c r="A249" s="9"/>
      <c r="B249" s="283"/>
      <c r="C249" s="353"/>
      <c r="D249" s="287">
        <f t="shared" si="32"/>
        <v>3</v>
      </c>
      <c r="E249" s="284">
        <f ca="1">OFFSET('Actual RAB roll forward'!H$29,0,D249-1)-SUM('Actual RAB roll forward'!H269:OFFSET('Actual RAB roll forward'!H269,0,Input!$X$7-1))</f>
        <v>0</v>
      </c>
      <c r="F249" s="284" t="str">
        <f>IF(A18stdlife="N/A","n/a",IF(E249=0,0,A18stdlife+D249-Input!$X$7))</f>
        <v>n/a</v>
      </c>
      <c r="G249" s="285"/>
      <c r="H249" s="356"/>
      <c r="I249" s="287">
        <f t="shared" si="33"/>
        <v>3</v>
      </c>
      <c r="J249" s="284">
        <f ca="1">OFFSET('Tax value roll forward'!H$57,0,I249-1)-SUM('Tax value roll forward'!H315:OFFSET('Tax value roll forward'!H315,0,Input!$X$7-1))</f>
        <v>0</v>
      </c>
      <c r="K249" s="284" t="str">
        <f>IF(A18taxstdlife="N/A","n/a",IF(J249=0,0,A18taxstdlife+I249-Input!$X$7))</f>
        <v>n/a</v>
      </c>
      <c r="L249" s="286"/>
      <c r="M249" s="9"/>
      <c r="N249" s="9"/>
      <c r="O249" s="9"/>
      <c r="P249" s="9"/>
      <c r="Q249" s="9"/>
      <c r="R249" s="9"/>
      <c r="S249" s="271"/>
      <c r="T249" s="271"/>
      <c r="U249" s="271"/>
      <c r="V249" s="271"/>
      <c r="W249" s="271"/>
      <c r="X249" s="271"/>
      <c r="Y249" s="271"/>
      <c r="Z249" s="271"/>
    </row>
    <row r="250" spans="1:26" ht="14.45" hidden="1" customHeight="1" outlineLevel="1">
      <c r="A250" s="9"/>
      <c r="B250" s="283"/>
      <c r="C250" s="353"/>
      <c r="D250" s="287">
        <f t="shared" si="32"/>
        <v>4</v>
      </c>
      <c r="E250" s="284">
        <f ca="1">OFFSET('Actual RAB roll forward'!H$29,0,D250-1)-SUM('Actual RAB roll forward'!H270:OFFSET('Actual RAB roll forward'!H270,0,Input!$X$7-1))</f>
        <v>0</v>
      </c>
      <c r="F250" s="284" t="str">
        <f>IF(A18stdlife="N/A","n/a",IF(E250=0,0,A18stdlife+D250-Input!$X$7))</f>
        <v>n/a</v>
      </c>
      <c r="G250" s="285"/>
      <c r="H250" s="356"/>
      <c r="I250" s="287">
        <f t="shared" si="33"/>
        <v>4</v>
      </c>
      <c r="J250" s="284">
        <f ca="1">OFFSET('Tax value roll forward'!H$57,0,I250-1)-SUM('Tax value roll forward'!H316:OFFSET('Tax value roll forward'!H316,0,Input!$X$7-1))</f>
        <v>0</v>
      </c>
      <c r="K250" s="284" t="str">
        <f>IF(A18taxstdlife="N/A","n/a",IF(J250=0,0,A18taxstdlife+I250-Input!$X$7))</f>
        <v>n/a</v>
      </c>
      <c r="L250" s="286"/>
      <c r="M250" s="9"/>
      <c r="N250" s="9"/>
      <c r="O250" s="9"/>
      <c r="P250" s="9"/>
      <c r="Q250" s="9"/>
      <c r="R250" s="9"/>
      <c r="S250" s="271"/>
      <c r="T250" s="271"/>
      <c r="U250" s="271"/>
      <c r="V250" s="271"/>
      <c r="W250" s="271"/>
      <c r="X250" s="271"/>
      <c r="Y250" s="271"/>
      <c r="Z250" s="271"/>
    </row>
    <row r="251" spans="1:26" ht="14.45" hidden="1" customHeight="1" outlineLevel="1">
      <c r="A251" s="9"/>
      <c r="B251" s="283"/>
      <c r="C251" s="353"/>
      <c r="D251" s="287">
        <f t="shared" si="32"/>
        <v>5</v>
      </c>
      <c r="E251" s="284">
        <f ca="1">OFFSET('Actual RAB roll forward'!H$29,0,D251-1)-SUM('Actual RAB roll forward'!H271:OFFSET('Actual RAB roll forward'!H271,0,Input!$X$7-1))</f>
        <v>0</v>
      </c>
      <c r="F251" s="284" t="str">
        <f>IF(A18stdlife="N/A","n/a",IF(E251=0,0,A18stdlife+D251-Input!$X$7))</f>
        <v>n/a</v>
      </c>
      <c r="G251" s="285"/>
      <c r="H251" s="356"/>
      <c r="I251" s="287">
        <f t="shared" si="33"/>
        <v>5</v>
      </c>
      <c r="J251" s="284">
        <f ca="1">OFFSET('Tax value roll forward'!H$57,0,I251-1)-SUM('Tax value roll forward'!H317:OFFSET('Tax value roll forward'!H317,0,Input!$X$7-1))</f>
        <v>0</v>
      </c>
      <c r="K251" s="284" t="str">
        <f>IF(A18taxstdlife="N/A","n/a",IF(J251=0,0,A18taxstdlife+I251-Input!$X$7))</f>
        <v>n/a</v>
      </c>
      <c r="L251" s="286"/>
      <c r="M251" s="9"/>
      <c r="N251" s="9"/>
      <c r="O251" s="9"/>
      <c r="P251" s="9"/>
      <c r="Q251" s="9"/>
      <c r="R251" s="9"/>
      <c r="S251" s="271"/>
      <c r="T251" s="271"/>
      <c r="U251" s="271"/>
      <c r="V251" s="271"/>
      <c r="W251" s="271"/>
      <c r="X251" s="271"/>
      <c r="Y251" s="271"/>
      <c r="Z251" s="271"/>
    </row>
    <row r="252" spans="1:26" ht="14.45" hidden="1" customHeight="1" outlineLevel="1">
      <c r="A252" s="9"/>
      <c r="B252" s="283"/>
      <c r="C252" s="353"/>
      <c r="D252" s="287">
        <f t="shared" si="32"/>
        <v>6</v>
      </c>
      <c r="E252" s="284">
        <f ca="1">OFFSET('Actual RAB roll forward'!H$29,0,D252-1)-SUM('Actual RAB roll forward'!H272:OFFSET('Actual RAB roll forward'!H272,0,Input!$X$7-1))</f>
        <v>0</v>
      </c>
      <c r="F252" s="284" t="str">
        <f>IF(A18stdlife="N/A","n/a",IF(E252=0,0,A18stdlife+D252-Input!$X$7))</f>
        <v>n/a</v>
      </c>
      <c r="G252" s="285"/>
      <c r="H252" s="356"/>
      <c r="I252" s="287">
        <f t="shared" si="33"/>
        <v>6</v>
      </c>
      <c r="J252" s="284">
        <f ca="1">OFFSET('Tax value roll forward'!H$57,0,I252-1)-SUM('Tax value roll forward'!H318:OFFSET('Tax value roll forward'!H318,0,Input!$X$7-1))</f>
        <v>0</v>
      </c>
      <c r="K252" s="284" t="str">
        <f>IF(A18taxstdlife="N/A","n/a",IF(J252=0,0,A18taxstdlife+I252-Input!$X$7))</f>
        <v>n/a</v>
      </c>
      <c r="L252" s="286"/>
      <c r="M252" s="9"/>
      <c r="N252" s="9"/>
      <c r="O252" s="9"/>
      <c r="P252" s="9"/>
      <c r="Q252" s="9"/>
      <c r="R252" s="9"/>
      <c r="S252" s="271"/>
      <c r="T252" s="271"/>
      <c r="U252" s="271"/>
      <c r="V252" s="271"/>
      <c r="W252" s="271"/>
      <c r="X252" s="271"/>
      <c r="Y252" s="271"/>
      <c r="Z252" s="271"/>
    </row>
    <row r="253" spans="1:26" ht="14.45" hidden="1" customHeight="1" outlineLevel="1">
      <c r="A253" s="9"/>
      <c r="B253" s="283"/>
      <c r="C253" s="353"/>
      <c r="D253" s="287">
        <f t="shared" si="32"/>
        <v>7</v>
      </c>
      <c r="E253" s="284">
        <f ca="1">OFFSET('Actual RAB roll forward'!H$29,0,D253-1)-SUM('Actual RAB roll forward'!H273:OFFSET('Actual RAB roll forward'!H273,0,Input!$X$7-1))</f>
        <v>0</v>
      </c>
      <c r="F253" s="284" t="str">
        <f>IF(A18stdlife="N/A","n/a",IF(E253=0,0,A18stdlife+D253-Input!$X$7))</f>
        <v>n/a</v>
      </c>
      <c r="G253" s="285"/>
      <c r="H253" s="356"/>
      <c r="I253" s="287">
        <f t="shared" si="33"/>
        <v>7</v>
      </c>
      <c r="J253" s="284">
        <f ca="1">OFFSET('Tax value roll forward'!H$57,0,I253-1)-SUM('Tax value roll forward'!H319:OFFSET('Tax value roll forward'!H319,0,Input!$X$7-1))</f>
        <v>0</v>
      </c>
      <c r="K253" s="284" t="str">
        <f>IF(A18taxstdlife="N/A","n/a",IF(J253=0,0,A18taxstdlife+I253-Input!$X$7))</f>
        <v>n/a</v>
      </c>
      <c r="L253" s="286"/>
      <c r="M253" s="9"/>
      <c r="N253" s="9"/>
      <c r="O253" s="9"/>
      <c r="P253" s="9"/>
      <c r="Q253" s="9"/>
      <c r="R253" s="9"/>
      <c r="S253" s="271"/>
      <c r="T253" s="271"/>
      <c r="U253" s="271"/>
      <c r="V253" s="271"/>
      <c r="W253" s="271"/>
      <c r="X253" s="271"/>
      <c r="Y253" s="271"/>
      <c r="Z253" s="271"/>
    </row>
    <row r="254" spans="1:26" ht="14.45" hidden="1" customHeight="1" outlineLevel="1">
      <c r="A254" s="9"/>
      <c r="B254" s="283"/>
      <c r="C254" s="353"/>
      <c r="D254" s="287">
        <f t="shared" si="32"/>
        <v>8</v>
      </c>
      <c r="E254" s="284">
        <f ca="1">OFFSET('Actual RAB roll forward'!H$29,0,D254-1)-SUM('Actual RAB roll forward'!H274:OFFSET('Actual RAB roll forward'!H274,0,Input!$X$7-1))</f>
        <v>0</v>
      </c>
      <c r="F254" s="284" t="str">
        <f>IF(A18stdlife="N/A","n/a",IF(E254=0,0,A18stdlife+D254-Input!$X$7))</f>
        <v>n/a</v>
      </c>
      <c r="G254" s="285"/>
      <c r="H254" s="356"/>
      <c r="I254" s="287">
        <f t="shared" si="33"/>
        <v>8</v>
      </c>
      <c r="J254" s="284">
        <f ca="1">OFFSET('Tax value roll forward'!H$57,0,I254-1)-SUM('Tax value roll forward'!H320:OFFSET('Tax value roll forward'!H320,0,Input!$X$7-1))</f>
        <v>0</v>
      </c>
      <c r="K254" s="284" t="str">
        <f>IF(A18taxstdlife="N/A","n/a",IF(J254=0,0,A18taxstdlife+I254-Input!$X$7))</f>
        <v>n/a</v>
      </c>
      <c r="L254" s="286"/>
      <c r="M254" s="9"/>
      <c r="N254" s="9"/>
      <c r="O254" s="9"/>
      <c r="P254" s="9"/>
      <c r="Q254" s="9"/>
      <c r="R254" s="9"/>
      <c r="S254" s="271"/>
      <c r="T254" s="271"/>
      <c r="U254" s="271"/>
      <c r="V254" s="271"/>
      <c r="W254" s="271"/>
      <c r="X254" s="271"/>
      <c r="Y254" s="271"/>
      <c r="Z254" s="271"/>
    </row>
    <row r="255" spans="1:26" ht="14.45" hidden="1" customHeight="1" outlineLevel="1">
      <c r="A255" s="9"/>
      <c r="B255" s="283"/>
      <c r="C255" s="353"/>
      <c r="D255" s="287">
        <f t="shared" si="32"/>
        <v>9</v>
      </c>
      <c r="E255" s="284">
        <f ca="1">OFFSET('Actual RAB roll forward'!H$29,0,D255-1)-SUM('Actual RAB roll forward'!H275:OFFSET('Actual RAB roll forward'!H275,0,Input!$X$7-1))</f>
        <v>0</v>
      </c>
      <c r="F255" s="284" t="str">
        <f>IF(A18stdlife="N/A","n/a",IF(E255=0,0,A18stdlife+D255-Input!$X$7))</f>
        <v>n/a</v>
      </c>
      <c r="G255" s="285"/>
      <c r="H255" s="356"/>
      <c r="I255" s="287">
        <f t="shared" si="33"/>
        <v>9</v>
      </c>
      <c r="J255" s="284">
        <f ca="1">OFFSET('Tax value roll forward'!H$57,0,I255-1)-SUM('Tax value roll forward'!H321:OFFSET('Tax value roll forward'!H321,0,Input!$X$7-1))</f>
        <v>0</v>
      </c>
      <c r="K255" s="284" t="str">
        <f>IF(A18taxstdlife="N/A","n/a",IF(J255=0,0,A18taxstdlife+I255-Input!$X$7))</f>
        <v>n/a</v>
      </c>
      <c r="L255" s="286"/>
      <c r="M255" s="9"/>
      <c r="N255" s="9"/>
      <c r="O255" s="9"/>
      <c r="P255" s="9"/>
      <c r="Q255" s="9"/>
      <c r="R255" s="9"/>
      <c r="S255" s="271"/>
      <c r="T255" s="271"/>
      <c r="U255" s="271"/>
      <c r="V255" s="271"/>
      <c r="W255" s="271"/>
      <c r="X255" s="271"/>
      <c r="Y255" s="271"/>
      <c r="Z255" s="271"/>
    </row>
    <row r="256" spans="1:26" ht="14.45" hidden="1" customHeight="1" outlineLevel="1">
      <c r="A256" s="9"/>
      <c r="B256" s="283"/>
      <c r="C256" s="354"/>
      <c r="D256" s="89">
        <f t="shared" si="32"/>
        <v>10</v>
      </c>
      <c r="E256" s="284">
        <f ca="1">OFFSET('Actual RAB roll forward'!H$29,0,D256-1)-SUM('Actual RAB roll forward'!H276:OFFSET('Actual RAB roll forward'!H276,0,Input!$X$7-1))</f>
        <v>0</v>
      </c>
      <c r="F256" s="284" t="str">
        <f>IF(A18stdlife="N/A","n/a",IF(E256=0,0,A18stdlife+D256-Input!$X$7))</f>
        <v>n/a</v>
      </c>
      <c r="G256" s="285"/>
      <c r="H256" s="357"/>
      <c r="I256" s="89">
        <f t="shared" si="33"/>
        <v>10</v>
      </c>
      <c r="J256" s="284">
        <f ca="1">OFFSET('Tax value roll forward'!H$57,0,I256-1)-SUM('Tax value roll forward'!H322:OFFSET('Tax value roll forward'!H322,0,Input!$X$7-1))</f>
        <v>0</v>
      </c>
      <c r="K256" s="284" t="str">
        <f>IF(A18taxstdlife="N/A","n/a",IF(J256=0,0,A18taxstdlife+I256-Input!$X$7))</f>
        <v>n/a</v>
      </c>
      <c r="L256" s="286"/>
      <c r="M256" s="9"/>
      <c r="N256" s="9"/>
      <c r="O256" s="9"/>
      <c r="P256" s="9"/>
      <c r="Q256" s="9"/>
      <c r="R256" s="9"/>
      <c r="S256" s="271"/>
      <c r="T256" s="271"/>
      <c r="U256" s="271"/>
      <c r="V256" s="271"/>
      <c r="W256" s="271"/>
      <c r="X256" s="271"/>
      <c r="Y256" s="271"/>
      <c r="Z256" s="271"/>
    </row>
    <row r="257" spans="1:26" collapsed="1">
      <c r="A257" s="9"/>
      <c r="B257" s="283"/>
      <c r="C257" s="286" t="str">
        <f>B245</f>
        <v>Land &amp; Easements (System)</v>
      </c>
      <c r="D257" s="9"/>
      <c r="E257" s="284">
        <f ca="1">SUM(E246:E256)</f>
        <v>80.727458999999996</v>
      </c>
      <c r="F257" s="284" t="str">
        <f>IF(A18remlife="N/A","n/a",IF(E257=0,0,SUMPRODUCT(E246:E256,F246:F256)/E257))</f>
        <v>n/a</v>
      </c>
      <c r="G257" s="285"/>
      <c r="H257" s="45"/>
      <c r="I257" s="284"/>
      <c r="J257" s="284">
        <f ca="1">SUM(J246:J256)</f>
        <v>26.317697000000003</v>
      </c>
      <c r="K257" s="284" t="str">
        <f>IF(A18taxstdlife="N/A","n/a",IF(J257=0,0,SUMPRODUCT(J246:J256,K246:K256)/J257))</f>
        <v>n/a</v>
      </c>
      <c r="L257" s="286"/>
      <c r="M257" s="9"/>
      <c r="N257" s="9"/>
      <c r="O257" s="9"/>
      <c r="P257" s="9"/>
      <c r="Q257" s="9"/>
      <c r="R257" s="9"/>
      <c r="S257" s="271"/>
      <c r="T257" s="271"/>
      <c r="U257" s="271"/>
      <c r="V257" s="271"/>
      <c r="W257" s="271"/>
      <c r="X257" s="271"/>
      <c r="Y257" s="271"/>
      <c r="Z257" s="271"/>
    </row>
    <row r="258" spans="1:26" hidden="1" outlineLevel="1">
      <c r="A258" s="9"/>
      <c r="B258" s="283"/>
      <c r="C258" s="297"/>
      <c r="D258" s="298"/>
      <c r="E258" s="284"/>
      <c r="F258" s="284"/>
      <c r="G258" s="285"/>
      <c r="H258" s="284"/>
      <c r="I258" s="284"/>
      <c r="J258" s="293"/>
      <c r="K258" s="289"/>
      <c r="L258" s="286"/>
      <c r="M258" s="9"/>
      <c r="N258" s="9"/>
      <c r="O258" s="9"/>
      <c r="P258" s="9"/>
      <c r="Q258" s="9"/>
      <c r="R258" s="9"/>
      <c r="S258" s="271"/>
      <c r="T258" s="271"/>
      <c r="U258" s="271"/>
      <c r="V258" s="271"/>
      <c r="W258" s="271"/>
      <c r="X258" s="271"/>
      <c r="Y258" s="271"/>
      <c r="Z258" s="271"/>
    </row>
    <row r="259" spans="1:26" hidden="1" outlineLevel="1">
      <c r="A259" s="9"/>
      <c r="B259" s="281" t="str">
        <f>Asset19</f>
        <v>Metering Type 5-6</v>
      </c>
      <c r="C259" s="298"/>
      <c r="D259" s="298"/>
      <c r="E259" s="296"/>
      <c r="F259" s="296"/>
      <c r="G259" s="285"/>
      <c r="H259" s="284"/>
      <c r="I259" s="284"/>
      <c r="J259" s="293"/>
      <c r="K259" s="289"/>
      <c r="L259" s="286"/>
      <c r="M259" s="9"/>
      <c r="N259" s="9"/>
      <c r="O259" s="9"/>
      <c r="P259" s="9"/>
      <c r="Q259" s="9"/>
      <c r="R259" s="9"/>
      <c r="S259" s="271"/>
      <c r="T259" s="271"/>
      <c r="U259" s="271"/>
      <c r="V259" s="271"/>
      <c r="W259" s="271"/>
      <c r="X259" s="271"/>
      <c r="Y259" s="271"/>
      <c r="Z259" s="271"/>
    </row>
    <row r="260" spans="1:26" ht="12.75" hidden="1" customHeight="1" outlineLevel="1">
      <c r="A260" s="9"/>
      <c r="B260" s="283"/>
      <c r="C260" s="358" t="str">
        <f>C246</f>
        <v>Opening RAB</v>
      </c>
      <c r="D260" s="359"/>
      <c r="E260" s="284">
        <f ca="1">A19value-SUM('Actual RAB roll forward'!H278:OFFSET('Actual RAB roll forward'!H278,0,Input!$X$7-1))</f>
        <v>0</v>
      </c>
      <c r="F260" s="284" t="str">
        <f>IF(A19remlife="N/A","n/a",A19remlife-Input!$X$7)</f>
        <v>n/a</v>
      </c>
      <c r="G260" s="285"/>
      <c r="H260" s="360" t="str">
        <f>H246</f>
        <v>Initial Asset Base</v>
      </c>
      <c r="I260" s="361"/>
      <c r="J260" s="284">
        <f ca="1">(A19taxvalue+'Tax value roll forward'!G58)-SUM('Tax value roll forward'!G324:OFFSET('Tax value roll forward'!G324,2,Input!$X$7))</f>
        <v>0</v>
      </c>
      <c r="K260" s="284" t="str">
        <f>IF(A19taxremlife="N/A","n/a",A19taxremlife-Input!$X$7-1)</f>
        <v>n/a</v>
      </c>
      <c r="L260" s="286"/>
      <c r="M260" s="9"/>
      <c r="N260" s="9"/>
      <c r="O260" s="9"/>
      <c r="P260" s="9"/>
      <c r="Q260" s="9"/>
      <c r="R260" s="9"/>
      <c r="S260" s="271"/>
      <c r="T260" s="271"/>
      <c r="U260" s="271"/>
      <c r="V260" s="271"/>
      <c r="W260" s="271"/>
      <c r="X260" s="271"/>
      <c r="Y260" s="271"/>
      <c r="Z260" s="271"/>
    </row>
    <row r="261" spans="1:26" ht="14.45" hidden="1" customHeight="1" outlineLevel="1">
      <c r="A261" s="9"/>
      <c r="B261" s="283"/>
      <c r="C261" s="352" t="str">
        <f>C247</f>
        <v>Capex in year</v>
      </c>
      <c r="D261" s="287">
        <f>D247</f>
        <v>1</v>
      </c>
      <c r="E261" s="284">
        <f ca="1">OFFSET('Actual RAB roll forward'!H$30,0,D261-1)-SUM('Actual RAB roll forward'!H280:OFFSET('Actual RAB roll forward'!H280,0,Input!$X$7-1))</f>
        <v>0</v>
      </c>
      <c r="F261" s="284">
        <f ca="1">IF(A19stdlife="N/A","n/a",IF(E261=0,0,A19stdlife+D261-Input!$X$7))</f>
        <v>0</v>
      </c>
      <c r="G261" s="285"/>
      <c r="H261" s="355" t="str">
        <f>H247</f>
        <v>Capex in year</v>
      </c>
      <c r="I261" s="287">
        <f>I247</f>
        <v>1</v>
      </c>
      <c r="J261" s="284">
        <f ca="1">OFFSET('Tax value roll forward'!H$58,0,I261-1)-SUM('Tax value roll forward'!H327:OFFSET('Tax value roll forward'!H327,0,Input!$X$7-1))</f>
        <v>0</v>
      </c>
      <c r="K261" s="284">
        <f ca="1">IF(A19taxstdlife="N/A","n/a",IF(J261=0,0,A19taxstdlife+I261-Input!$X$7))</f>
        <v>0</v>
      </c>
      <c r="L261" s="286"/>
      <c r="M261" s="9"/>
      <c r="N261" s="9"/>
      <c r="O261" s="9"/>
      <c r="P261" s="9"/>
      <c r="Q261" s="9"/>
      <c r="R261" s="9"/>
      <c r="S261" s="271"/>
      <c r="T261" s="271"/>
      <c r="U261" s="271"/>
      <c r="V261" s="271"/>
      <c r="W261" s="271"/>
      <c r="X261" s="271"/>
      <c r="Y261" s="271"/>
      <c r="Z261" s="271"/>
    </row>
    <row r="262" spans="1:26" ht="14.45" hidden="1" customHeight="1" outlineLevel="1">
      <c r="A262" s="9"/>
      <c r="B262" s="283"/>
      <c r="C262" s="353"/>
      <c r="D262" s="287">
        <f t="shared" ref="D262:D270" si="34">D248</f>
        <v>2</v>
      </c>
      <c r="E262" s="284">
        <f ca="1">OFFSET('Actual RAB roll forward'!H$30,0,D262-1)-SUM('Actual RAB roll forward'!H281:OFFSET('Actual RAB roll forward'!H281,0,Input!$X$7-1))</f>
        <v>0</v>
      </c>
      <c r="F262" s="284">
        <f ca="1">IF(A19stdlife="N/A","n/a",IF(E262=0,0,A19stdlife+D262-Input!$X$7))</f>
        <v>0</v>
      </c>
      <c r="G262" s="285"/>
      <c r="H262" s="356"/>
      <c r="I262" s="287">
        <f t="shared" ref="I262:I270" si="35">I248</f>
        <v>2</v>
      </c>
      <c r="J262" s="284">
        <f ca="1">OFFSET('Tax value roll forward'!H$58,0,I262-1)-SUM('Tax value roll forward'!H328:OFFSET('Tax value roll forward'!H328,0,Input!$X$7-1))</f>
        <v>0</v>
      </c>
      <c r="K262" s="284">
        <f ca="1">IF(A19taxstdlife="N/A","n/a",IF(J262=0,0,A19taxstdlife+I262-Input!$X$7))</f>
        <v>0</v>
      </c>
      <c r="L262" s="286"/>
      <c r="M262" s="9"/>
      <c r="N262" s="9"/>
      <c r="O262" s="9"/>
      <c r="P262" s="9"/>
      <c r="Q262" s="9"/>
      <c r="R262" s="9"/>
      <c r="S262" s="271"/>
      <c r="T262" s="271"/>
      <c r="U262" s="271"/>
      <c r="V262" s="271"/>
      <c r="W262" s="271"/>
      <c r="X262" s="271"/>
      <c r="Y262" s="271"/>
      <c r="Z262" s="271"/>
    </row>
    <row r="263" spans="1:26" ht="14.45" hidden="1" customHeight="1" outlineLevel="1">
      <c r="A263" s="9"/>
      <c r="B263" s="283"/>
      <c r="C263" s="353"/>
      <c r="D263" s="287">
        <f t="shared" si="34"/>
        <v>3</v>
      </c>
      <c r="E263" s="284">
        <f ca="1">OFFSET('Actual RAB roll forward'!H$30,0,D263-1)-SUM('Actual RAB roll forward'!H282:OFFSET('Actual RAB roll forward'!H282,0,Input!$X$7-1))</f>
        <v>0</v>
      </c>
      <c r="F263" s="284">
        <f ca="1">IF(A19stdlife="N/A","n/a",IF(E263=0,0,A19stdlife+D263-Input!$X$7))</f>
        <v>0</v>
      </c>
      <c r="G263" s="285"/>
      <c r="H263" s="356"/>
      <c r="I263" s="287">
        <f t="shared" si="35"/>
        <v>3</v>
      </c>
      <c r="J263" s="284">
        <f ca="1">OFFSET('Tax value roll forward'!H$58,0,I263-1)-SUM('Tax value roll forward'!H329:OFFSET('Tax value roll forward'!H329,0,Input!$X$7-1))</f>
        <v>0</v>
      </c>
      <c r="K263" s="284">
        <f ca="1">IF(A19taxstdlife="N/A","n/a",IF(J263=0,0,A19taxstdlife+I263-Input!$X$7))</f>
        <v>0</v>
      </c>
      <c r="L263" s="286"/>
      <c r="M263" s="9"/>
      <c r="N263" s="9"/>
      <c r="O263" s="9"/>
      <c r="P263" s="9"/>
      <c r="Q263" s="9"/>
      <c r="R263" s="9"/>
      <c r="S263" s="271"/>
      <c r="T263" s="271"/>
      <c r="U263" s="271"/>
      <c r="V263" s="271"/>
      <c r="W263" s="271"/>
      <c r="X263" s="271"/>
      <c r="Y263" s="271"/>
      <c r="Z263" s="271"/>
    </row>
    <row r="264" spans="1:26" ht="14.45" hidden="1" customHeight="1" outlineLevel="1">
      <c r="A264" s="9"/>
      <c r="B264" s="283"/>
      <c r="C264" s="353"/>
      <c r="D264" s="287">
        <f t="shared" si="34"/>
        <v>4</v>
      </c>
      <c r="E264" s="284">
        <f ca="1">OFFSET('Actual RAB roll forward'!H$30,0,D264-1)-SUM('Actual RAB roll forward'!H283:OFFSET('Actual RAB roll forward'!H283,0,Input!$X$7-1))</f>
        <v>0</v>
      </c>
      <c r="F264" s="284">
        <f ca="1">IF(A19stdlife="N/A","n/a",IF(E264=0,0,A19stdlife+D264-Input!$X$7))</f>
        <v>0</v>
      </c>
      <c r="G264" s="285"/>
      <c r="H264" s="356"/>
      <c r="I264" s="287">
        <f t="shared" si="35"/>
        <v>4</v>
      </c>
      <c r="J264" s="284">
        <f ca="1">OFFSET('Tax value roll forward'!H$58,0,I264-1)-SUM('Tax value roll forward'!H330:OFFSET('Tax value roll forward'!H330,0,Input!$X$7-1))</f>
        <v>0</v>
      </c>
      <c r="K264" s="284">
        <f ca="1">IF(A19taxstdlife="N/A","n/a",IF(J264=0,0,A19taxstdlife+I264-Input!$X$7))</f>
        <v>0</v>
      </c>
      <c r="L264" s="286"/>
      <c r="M264" s="9"/>
      <c r="N264" s="9"/>
      <c r="O264" s="9"/>
      <c r="P264" s="9"/>
      <c r="Q264" s="9"/>
      <c r="R264" s="9"/>
      <c r="S264" s="271"/>
      <c r="T264" s="271"/>
      <c r="U264" s="271"/>
      <c r="V264" s="271"/>
      <c r="W264" s="271"/>
      <c r="X264" s="271"/>
      <c r="Y264" s="271"/>
      <c r="Z264" s="271"/>
    </row>
    <row r="265" spans="1:26" ht="14.45" hidden="1" customHeight="1" outlineLevel="1">
      <c r="A265" s="9"/>
      <c r="B265" s="283"/>
      <c r="C265" s="353"/>
      <c r="D265" s="287">
        <f t="shared" si="34"/>
        <v>5</v>
      </c>
      <c r="E265" s="284">
        <f ca="1">OFFSET('Actual RAB roll forward'!H$30,0,D265-1)-SUM('Actual RAB roll forward'!H284:OFFSET('Actual RAB roll forward'!H284,0,Input!$X$7-1))</f>
        <v>0</v>
      </c>
      <c r="F265" s="284">
        <f ca="1">IF(A19stdlife="N/A","n/a",IF(E265=0,0,A19stdlife+D265-Input!$X$7))</f>
        <v>0</v>
      </c>
      <c r="G265" s="285"/>
      <c r="H265" s="356"/>
      <c r="I265" s="287">
        <f t="shared" si="35"/>
        <v>5</v>
      </c>
      <c r="J265" s="284">
        <f ca="1">OFFSET('Tax value roll forward'!H$58,0,I265-1)-SUM('Tax value roll forward'!H331:OFFSET('Tax value roll forward'!H331,0,Input!$X$7-1))</f>
        <v>0</v>
      </c>
      <c r="K265" s="284">
        <f ca="1">IF(A19taxstdlife="N/A","n/a",IF(J265=0,0,A19taxstdlife+I265-Input!$X$7))</f>
        <v>0</v>
      </c>
      <c r="L265" s="286"/>
      <c r="M265" s="9"/>
      <c r="N265" s="9"/>
      <c r="O265" s="9"/>
      <c r="P265" s="9"/>
      <c r="Q265" s="9"/>
      <c r="R265" s="9"/>
      <c r="S265" s="271"/>
      <c r="T265" s="271"/>
      <c r="U265" s="271"/>
      <c r="V265" s="271"/>
      <c r="W265" s="271"/>
      <c r="X265" s="271"/>
      <c r="Y265" s="271"/>
      <c r="Z265" s="271"/>
    </row>
    <row r="266" spans="1:26" ht="14.45" hidden="1" customHeight="1" outlineLevel="1">
      <c r="A266" s="9"/>
      <c r="B266" s="283"/>
      <c r="C266" s="353"/>
      <c r="D266" s="287">
        <f t="shared" si="34"/>
        <v>6</v>
      </c>
      <c r="E266" s="284">
        <f ca="1">OFFSET('Actual RAB roll forward'!H$30,0,D266-1)-SUM('Actual RAB roll forward'!H285:OFFSET('Actual RAB roll forward'!H285,0,Input!$X$7-1))</f>
        <v>0</v>
      </c>
      <c r="F266" s="284">
        <f ca="1">IF(A19stdlife="N/A","n/a",IF(E266=0,0,A19stdlife+D266-Input!$X$7))</f>
        <v>0</v>
      </c>
      <c r="G266" s="285"/>
      <c r="H266" s="356"/>
      <c r="I266" s="287">
        <f t="shared" si="35"/>
        <v>6</v>
      </c>
      <c r="J266" s="284">
        <f ca="1">OFFSET('Tax value roll forward'!H$58,0,I266-1)-SUM('Tax value roll forward'!H332:OFFSET('Tax value roll forward'!H332,0,Input!$X$7-1))</f>
        <v>0</v>
      </c>
      <c r="K266" s="284">
        <f ca="1">IF(A19taxstdlife="N/A","n/a",IF(J266=0,0,A19taxstdlife+I266-Input!$X$7))</f>
        <v>0</v>
      </c>
      <c r="L266" s="286"/>
      <c r="M266" s="9"/>
      <c r="N266" s="9"/>
      <c r="O266" s="9"/>
      <c r="P266" s="9"/>
      <c r="Q266" s="9"/>
      <c r="R266" s="9"/>
      <c r="S266" s="271"/>
      <c r="T266" s="271"/>
      <c r="U266" s="271"/>
      <c r="V266" s="271"/>
      <c r="W266" s="271"/>
      <c r="X266" s="271"/>
      <c r="Y266" s="271"/>
      <c r="Z266" s="271"/>
    </row>
    <row r="267" spans="1:26" ht="14.45" hidden="1" customHeight="1" outlineLevel="1">
      <c r="A267" s="9"/>
      <c r="B267" s="283"/>
      <c r="C267" s="353"/>
      <c r="D267" s="287">
        <f t="shared" si="34"/>
        <v>7</v>
      </c>
      <c r="E267" s="284">
        <f ca="1">OFFSET('Actual RAB roll forward'!H$30,0,D267-1)-SUM('Actual RAB roll forward'!H286:OFFSET('Actual RAB roll forward'!H286,0,Input!$X$7-1))</f>
        <v>0</v>
      </c>
      <c r="F267" s="284">
        <f ca="1">IF(A19stdlife="N/A","n/a",IF(E267=0,0,A19stdlife+D267-Input!$X$7))</f>
        <v>0</v>
      </c>
      <c r="G267" s="285"/>
      <c r="H267" s="356"/>
      <c r="I267" s="287">
        <f t="shared" si="35"/>
        <v>7</v>
      </c>
      <c r="J267" s="284">
        <f ca="1">OFFSET('Tax value roll forward'!H$58,0,I267-1)-SUM('Tax value roll forward'!H333:OFFSET('Tax value roll forward'!H333,0,Input!$X$7-1))</f>
        <v>0</v>
      </c>
      <c r="K267" s="284">
        <f ca="1">IF(A19taxstdlife="N/A","n/a",IF(J267=0,0,A19taxstdlife+I267-Input!$X$7))</f>
        <v>0</v>
      </c>
      <c r="L267" s="286"/>
      <c r="M267" s="9"/>
      <c r="N267" s="9"/>
      <c r="O267" s="9"/>
      <c r="P267" s="9"/>
      <c r="Q267" s="9"/>
      <c r="R267" s="9"/>
      <c r="S267" s="271"/>
      <c r="T267" s="271"/>
      <c r="U267" s="271"/>
      <c r="V267" s="271"/>
      <c r="W267" s="271"/>
      <c r="X267" s="271"/>
      <c r="Y267" s="271"/>
      <c r="Z267" s="271"/>
    </row>
    <row r="268" spans="1:26" ht="14.45" hidden="1" customHeight="1" outlineLevel="1">
      <c r="A268" s="9"/>
      <c r="B268" s="283"/>
      <c r="C268" s="353"/>
      <c r="D268" s="287">
        <f t="shared" si="34"/>
        <v>8</v>
      </c>
      <c r="E268" s="284">
        <f ca="1">OFFSET('Actual RAB roll forward'!H$30,0,D268-1)-SUM('Actual RAB roll forward'!H287:OFFSET('Actual RAB roll forward'!H287,0,Input!$X$7-1))</f>
        <v>0</v>
      </c>
      <c r="F268" s="284">
        <f ca="1">IF(A19stdlife="N/A","n/a",IF(E268=0,0,A19stdlife+D268-Input!$X$7))</f>
        <v>0</v>
      </c>
      <c r="G268" s="285"/>
      <c r="H268" s="356"/>
      <c r="I268" s="287">
        <f t="shared" si="35"/>
        <v>8</v>
      </c>
      <c r="J268" s="284">
        <f ca="1">OFFSET('Tax value roll forward'!H$58,0,I268-1)-SUM('Tax value roll forward'!H334:OFFSET('Tax value roll forward'!H334,0,Input!$X$7-1))</f>
        <v>0</v>
      </c>
      <c r="K268" s="284">
        <f ca="1">IF(A19taxstdlife="N/A","n/a",IF(J268=0,0,A19taxstdlife+I268-Input!$X$7))</f>
        <v>0</v>
      </c>
      <c r="L268" s="286"/>
      <c r="M268" s="9"/>
      <c r="N268" s="9"/>
      <c r="O268" s="9"/>
      <c r="P268" s="9"/>
      <c r="Q268" s="9"/>
      <c r="R268" s="9"/>
      <c r="S268" s="271"/>
      <c r="T268" s="271"/>
      <c r="U268" s="271"/>
      <c r="V268" s="271"/>
      <c r="W268" s="271"/>
      <c r="X268" s="271"/>
      <c r="Y268" s="271"/>
      <c r="Z268" s="271"/>
    </row>
    <row r="269" spans="1:26" ht="14.45" hidden="1" customHeight="1" outlineLevel="1">
      <c r="A269" s="9"/>
      <c r="B269" s="283"/>
      <c r="C269" s="353"/>
      <c r="D269" s="287">
        <f t="shared" si="34"/>
        <v>9</v>
      </c>
      <c r="E269" s="284">
        <f ca="1">OFFSET('Actual RAB roll forward'!H$30,0,D269-1)-SUM('Actual RAB roll forward'!H288:OFFSET('Actual RAB roll forward'!H288,0,Input!$X$7-1))</f>
        <v>0</v>
      </c>
      <c r="F269" s="284">
        <f ca="1">IF(A19stdlife="N/A","n/a",IF(E269=0,0,A19stdlife+D269-Input!$X$7))</f>
        <v>0</v>
      </c>
      <c r="G269" s="285"/>
      <c r="H269" s="356"/>
      <c r="I269" s="287">
        <f t="shared" si="35"/>
        <v>9</v>
      </c>
      <c r="J269" s="284">
        <f ca="1">OFFSET('Tax value roll forward'!H$58,0,I269-1)-SUM('Tax value roll forward'!H335:OFFSET('Tax value roll forward'!H335,0,Input!$X$7-1))</f>
        <v>0</v>
      </c>
      <c r="K269" s="284">
        <f ca="1">IF(A19taxstdlife="N/A","n/a",IF(J269=0,0,A19taxstdlife+I269-Input!$X$7))</f>
        <v>0</v>
      </c>
      <c r="L269" s="286"/>
      <c r="M269" s="9"/>
      <c r="N269" s="9"/>
      <c r="O269" s="9"/>
      <c r="P269" s="9"/>
      <c r="Q269" s="9"/>
      <c r="R269" s="9"/>
      <c r="S269" s="271"/>
      <c r="T269" s="271"/>
      <c r="U269" s="271"/>
      <c r="V269" s="271"/>
      <c r="W269" s="271"/>
      <c r="X269" s="271"/>
      <c r="Y269" s="271"/>
      <c r="Z269" s="271"/>
    </row>
    <row r="270" spans="1:26" ht="14.45" hidden="1" customHeight="1" outlineLevel="1">
      <c r="A270" s="9"/>
      <c r="B270" s="283"/>
      <c r="C270" s="354"/>
      <c r="D270" s="89">
        <f t="shared" si="34"/>
        <v>10</v>
      </c>
      <c r="E270" s="284">
        <f ca="1">OFFSET('Actual RAB roll forward'!H$30,0,D270-1)-SUM('Actual RAB roll forward'!H289:OFFSET('Actual RAB roll forward'!H289,0,Input!$X$7-1))</f>
        <v>0</v>
      </c>
      <c r="F270" s="284">
        <f ca="1">IF(A19stdlife="N/A","n/a",IF(E270=0,0,A19stdlife+D270-Input!$X$7))</f>
        <v>0</v>
      </c>
      <c r="G270" s="285"/>
      <c r="H270" s="357"/>
      <c r="I270" s="89">
        <f t="shared" si="35"/>
        <v>10</v>
      </c>
      <c r="J270" s="284">
        <f ca="1">OFFSET('Tax value roll forward'!H$58,0,I270-1)-SUM('Tax value roll forward'!H336:OFFSET('Tax value roll forward'!H336,0,Input!$X$7-1))</f>
        <v>0</v>
      </c>
      <c r="K270" s="284">
        <f ca="1">IF(A19taxstdlife="N/A","n/a",IF(J270=0,0,A19taxstdlife+I270-Input!$X$7))</f>
        <v>0</v>
      </c>
      <c r="L270" s="286"/>
      <c r="M270" s="9"/>
      <c r="N270" s="9"/>
      <c r="O270" s="9"/>
      <c r="P270" s="9"/>
      <c r="Q270" s="9"/>
      <c r="R270" s="9"/>
      <c r="S270" s="271"/>
      <c r="T270" s="271"/>
      <c r="U270" s="271"/>
      <c r="V270" s="271"/>
      <c r="W270" s="271"/>
      <c r="X270" s="271"/>
      <c r="Y270" s="271"/>
      <c r="Z270" s="271"/>
    </row>
    <row r="271" spans="1:26" collapsed="1">
      <c r="A271" s="9"/>
      <c r="B271" s="283"/>
      <c r="C271" s="286" t="str">
        <f>B259</f>
        <v>Metering Type 5-6</v>
      </c>
      <c r="D271" s="9"/>
      <c r="E271" s="284">
        <f ca="1">SUM(E260:E270)</f>
        <v>0</v>
      </c>
      <c r="F271" s="284" t="str">
        <f>IF(A19remlife="N/A","n/a",IF(E271=0,0,SUMPRODUCT(E260:E270,F260:F270)/E271))</f>
        <v>n/a</v>
      </c>
      <c r="G271" s="285"/>
      <c r="H271" s="45"/>
      <c r="I271" s="284"/>
      <c r="J271" s="284">
        <f ca="1">SUM(J260:J270)</f>
        <v>0</v>
      </c>
      <c r="K271" s="284">
        <f ca="1">IF(A19taxstdlife="N/A","n/a",IF(J271=0,0,SUMPRODUCT(J260:J270,K260:K270)/J271))</f>
        <v>0</v>
      </c>
      <c r="L271" s="286"/>
      <c r="M271" s="9"/>
      <c r="N271" s="9"/>
      <c r="O271" s="9"/>
      <c r="P271" s="9"/>
      <c r="Q271" s="9"/>
      <c r="R271" s="9"/>
      <c r="S271" s="271"/>
      <c r="T271" s="271"/>
      <c r="U271" s="271"/>
      <c r="V271" s="271"/>
      <c r="W271" s="271"/>
      <c r="X271" s="271"/>
      <c r="Y271" s="271"/>
      <c r="Z271" s="271"/>
    </row>
    <row r="272" spans="1:26" hidden="1" outlineLevel="1">
      <c r="A272" s="9"/>
      <c r="B272" s="283"/>
      <c r="C272" s="297"/>
      <c r="D272" s="298"/>
      <c r="E272" s="284"/>
      <c r="F272" s="284"/>
      <c r="G272" s="285"/>
      <c r="H272" s="284"/>
      <c r="I272" s="284"/>
      <c r="J272" s="293"/>
      <c r="K272" s="289"/>
      <c r="L272" s="286"/>
      <c r="M272" s="9"/>
      <c r="N272" s="9"/>
      <c r="O272" s="9"/>
      <c r="P272" s="9"/>
      <c r="Q272" s="9"/>
      <c r="R272" s="9"/>
      <c r="S272" s="271"/>
      <c r="T272" s="271"/>
      <c r="U272" s="271"/>
      <c r="V272" s="271"/>
      <c r="W272" s="271"/>
      <c r="X272" s="271"/>
      <c r="Y272" s="271"/>
      <c r="Z272" s="271"/>
    </row>
    <row r="273" spans="1:26" hidden="1" outlineLevel="1">
      <c r="A273" s="9"/>
      <c r="B273" s="281" t="str">
        <f>Asset20</f>
        <v>Communications</v>
      </c>
      <c r="C273" s="298"/>
      <c r="D273" s="298"/>
      <c r="E273" s="296"/>
      <c r="F273" s="296"/>
      <c r="G273" s="285"/>
      <c r="H273" s="284"/>
      <c r="I273" s="284"/>
      <c r="J273" s="293"/>
      <c r="K273" s="289"/>
      <c r="L273" s="286"/>
      <c r="M273" s="9"/>
      <c r="N273" s="9"/>
      <c r="O273" s="9"/>
      <c r="P273" s="9"/>
      <c r="Q273" s="9"/>
      <c r="R273" s="9"/>
      <c r="S273" s="271"/>
      <c r="T273" s="271"/>
      <c r="U273" s="271"/>
      <c r="V273" s="271"/>
      <c r="W273" s="271"/>
      <c r="X273" s="271"/>
      <c r="Y273" s="271"/>
      <c r="Z273" s="271"/>
    </row>
    <row r="274" spans="1:26" ht="12.75" hidden="1" customHeight="1" outlineLevel="1">
      <c r="A274" s="9"/>
      <c r="B274" s="283"/>
      <c r="C274" s="358" t="str">
        <f>C260</f>
        <v>Opening RAB</v>
      </c>
      <c r="D274" s="359"/>
      <c r="E274" s="284">
        <f ca="1">A20value-SUM('Actual RAB roll forward'!H291:OFFSET('Actual RAB roll forward'!H291,0,Input!$X$7-1))</f>
        <v>1.9527667789780185</v>
      </c>
      <c r="F274" s="284">
        <f>IF(A20remlife="N/A","n/a",A20remlife-Input!$X$7)</f>
        <v>1.5989055631524938</v>
      </c>
      <c r="G274" s="285"/>
      <c r="H274" s="360" t="str">
        <f>H260</f>
        <v>Initial Asset Base</v>
      </c>
      <c r="I274" s="361"/>
      <c r="J274" s="284">
        <f ca="1">(A20taxvalue+'Tax value roll forward'!G59)-SUM('Tax value roll forward'!G338:OFFSET('Tax value roll forward'!G338,2,Input!$X$7))</f>
        <v>1.6312760997749436</v>
      </c>
      <c r="K274" s="284">
        <f>IF(A20taxremlife="N/A","n/a",A20taxremlife-Input!$X$7-1)</f>
        <v>2.1479217603911991</v>
      </c>
      <c r="L274" s="286"/>
      <c r="M274" s="9"/>
      <c r="N274" s="9"/>
      <c r="O274" s="9"/>
      <c r="P274" s="9"/>
      <c r="Q274" s="9"/>
      <c r="R274" s="9"/>
      <c r="S274" s="271"/>
      <c r="T274" s="271"/>
      <c r="U274" s="271"/>
      <c r="V274" s="271"/>
      <c r="W274" s="271"/>
      <c r="X274" s="271"/>
      <c r="Y274" s="271"/>
      <c r="Z274" s="271"/>
    </row>
    <row r="275" spans="1:26" ht="14.45" hidden="1" customHeight="1" outlineLevel="1">
      <c r="A275" s="9"/>
      <c r="B275" s="283"/>
      <c r="C275" s="352" t="str">
        <f>C261</f>
        <v>Capex in year</v>
      </c>
      <c r="D275" s="287">
        <f>D261</f>
        <v>1</v>
      </c>
      <c r="E275" s="284">
        <f ca="1">OFFSET('Actual RAB roll forward'!H$31,0,D275-1)-SUM('Actual RAB roll forward'!H293:OFFSET('Actual RAB roll forward'!H293,0,Input!$X$7-1))</f>
        <v>0</v>
      </c>
      <c r="F275" s="284">
        <f ca="1">IF(A20stdlife="N/A","n/a",IF(E275=0,0,A20stdlife+D275-Input!$X$7))</f>
        <v>0</v>
      </c>
      <c r="G275" s="285"/>
      <c r="H275" s="355" t="str">
        <f>H261</f>
        <v>Capex in year</v>
      </c>
      <c r="I275" s="287">
        <f>I261</f>
        <v>1</v>
      </c>
      <c r="J275" s="284">
        <f ca="1">OFFSET('Tax value roll forward'!H$59,0,I275-1)-SUM('Tax value roll forward'!H341:OFFSET('Tax value roll forward'!H341,0,Input!$X$7-1))</f>
        <v>0</v>
      </c>
      <c r="K275" s="284">
        <f ca="1">IF(A20taxstdlife="N/A","n/a",IF(J275=0,0,A20taxstdlife+I275-Input!$X$7))</f>
        <v>0</v>
      </c>
      <c r="L275" s="286"/>
      <c r="M275" s="9"/>
      <c r="N275" s="9"/>
      <c r="O275" s="9"/>
      <c r="P275" s="9"/>
      <c r="Q275" s="9"/>
      <c r="R275" s="9"/>
      <c r="S275" s="271"/>
      <c r="T275" s="271"/>
      <c r="U275" s="271"/>
      <c r="V275" s="271"/>
      <c r="W275" s="271"/>
      <c r="X275" s="271"/>
      <c r="Y275" s="271"/>
      <c r="Z275" s="271"/>
    </row>
    <row r="276" spans="1:26" ht="14.45" hidden="1" customHeight="1" outlineLevel="1">
      <c r="A276" s="9"/>
      <c r="B276" s="283"/>
      <c r="C276" s="353"/>
      <c r="D276" s="287">
        <f t="shared" ref="D276:D284" si="36">D262</f>
        <v>2</v>
      </c>
      <c r="E276" s="284">
        <f ca="1">OFFSET('Actual RAB roll forward'!H$31,0,D276-1)-SUM('Actual RAB roll forward'!H294:OFFSET('Actual RAB roll forward'!H294,0,Input!$X$7-1))</f>
        <v>0</v>
      </c>
      <c r="F276" s="284">
        <f ca="1">IF(A20stdlife="N/A","n/a",IF(E276=0,0,A20stdlife+D276-Input!$X$7))</f>
        <v>0</v>
      </c>
      <c r="G276" s="285"/>
      <c r="H276" s="356"/>
      <c r="I276" s="287">
        <f t="shared" ref="I276:I284" si="37">I262</f>
        <v>2</v>
      </c>
      <c r="J276" s="284">
        <f ca="1">OFFSET('Tax value roll forward'!H$59,0,I276-1)-SUM('Tax value roll forward'!H342:OFFSET('Tax value roll forward'!H342,0,Input!$X$7-1))</f>
        <v>0</v>
      </c>
      <c r="K276" s="284">
        <f ca="1">IF(A20taxstdlife="N/A","n/a",IF(J276=0,0,A20taxstdlife+I276-Input!$X$7))</f>
        <v>0</v>
      </c>
      <c r="L276" s="286"/>
      <c r="M276" s="9"/>
      <c r="N276" s="9"/>
      <c r="O276" s="9"/>
      <c r="P276" s="9"/>
      <c r="Q276" s="9"/>
      <c r="R276" s="9"/>
      <c r="S276" s="271"/>
      <c r="T276" s="271"/>
      <c r="U276" s="271"/>
      <c r="V276" s="271"/>
      <c r="W276" s="271"/>
      <c r="X276" s="271"/>
      <c r="Y276" s="271"/>
      <c r="Z276" s="271"/>
    </row>
    <row r="277" spans="1:26" ht="14.45" hidden="1" customHeight="1" outlineLevel="1">
      <c r="A277" s="9"/>
      <c r="B277" s="283"/>
      <c r="C277" s="353"/>
      <c r="D277" s="287">
        <f t="shared" si="36"/>
        <v>3</v>
      </c>
      <c r="E277" s="284">
        <f ca="1">OFFSET('Actual RAB roll forward'!H$31,0,D277-1)-SUM('Actual RAB roll forward'!H295:OFFSET('Actual RAB roll forward'!H295,0,Input!$X$7-1))</f>
        <v>0</v>
      </c>
      <c r="F277" s="284">
        <f ca="1">IF(A20stdlife="N/A","n/a",IF(E277=0,0,A20stdlife+D277-Input!$X$7))</f>
        <v>0</v>
      </c>
      <c r="G277" s="285"/>
      <c r="H277" s="356"/>
      <c r="I277" s="287">
        <f t="shared" si="37"/>
        <v>3</v>
      </c>
      <c r="J277" s="284">
        <f ca="1">OFFSET('Tax value roll forward'!H$59,0,I277-1)-SUM('Tax value roll forward'!H343:OFFSET('Tax value roll forward'!H343,0,Input!$X$7-1))</f>
        <v>0</v>
      </c>
      <c r="K277" s="284">
        <f ca="1">IF(A20taxstdlife="N/A","n/a",IF(J277=0,0,A20taxstdlife+I277-Input!$X$7))</f>
        <v>0</v>
      </c>
      <c r="L277" s="286"/>
      <c r="M277" s="9"/>
      <c r="N277" s="9"/>
      <c r="O277" s="9"/>
      <c r="P277" s="9"/>
      <c r="Q277" s="9"/>
      <c r="R277" s="9"/>
      <c r="S277" s="271"/>
      <c r="T277" s="271"/>
      <c r="U277" s="271"/>
      <c r="V277" s="271"/>
      <c r="W277" s="271"/>
      <c r="X277" s="271"/>
      <c r="Y277" s="271"/>
      <c r="Z277" s="271"/>
    </row>
    <row r="278" spans="1:26" ht="14.45" hidden="1" customHeight="1" outlineLevel="1">
      <c r="A278" s="9"/>
      <c r="B278" s="283"/>
      <c r="C278" s="353"/>
      <c r="D278" s="287">
        <f t="shared" si="36"/>
        <v>4</v>
      </c>
      <c r="E278" s="284">
        <f ca="1">OFFSET('Actual RAB roll forward'!H$31,0,D278-1)-SUM('Actual RAB roll forward'!H296:OFFSET('Actual RAB roll forward'!H296,0,Input!$X$7-1))</f>
        <v>0</v>
      </c>
      <c r="F278" s="284">
        <f ca="1">IF(A20stdlife="N/A","n/a",IF(E278=0,0,A20stdlife+D278-Input!$X$7))</f>
        <v>0</v>
      </c>
      <c r="G278" s="285"/>
      <c r="H278" s="356"/>
      <c r="I278" s="287">
        <f t="shared" si="37"/>
        <v>4</v>
      </c>
      <c r="J278" s="284">
        <f ca="1">OFFSET('Tax value roll forward'!H$59,0,I278-1)-SUM('Tax value roll forward'!H344:OFFSET('Tax value roll forward'!H344,0,Input!$X$7-1))</f>
        <v>0</v>
      </c>
      <c r="K278" s="284">
        <f ca="1">IF(A20taxstdlife="N/A","n/a",IF(J278=0,0,A20taxstdlife+I278-Input!$X$7))</f>
        <v>0</v>
      </c>
      <c r="L278" s="286"/>
      <c r="M278" s="9"/>
      <c r="N278" s="9"/>
      <c r="O278" s="9"/>
      <c r="P278" s="9"/>
      <c r="Q278" s="9"/>
      <c r="R278" s="9"/>
      <c r="S278" s="271"/>
      <c r="T278" s="271"/>
      <c r="U278" s="271"/>
      <c r="V278" s="271"/>
      <c r="W278" s="271"/>
      <c r="X278" s="271"/>
      <c r="Y278" s="271"/>
      <c r="Z278" s="271"/>
    </row>
    <row r="279" spans="1:26" ht="14.45" hidden="1" customHeight="1" outlineLevel="1">
      <c r="A279" s="9"/>
      <c r="B279" s="283"/>
      <c r="C279" s="353"/>
      <c r="D279" s="287">
        <f t="shared" si="36"/>
        <v>5</v>
      </c>
      <c r="E279" s="284">
        <f ca="1">OFFSET('Actual RAB roll forward'!H$31,0,D279-1)-SUM('Actual RAB roll forward'!H297:OFFSET('Actual RAB roll forward'!H297,0,Input!$X$7-1))</f>
        <v>0</v>
      </c>
      <c r="F279" s="284">
        <f ca="1">IF(A20stdlife="N/A","n/a",IF(E279=0,0,A20stdlife+D279-Input!$X$7))</f>
        <v>0</v>
      </c>
      <c r="G279" s="285"/>
      <c r="H279" s="356"/>
      <c r="I279" s="287">
        <f t="shared" si="37"/>
        <v>5</v>
      </c>
      <c r="J279" s="284">
        <f ca="1">OFFSET('Tax value roll forward'!H$59,0,I279-1)-SUM('Tax value roll forward'!H345:OFFSET('Tax value roll forward'!H345,0,Input!$X$7-1))</f>
        <v>0</v>
      </c>
      <c r="K279" s="284">
        <f ca="1">IF(A20taxstdlife="N/A","n/a",IF(J279=0,0,A20taxstdlife+I279-Input!$X$7))</f>
        <v>0</v>
      </c>
      <c r="L279" s="286"/>
      <c r="M279" s="9"/>
      <c r="N279" s="9"/>
      <c r="O279" s="9"/>
      <c r="P279" s="9"/>
      <c r="Q279" s="9"/>
      <c r="R279" s="9"/>
      <c r="S279" s="271"/>
      <c r="T279" s="271"/>
      <c r="U279" s="271"/>
      <c r="V279" s="271"/>
      <c r="W279" s="271"/>
      <c r="X279" s="271"/>
      <c r="Y279" s="271"/>
      <c r="Z279" s="271"/>
    </row>
    <row r="280" spans="1:26" ht="14.45" hidden="1" customHeight="1" outlineLevel="1">
      <c r="A280" s="9"/>
      <c r="B280" s="283"/>
      <c r="C280" s="353"/>
      <c r="D280" s="287">
        <f t="shared" si="36"/>
        <v>6</v>
      </c>
      <c r="E280" s="284">
        <f ca="1">OFFSET('Actual RAB roll forward'!H$31,0,D280-1)-SUM('Actual RAB roll forward'!H298:OFFSET('Actual RAB roll forward'!H298,0,Input!$X$7-1))</f>
        <v>0</v>
      </c>
      <c r="F280" s="284">
        <f ca="1">IF(A20stdlife="N/A","n/a",IF(E280=0,0,A20stdlife+D280-Input!$X$7))</f>
        <v>0</v>
      </c>
      <c r="G280" s="285"/>
      <c r="H280" s="356"/>
      <c r="I280" s="287">
        <f t="shared" si="37"/>
        <v>6</v>
      </c>
      <c r="J280" s="284">
        <f ca="1">OFFSET('Tax value roll forward'!H$59,0,I280-1)-SUM('Tax value roll forward'!H346:OFFSET('Tax value roll forward'!H346,0,Input!$X$7-1))</f>
        <v>0</v>
      </c>
      <c r="K280" s="284">
        <f ca="1">IF(A20taxstdlife="N/A","n/a",IF(J280=0,0,A20taxstdlife+I280-Input!$X$7))</f>
        <v>0</v>
      </c>
      <c r="L280" s="286"/>
      <c r="M280" s="9"/>
      <c r="N280" s="9"/>
      <c r="O280" s="9"/>
      <c r="P280" s="9"/>
      <c r="Q280" s="9"/>
      <c r="R280" s="9"/>
      <c r="S280" s="271"/>
      <c r="T280" s="271"/>
      <c r="U280" s="271"/>
      <c r="V280" s="271"/>
      <c r="W280" s="271"/>
      <c r="X280" s="271"/>
      <c r="Y280" s="271"/>
      <c r="Z280" s="271"/>
    </row>
    <row r="281" spans="1:26" ht="14.45" hidden="1" customHeight="1" outlineLevel="1">
      <c r="A281" s="9"/>
      <c r="B281" s="283"/>
      <c r="C281" s="353"/>
      <c r="D281" s="287">
        <f t="shared" si="36"/>
        <v>7</v>
      </c>
      <c r="E281" s="284">
        <f ca="1">OFFSET('Actual RAB roll forward'!H$31,0,D281-1)-SUM('Actual RAB roll forward'!H299:OFFSET('Actual RAB roll forward'!H299,0,Input!$X$7-1))</f>
        <v>0</v>
      </c>
      <c r="F281" s="284">
        <f ca="1">IF(A20stdlife="N/A","n/a",IF(E281=0,0,A20stdlife+D281-Input!$X$7))</f>
        <v>0</v>
      </c>
      <c r="G281" s="285"/>
      <c r="H281" s="356"/>
      <c r="I281" s="287">
        <f t="shared" si="37"/>
        <v>7</v>
      </c>
      <c r="J281" s="284">
        <f ca="1">OFFSET('Tax value roll forward'!H$59,0,I281-1)-SUM('Tax value roll forward'!H347:OFFSET('Tax value roll forward'!H347,0,Input!$X$7-1))</f>
        <v>0</v>
      </c>
      <c r="K281" s="284">
        <f ca="1">IF(A20taxstdlife="N/A","n/a",IF(J281=0,0,A20taxstdlife+I281-Input!$X$7))</f>
        <v>0</v>
      </c>
      <c r="L281" s="286"/>
      <c r="M281" s="9"/>
      <c r="N281" s="9"/>
      <c r="O281" s="9"/>
      <c r="P281" s="9"/>
      <c r="Q281" s="9"/>
      <c r="R281" s="9"/>
      <c r="S281" s="271"/>
      <c r="T281" s="271"/>
      <c r="U281" s="271"/>
      <c r="V281" s="271"/>
      <c r="W281" s="271"/>
      <c r="X281" s="271"/>
      <c r="Y281" s="271"/>
      <c r="Z281" s="271"/>
    </row>
    <row r="282" spans="1:26" ht="14.45" hidden="1" customHeight="1" outlineLevel="1">
      <c r="A282" s="9"/>
      <c r="B282" s="283"/>
      <c r="C282" s="353"/>
      <c r="D282" s="287">
        <f t="shared" si="36"/>
        <v>8</v>
      </c>
      <c r="E282" s="284">
        <f ca="1">OFFSET('Actual RAB roll forward'!H$31,0,D282-1)-SUM('Actual RAB roll forward'!H300:OFFSET('Actual RAB roll forward'!H300,0,Input!$X$7-1))</f>
        <v>0</v>
      </c>
      <c r="F282" s="284">
        <f ca="1">IF(A20stdlife="N/A","n/a",IF(E282=0,0,A20stdlife+D282-Input!$X$7))</f>
        <v>0</v>
      </c>
      <c r="G282" s="285"/>
      <c r="H282" s="356"/>
      <c r="I282" s="287">
        <f t="shared" si="37"/>
        <v>8</v>
      </c>
      <c r="J282" s="284">
        <f ca="1">OFFSET('Tax value roll forward'!H$59,0,I282-1)-SUM('Tax value roll forward'!H348:OFFSET('Tax value roll forward'!H348,0,Input!$X$7-1))</f>
        <v>0</v>
      </c>
      <c r="K282" s="284">
        <f ca="1">IF(A20taxstdlife="N/A","n/a",IF(J282=0,0,A20taxstdlife+I282-Input!$X$7))</f>
        <v>0</v>
      </c>
      <c r="L282" s="286"/>
      <c r="M282" s="9"/>
      <c r="N282" s="9"/>
      <c r="O282" s="9"/>
      <c r="P282" s="9"/>
      <c r="Q282" s="9"/>
      <c r="R282" s="9"/>
      <c r="S282" s="271"/>
      <c r="T282" s="271"/>
      <c r="U282" s="271"/>
      <c r="V282" s="271"/>
      <c r="W282" s="271"/>
      <c r="X282" s="271"/>
      <c r="Y282" s="271"/>
      <c r="Z282" s="271"/>
    </row>
    <row r="283" spans="1:26" ht="14.45" hidden="1" customHeight="1" outlineLevel="1">
      <c r="A283" s="9"/>
      <c r="B283" s="283"/>
      <c r="C283" s="353"/>
      <c r="D283" s="287">
        <f t="shared" si="36"/>
        <v>9</v>
      </c>
      <c r="E283" s="284">
        <f ca="1">OFFSET('Actual RAB roll forward'!H$31,0,D283-1)-SUM('Actual RAB roll forward'!H301:OFFSET('Actual RAB roll forward'!H301,0,Input!$X$7-1))</f>
        <v>0</v>
      </c>
      <c r="F283" s="284">
        <f ca="1">IF(A20stdlife="N/A","n/a",IF(E283=0,0,A20stdlife+D283-Input!$X$7))</f>
        <v>0</v>
      </c>
      <c r="G283" s="285"/>
      <c r="H283" s="356"/>
      <c r="I283" s="287">
        <f t="shared" si="37"/>
        <v>9</v>
      </c>
      <c r="J283" s="284">
        <f ca="1">OFFSET('Tax value roll forward'!H$59,0,I283-1)-SUM('Tax value roll forward'!H349:OFFSET('Tax value roll forward'!H349,0,Input!$X$7-1))</f>
        <v>0</v>
      </c>
      <c r="K283" s="284">
        <f ca="1">IF(A20taxstdlife="N/A","n/a",IF(J283=0,0,A20taxstdlife+I283-Input!$X$7))</f>
        <v>0</v>
      </c>
      <c r="L283" s="286"/>
      <c r="M283" s="9"/>
      <c r="N283" s="9"/>
      <c r="O283" s="9"/>
      <c r="P283" s="9"/>
      <c r="Q283" s="9"/>
      <c r="R283" s="9"/>
      <c r="S283" s="271"/>
      <c r="T283" s="271"/>
      <c r="U283" s="271"/>
      <c r="V283" s="271"/>
      <c r="W283" s="271"/>
      <c r="X283" s="271"/>
      <c r="Y283" s="271"/>
      <c r="Z283" s="271"/>
    </row>
    <row r="284" spans="1:26" ht="14.45" hidden="1" customHeight="1" outlineLevel="1">
      <c r="A284" s="9"/>
      <c r="B284" s="283"/>
      <c r="C284" s="354"/>
      <c r="D284" s="89">
        <f t="shared" si="36"/>
        <v>10</v>
      </c>
      <c r="E284" s="284">
        <f ca="1">OFFSET('Actual RAB roll forward'!H$31,0,D284-1)-SUM('Actual RAB roll forward'!H302:OFFSET('Actual RAB roll forward'!H302,0,Input!$X$7-1))</f>
        <v>0</v>
      </c>
      <c r="F284" s="284">
        <f ca="1">IF(A20stdlife="N/A","n/a",IF(E284=0,0,A20stdlife+D284-Input!$X$7))</f>
        <v>0</v>
      </c>
      <c r="G284" s="285"/>
      <c r="H284" s="357"/>
      <c r="I284" s="89">
        <f t="shared" si="37"/>
        <v>10</v>
      </c>
      <c r="J284" s="284">
        <f ca="1">OFFSET('Tax value roll forward'!H$59,0,I284-1)-SUM('Tax value roll forward'!H350:OFFSET('Tax value roll forward'!H350,0,Input!$X$7-1))</f>
        <v>0</v>
      </c>
      <c r="K284" s="284">
        <f ca="1">IF(A20taxstdlife="N/A","n/a",IF(J284=0,0,A20taxstdlife+I284-Input!$X$7))</f>
        <v>0</v>
      </c>
      <c r="L284" s="286"/>
      <c r="M284" s="9"/>
      <c r="N284" s="9"/>
      <c r="O284" s="9"/>
      <c r="P284" s="9"/>
      <c r="Q284" s="9"/>
      <c r="R284" s="9"/>
      <c r="S284" s="271"/>
      <c r="T284" s="271"/>
      <c r="U284" s="271"/>
      <c r="V284" s="271"/>
      <c r="W284" s="271"/>
      <c r="X284" s="271"/>
      <c r="Y284" s="271"/>
      <c r="Z284" s="271"/>
    </row>
    <row r="285" spans="1:26" collapsed="1">
      <c r="A285" s="9"/>
      <c r="B285" s="283"/>
      <c r="C285" s="286" t="str">
        <f>B273</f>
        <v>Communications</v>
      </c>
      <c r="D285" s="9"/>
      <c r="E285" s="284">
        <f ca="1">SUM(E274:E284)</f>
        <v>1.9527667789780185</v>
      </c>
      <c r="F285" s="284">
        <f ca="1">IF(A20remlife="N/A","n/a",IF(E285=0,0,SUMPRODUCT(E274:E284,F274:F284)/E285))</f>
        <v>1.5989055631524938</v>
      </c>
      <c r="G285" s="285"/>
      <c r="H285" s="45"/>
      <c r="I285" s="284"/>
      <c r="J285" s="284">
        <f ca="1">SUM(J274:J284)</f>
        <v>1.6312760997749436</v>
      </c>
      <c r="K285" s="284">
        <f ca="1">IF(A20taxstdlife="N/A","n/a",IF(J285=0,0,SUMPRODUCT(J274:J284,K274:K284)/J285))</f>
        <v>2.1479217603911991</v>
      </c>
      <c r="L285" s="286"/>
      <c r="M285" s="9"/>
      <c r="N285" s="9"/>
      <c r="O285" s="9"/>
      <c r="P285" s="9"/>
      <c r="Q285" s="9"/>
      <c r="R285" s="9"/>
      <c r="S285" s="271"/>
      <c r="T285" s="271"/>
      <c r="U285" s="271"/>
      <c r="V285" s="271"/>
      <c r="W285" s="271"/>
      <c r="X285" s="271"/>
      <c r="Y285" s="271"/>
      <c r="Z285" s="271"/>
    </row>
    <row r="286" spans="1:26" hidden="1" outlineLevel="1">
      <c r="A286" s="9"/>
      <c r="B286" s="281"/>
      <c r="C286" s="298"/>
      <c r="D286" s="298"/>
      <c r="E286" s="296"/>
      <c r="F286" s="296"/>
      <c r="G286" s="285"/>
      <c r="H286" s="284"/>
      <c r="I286" s="284"/>
      <c r="J286" s="293"/>
      <c r="K286" s="289"/>
      <c r="L286" s="286"/>
      <c r="M286" s="9"/>
      <c r="N286" s="9"/>
      <c r="O286" s="9"/>
      <c r="P286" s="9"/>
      <c r="Q286" s="9"/>
      <c r="R286" s="9"/>
      <c r="S286" s="271"/>
      <c r="T286" s="271"/>
      <c r="U286" s="271"/>
      <c r="V286" s="271"/>
      <c r="W286" s="271"/>
      <c r="X286" s="271"/>
      <c r="Y286" s="271"/>
      <c r="Z286" s="271"/>
    </row>
    <row r="287" spans="1:26" hidden="1" outlineLevel="1">
      <c r="A287" s="9"/>
      <c r="B287" s="281" t="str">
        <f>Asset21</f>
        <v>IT Systems</v>
      </c>
      <c r="C287" s="298"/>
      <c r="D287" s="298"/>
      <c r="E287" s="296"/>
      <c r="F287" s="296"/>
      <c r="G287" s="285"/>
      <c r="H287" s="284"/>
      <c r="I287" s="284"/>
      <c r="J287" s="293"/>
      <c r="K287" s="289"/>
      <c r="L287" s="286"/>
      <c r="M287" s="9"/>
      <c r="N287" s="9"/>
      <c r="O287" s="9"/>
      <c r="P287" s="9"/>
      <c r="Q287" s="9"/>
      <c r="R287" s="9"/>
      <c r="S287" s="271"/>
      <c r="T287" s="271"/>
      <c r="U287" s="271"/>
      <c r="V287" s="271"/>
      <c r="W287" s="271"/>
      <c r="X287" s="271"/>
      <c r="Y287" s="271"/>
      <c r="Z287" s="271"/>
    </row>
    <row r="288" spans="1:26" ht="12.75" hidden="1" customHeight="1" outlineLevel="1">
      <c r="A288" s="9"/>
      <c r="B288" s="283"/>
      <c r="C288" s="358" t="str">
        <f>C274</f>
        <v>Opening RAB</v>
      </c>
      <c r="D288" s="359"/>
      <c r="E288" s="284">
        <f ca="1">A21value-SUM('Actual RAB roll forward'!H304:OFFSET('Actual RAB roll forward'!H304,0,Input!$X$7-1))</f>
        <v>0</v>
      </c>
      <c r="F288" s="284">
        <f>IF(A21remlife="N/A","n/a",A21remlife-Input!$X$7)</f>
        <v>-3.9997031000938499</v>
      </c>
      <c r="G288" s="285"/>
      <c r="H288" s="360" t="str">
        <f>H274</f>
        <v>Initial Asset Base</v>
      </c>
      <c r="I288" s="361"/>
      <c r="J288" s="284">
        <f ca="1">(A21taxvalue+'Tax value roll forward'!G60)-SUM('Tax value roll forward'!G352:OFFSET('Tax value roll forward'!G352,2,Input!$X$7))</f>
        <v>0</v>
      </c>
      <c r="K288" s="284">
        <f>IF(A21taxremlife="N/A","n/a",A21taxremlife-Input!$X$7-1)</f>
        <v>-2.7228127123519239</v>
      </c>
      <c r="L288" s="286"/>
      <c r="M288" s="9"/>
      <c r="N288" s="9"/>
      <c r="O288" s="9"/>
      <c r="P288" s="9"/>
      <c r="Q288" s="9"/>
      <c r="R288" s="9"/>
      <c r="S288" s="271"/>
      <c r="T288" s="271"/>
      <c r="U288" s="271"/>
      <c r="V288" s="271"/>
      <c r="W288" s="271"/>
      <c r="X288" s="271"/>
      <c r="Y288" s="271"/>
      <c r="Z288" s="271"/>
    </row>
    <row r="289" spans="1:26" ht="14.45" hidden="1" customHeight="1" outlineLevel="1">
      <c r="A289" s="9"/>
      <c r="B289" s="283"/>
      <c r="C289" s="352" t="str">
        <f>C275</f>
        <v>Capex in year</v>
      </c>
      <c r="D289" s="287">
        <f>D275</f>
        <v>1</v>
      </c>
      <c r="E289" s="284">
        <f ca="1">OFFSET('Actual RAB roll forward'!H$32,0,D289-1)-SUM('Actual RAB roll forward'!H306:OFFSET('Actual RAB roll forward'!H306,0,Input!$X$7-1))</f>
        <v>0</v>
      </c>
      <c r="F289" s="284">
        <f ca="1">IF(A21stdlife="N/A","n/a",IF(E289=0,0,A21stdlife+D289-Input!$X$7))</f>
        <v>0</v>
      </c>
      <c r="G289" s="285"/>
      <c r="H289" s="355" t="str">
        <f>H275</f>
        <v>Capex in year</v>
      </c>
      <c r="I289" s="287">
        <f>I275</f>
        <v>1</v>
      </c>
      <c r="J289" s="284">
        <f ca="1">OFFSET('Tax value roll forward'!H$60,0,I289-1)-SUM('Tax value roll forward'!H355:OFFSET('Tax value roll forward'!H355,0,Input!$X$7-1))</f>
        <v>0</v>
      </c>
      <c r="K289" s="284">
        <f ca="1">IF(A21taxstdlife="N/A","n/a",IF(J289=0,0,A21taxstdlife+I289-Input!$X$7))</f>
        <v>0</v>
      </c>
      <c r="L289" s="286"/>
      <c r="M289" s="9"/>
      <c r="N289" s="9"/>
      <c r="O289" s="9"/>
      <c r="P289" s="9"/>
      <c r="Q289" s="9"/>
      <c r="R289" s="9"/>
      <c r="S289" s="271"/>
      <c r="T289" s="271"/>
      <c r="U289" s="271"/>
      <c r="V289" s="271"/>
      <c r="W289" s="271"/>
      <c r="X289" s="271"/>
      <c r="Y289" s="271"/>
      <c r="Z289" s="271"/>
    </row>
    <row r="290" spans="1:26" ht="14.45" hidden="1" customHeight="1" outlineLevel="1">
      <c r="A290" s="9"/>
      <c r="B290" s="283"/>
      <c r="C290" s="353"/>
      <c r="D290" s="287">
        <f t="shared" ref="D290:D298" si="38">D276</f>
        <v>2</v>
      </c>
      <c r="E290" s="284">
        <f ca="1">OFFSET('Actual RAB roll forward'!H$32,0,D290-1)-SUM('Actual RAB roll forward'!H307:OFFSET('Actual RAB roll forward'!H307,0,Input!$X$7-1))</f>
        <v>0</v>
      </c>
      <c r="F290" s="284">
        <f ca="1">IF(A21stdlife="N/A","n/a",IF(E290=0,0,A21stdlife+D290-Input!$X$7))</f>
        <v>0</v>
      </c>
      <c r="G290" s="285"/>
      <c r="H290" s="356"/>
      <c r="I290" s="287">
        <f t="shared" ref="I290:I298" si="39">I276</f>
        <v>2</v>
      </c>
      <c r="J290" s="284">
        <f ca="1">OFFSET('Tax value roll forward'!H$60,0,I290-1)-SUM('Tax value roll forward'!H356:OFFSET('Tax value roll forward'!H356,0,Input!$X$7-1))</f>
        <v>0</v>
      </c>
      <c r="K290" s="284">
        <f ca="1">IF(A21taxstdlife="N/A","n/a",IF(J290=0,0,A21taxstdlife+I290-Input!$X$7))</f>
        <v>0</v>
      </c>
      <c r="L290" s="286"/>
      <c r="M290" s="9"/>
      <c r="N290" s="9"/>
      <c r="O290" s="9"/>
      <c r="P290" s="9"/>
      <c r="Q290" s="9"/>
      <c r="R290" s="9"/>
      <c r="S290" s="271"/>
      <c r="T290" s="271"/>
      <c r="U290" s="271"/>
      <c r="V290" s="271"/>
      <c r="W290" s="271"/>
      <c r="X290" s="271"/>
      <c r="Y290" s="271"/>
      <c r="Z290" s="271"/>
    </row>
    <row r="291" spans="1:26" ht="14.45" hidden="1" customHeight="1" outlineLevel="1">
      <c r="A291" s="9"/>
      <c r="B291" s="283"/>
      <c r="C291" s="353"/>
      <c r="D291" s="287">
        <f t="shared" si="38"/>
        <v>3</v>
      </c>
      <c r="E291" s="284">
        <f ca="1">OFFSET('Actual RAB roll forward'!H$32,0,D291-1)-SUM('Actual RAB roll forward'!H308:OFFSET('Actual RAB roll forward'!H308,0,Input!$X$7-1))</f>
        <v>0</v>
      </c>
      <c r="F291" s="284">
        <f ca="1">IF(A21stdlife="N/A","n/a",IF(E291=0,0,A21stdlife+D291-Input!$X$7))</f>
        <v>0</v>
      </c>
      <c r="G291" s="285"/>
      <c r="H291" s="356"/>
      <c r="I291" s="287">
        <f t="shared" si="39"/>
        <v>3</v>
      </c>
      <c r="J291" s="284">
        <f ca="1">OFFSET('Tax value roll forward'!H$60,0,I291-1)-SUM('Tax value roll forward'!H357:OFFSET('Tax value roll forward'!H357,0,Input!$X$7-1))</f>
        <v>0</v>
      </c>
      <c r="K291" s="284">
        <f ca="1">IF(A21taxstdlife="N/A","n/a",IF(J291=0,0,A21taxstdlife+I291-Input!$X$7))</f>
        <v>0</v>
      </c>
      <c r="L291" s="286"/>
      <c r="M291" s="9"/>
      <c r="N291" s="9"/>
      <c r="O291" s="9"/>
      <c r="P291" s="9"/>
      <c r="Q291" s="9"/>
      <c r="R291" s="9"/>
      <c r="S291" s="271"/>
      <c r="T291" s="271"/>
      <c r="U291" s="271"/>
      <c r="V291" s="271"/>
      <c r="W291" s="271"/>
      <c r="X291" s="271"/>
      <c r="Y291" s="271"/>
      <c r="Z291" s="271"/>
    </row>
    <row r="292" spans="1:26" ht="14.45" hidden="1" customHeight="1" outlineLevel="1">
      <c r="A292" s="9"/>
      <c r="B292" s="283"/>
      <c r="C292" s="353"/>
      <c r="D292" s="287">
        <f t="shared" si="38"/>
        <v>4</v>
      </c>
      <c r="E292" s="284">
        <f ca="1">OFFSET('Actual RAB roll forward'!H$32,0,D292-1)-SUM('Actual RAB roll forward'!H309:OFFSET('Actual RAB roll forward'!H309,0,Input!$X$7-1))</f>
        <v>0</v>
      </c>
      <c r="F292" s="284">
        <f ca="1">IF(A21stdlife="N/A","n/a",IF(E292=0,0,A21stdlife+D292-Input!$X$7))</f>
        <v>0</v>
      </c>
      <c r="G292" s="285"/>
      <c r="H292" s="356"/>
      <c r="I292" s="287">
        <f t="shared" si="39"/>
        <v>4</v>
      </c>
      <c r="J292" s="284">
        <f ca="1">OFFSET('Tax value roll forward'!H$60,0,I292-1)-SUM('Tax value roll forward'!H358:OFFSET('Tax value roll forward'!H358,0,Input!$X$7-1))</f>
        <v>0</v>
      </c>
      <c r="K292" s="284">
        <f ca="1">IF(A21taxstdlife="N/A","n/a",IF(J292=0,0,A21taxstdlife+I292-Input!$X$7))</f>
        <v>0</v>
      </c>
      <c r="L292" s="286"/>
      <c r="M292" s="9"/>
      <c r="N292" s="9"/>
      <c r="O292" s="9"/>
      <c r="P292" s="9"/>
      <c r="Q292" s="9"/>
      <c r="R292" s="9"/>
      <c r="S292" s="271"/>
      <c r="T292" s="271"/>
      <c r="U292" s="271"/>
      <c r="V292" s="271"/>
      <c r="W292" s="271"/>
      <c r="X292" s="271"/>
      <c r="Y292" s="271"/>
      <c r="Z292" s="271"/>
    </row>
    <row r="293" spans="1:26" ht="14.45" hidden="1" customHeight="1" outlineLevel="1">
      <c r="A293" s="9"/>
      <c r="B293" s="283"/>
      <c r="C293" s="353"/>
      <c r="D293" s="287">
        <f t="shared" si="38"/>
        <v>5</v>
      </c>
      <c r="E293" s="284">
        <f ca="1">OFFSET('Actual RAB roll forward'!H$32,0,D293-1)-SUM('Actual RAB roll forward'!H310:OFFSET('Actual RAB roll forward'!H310,0,Input!$X$7-1))</f>
        <v>0</v>
      </c>
      <c r="F293" s="284">
        <f ca="1">IF(A21stdlife="N/A","n/a",IF(E293=0,0,A21stdlife+D293-Input!$X$7))</f>
        <v>0</v>
      </c>
      <c r="G293" s="285"/>
      <c r="H293" s="356"/>
      <c r="I293" s="287">
        <f t="shared" si="39"/>
        <v>5</v>
      </c>
      <c r="J293" s="284">
        <f ca="1">OFFSET('Tax value roll forward'!H$60,0,I293-1)-SUM('Tax value roll forward'!H359:OFFSET('Tax value roll forward'!H359,0,Input!$X$7-1))</f>
        <v>0</v>
      </c>
      <c r="K293" s="284">
        <f ca="1">IF(A21taxstdlife="N/A","n/a",IF(J293=0,0,A21taxstdlife+I293-Input!$X$7))</f>
        <v>0</v>
      </c>
      <c r="L293" s="286"/>
      <c r="M293" s="9"/>
      <c r="N293" s="9"/>
      <c r="O293" s="9"/>
      <c r="P293" s="9"/>
      <c r="Q293" s="9"/>
      <c r="R293" s="9"/>
      <c r="S293" s="271"/>
      <c r="T293" s="271"/>
      <c r="U293" s="271"/>
      <c r="V293" s="271"/>
      <c r="W293" s="271"/>
      <c r="X293" s="271"/>
      <c r="Y293" s="271"/>
      <c r="Z293" s="271"/>
    </row>
    <row r="294" spans="1:26" ht="14.45" hidden="1" customHeight="1" outlineLevel="1">
      <c r="A294" s="9"/>
      <c r="B294" s="283"/>
      <c r="C294" s="353"/>
      <c r="D294" s="287">
        <f t="shared" si="38"/>
        <v>6</v>
      </c>
      <c r="E294" s="284">
        <f ca="1">OFFSET('Actual RAB roll forward'!H$32,0,D294-1)-SUM('Actual RAB roll forward'!H311:OFFSET('Actual RAB roll forward'!H311,0,Input!$X$7-1))</f>
        <v>0</v>
      </c>
      <c r="F294" s="284">
        <f ca="1">IF(A21stdlife="N/A","n/a",IF(E294=0,0,A21stdlife+D294-Input!$X$7))</f>
        <v>0</v>
      </c>
      <c r="G294" s="285"/>
      <c r="H294" s="356"/>
      <c r="I294" s="287">
        <f t="shared" si="39"/>
        <v>6</v>
      </c>
      <c r="J294" s="284">
        <f ca="1">OFFSET('Tax value roll forward'!H$60,0,I294-1)-SUM('Tax value roll forward'!H360:OFFSET('Tax value roll forward'!H360,0,Input!$X$7-1))</f>
        <v>0</v>
      </c>
      <c r="K294" s="284">
        <f ca="1">IF(A21taxstdlife="N/A","n/a",IF(J294=0,0,A21taxstdlife+I294-Input!$X$7))</f>
        <v>0</v>
      </c>
      <c r="L294" s="286"/>
      <c r="M294" s="9"/>
      <c r="N294" s="9"/>
      <c r="O294" s="9"/>
      <c r="P294" s="9"/>
      <c r="Q294" s="9"/>
      <c r="R294" s="9"/>
      <c r="S294" s="271"/>
      <c r="T294" s="271"/>
      <c r="U294" s="271"/>
      <c r="V294" s="271"/>
      <c r="W294" s="271"/>
      <c r="X294" s="271"/>
      <c r="Y294" s="271"/>
      <c r="Z294" s="271"/>
    </row>
    <row r="295" spans="1:26" ht="14.45" hidden="1" customHeight="1" outlineLevel="1">
      <c r="A295" s="9"/>
      <c r="B295" s="283"/>
      <c r="C295" s="353"/>
      <c r="D295" s="287">
        <f t="shared" si="38"/>
        <v>7</v>
      </c>
      <c r="E295" s="284">
        <f ca="1">OFFSET('Actual RAB roll forward'!H$32,0,D295-1)-SUM('Actual RAB roll forward'!H312:OFFSET('Actual RAB roll forward'!H312,0,Input!$X$7-1))</f>
        <v>0</v>
      </c>
      <c r="F295" s="284">
        <f ca="1">IF(A21stdlife="N/A","n/a",IF(E295=0,0,A21stdlife+D295-Input!$X$7))</f>
        <v>0</v>
      </c>
      <c r="G295" s="285"/>
      <c r="H295" s="356"/>
      <c r="I295" s="287">
        <f t="shared" si="39"/>
        <v>7</v>
      </c>
      <c r="J295" s="284">
        <f ca="1">OFFSET('Tax value roll forward'!H$60,0,I295-1)-SUM('Tax value roll forward'!H361:OFFSET('Tax value roll forward'!H361,0,Input!$X$7-1))</f>
        <v>0</v>
      </c>
      <c r="K295" s="284">
        <f ca="1">IF(A21taxstdlife="N/A","n/a",IF(J295=0,0,A21taxstdlife+I295-Input!$X$7))</f>
        <v>0</v>
      </c>
      <c r="L295" s="286"/>
      <c r="M295" s="9"/>
      <c r="N295" s="9"/>
      <c r="O295" s="9"/>
      <c r="P295" s="9"/>
      <c r="Q295" s="9"/>
      <c r="R295" s="9"/>
      <c r="S295" s="271"/>
      <c r="T295" s="271"/>
      <c r="U295" s="271"/>
      <c r="V295" s="271"/>
      <c r="W295" s="271"/>
      <c r="X295" s="271"/>
      <c r="Y295" s="271"/>
      <c r="Z295" s="271"/>
    </row>
    <row r="296" spans="1:26" ht="14.45" hidden="1" customHeight="1" outlineLevel="1">
      <c r="A296" s="9"/>
      <c r="B296" s="283"/>
      <c r="C296" s="353"/>
      <c r="D296" s="287">
        <f t="shared" si="38"/>
        <v>8</v>
      </c>
      <c r="E296" s="284">
        <f ca="1">OFFSET('Actual RAB roll forward'!H$32,0,D296-1)-SUM('Actual RAB roll forward'!H313:OFFSET('Actual RAB roll forward'!H313,0,Input!$X$7-1))</f>
        <v>0</v>
      </c>
      <c r="F296" s="284">
        <f ca="1">IF(A21stdlife="N/A","n/a",IF(E296=0,0,A21stdlife+D296-Input!$X$7))</f>
        <v>0</v>
      </c>
      <c r="G296" s="285"/>
      <c r="H296" s="356"/>
      <c r="I296" s="287">
        <f t="shared" si="39"/>
        <v>8</v>
      </c>
      <c r="J296" s="284">
        <f ca="1">OFFSET('Tax value roll forward'!H$60,0,I296-1)-SUM('Tax value roll forward'!H362:OFFSET('Tax value roll forward'!H362,0,Input!$X$7-1))</f>
        <v>0</v>
      </c>
      <c r="K296" s="284">
        <f ca="1">IF(A21taxstdlife="N/A","n/a",IF(J296=0,0,A21taxstdlife+I296-Input!$X$7))</f>
        <v>0</v>
      </c>
      <c r="L296" s="286"/>
      <c r="M296" s="9"/>
      <c r="N296" s="9"/>
      <c r="O296" s="9"/>
      <c r="P296" s="9"/>
      <c r="Q296" s="9"/>
      <c r="R296" s="9"/>
      <c r="S296" s="271"/>
      <c r="T296" s="271"/>
      <c r="U296" s="271"/>
      <c r="V296" s="271"/>
      <c r="W296" s="271"/>
      <c r="X296" s="271"/>
      <c r="Y296" s="271"/>
      <c r="Z296" s="271"/>
    </row>
    <row r="297" spans="1:26" ht="14.45" hidden="1" customHeight="1" outlineLevel="1">
      <c r="A297" s="9"/>
      <c r="B297" s="283"/>
      <c r="C297" s="353"/>
      <c r="D297" s="287">
        <f t="shared" si="38"/>
        <v>9</v>
      </c>
      <c r="E297" s="284">
        <f ca="1">OFFSET('Actual RAB roll forward'!H$32,0,D297-1)-SUM('Actual RAB roll forward'!H314:OFFSET('Actual RAB roll forward'!H314,0,Input!$X$7-1))</f>
        <v>0</v>
      </c>
      <c r="F297" s="284">
        <f ca="1">IF(A21stdlife="N/A","n/a",IF(E297=0,0,A21stdlife+D297-Input!$X$7))</f>
        <v>0</v>
      </c>
      <c r="G297" s="285"/>
      <c r="H297" s="356"/>
      <c r="I297" s="287">
        <f t="shared" si="39"/>
        <v>9</v>
      </c>
      <c r="J297" s="284">
        <f ca="1">OFFSET('Tax value roll forward'!H$60,0,I297-1)-SUM('Tax value roll forward'!H363:OFFSET('Tax value roll forward'!H363,0,Input!$X$7-1))</f>
        <v>0</v>
      </c>
      <c r="K297" s="284">
        <f ca="1">IF(A21taxstdlife="N/A","n/a",IF(J297=0,0,A21taxstdlife+I297-Input!$X$7))</f>
        <v>0</v>
      </c>
      <c r="L297" s="286"/>
      <c r="M297" s="9"/>
      <c r="N297" s="9"/>
      <c r="O297" s="9"/>
      <c r="P297" s="9"/>
      <c r="Q297" s="9"/>
      <c r="R297" s="9"/>
      <c r="S297" s="271"/>
      <c r="T297" s="271"/>
      <c r="U297" s="271"/>
      <c r="V297" s="271"/>
      <c r="W297" s="271"/>
      <c r="X297" s="271"/>
      <c r="Y297" s="271"/>
      <c r="Z297" s="271"/>
    </row>
    <row r="298" spans="1:26" ht="14.45" hidden="1" customHeight="1" outlineLevel="1">
      <c r="A298" s="9"/>
      <c r="B298" s="283"/>
      <c r="C298" s="354"/>
      <c r="D298" s="89">
        <f t="shared" si="38"/>
        <v>10</v>
      </c>
      <c r="E298" s="284">
        <f ca="1">OFFSET('Actual RAB roll forward'!H$32,0,D298-1)-SUM('Actual RAB roll forward'!H315:OFFSET('Actual RAB roll forward'!H315,0,Input!$X$7-1))</f>
        <v>0</v>
      </c>
      <c r="F298" s="284">
        <f ca="1">IF(A21stdlife="N/A","n/a",IF(E298=0,0,A21stdlife+D298-Input!$X$7))</f>
        <v>0</v>
      </c>
      <c r="G298" s="285"/>
      <c r="H298" s="357"/>
      <c r="I298" s="89">
        <f t="shared" si="39"/>
        <v>10</v>
      </c>
      <c r="J298" s="284">
        <f ca="1">OFFSET('Tax value roll forward'!H$60,0,I298-1)-SUM('Tax value roll forward'!H364:OFFSET('Tax value roll forward'!H364,0,Input!$X$7-1))</f>
        <v>0</v>
      </c>
      <c r="K298" s="284">
        <f ca="1">IF(A21taxstdlife="N/A","n/a",IF(J298=0,0,A21taxstdlife+I298-Input!$X$7))</f>
        <v>0</v>
      </c>
      <c r="L298" s="286"/>
      <c r="M298" s="9"/>
      <c r="N298" s="9"/>
      <c r="O298" s="9"/>
      <c r="P298" s="9"/>
      <c r="Q298" s="9"/>
      <c r="R298" s="9"/>
      <c r="S298" s="271"/>
      <c r="T298" s="271"/>
      <c r="U298" s="271"/>
      <c r="V298" s="271"/>
      <c r="W298" s="271"/>
      <c r="X298" s="271"/>
      <c r="Y298" s="271"/>
      <c r="Z298" s="271"/>
    </row>
    <row r="299" spans="1:26" collapsed="1">
      <c r="A299" s="9"/>
      <c r="B299" s="283"/>
      <c r="C299" s="286" t="str">
        <f>B287</f>
        <v>IT Systems</v>
      </c>
      <c r="D299" s="9"/>
      <c r="E299" s="284">
        <f ca="1">SUM(E288:E298)</f>
        <v>0</v>
      </c>
      <c r="F299" s="284">
        <f ca="1">IF(A21remlife="N/A","n/a",IF(E299=0,0,SUMPRODUCT(E288:E298,F288:F298)/E299))</f>
        <v>0</v>
      </c>
      <c r="G299" s="285"/>
      <c r="H299" s="45"/>
      <c r="I299" s="284"/>
      <c r="J299" s="284">
        <f ca="1">SUM(J288:J298)</f>
        <v>0</v>
      </c>
      <c r="K299" s="284">
        <f ca="1">IF(A21taxstdlife="N/A","n/a",IF(J299=0,0,SUMPRODUCT(J288:J298,K288:K298)/J299))</f>
        <v>0</v>
      </c>
      <c r="L299" s="286"/>
      <c r="M299" s="9"/>
      <c r="N299" s="9"/>
      <c r="O299" s="9"/>
      <c r="P299" s="9"/>
      <c r="Q299" s="9"/>
      <c r="R299" s="9"/>
      <c r="S299" s="271"/>
      <c r="T299" s="271"/>
      <c r="U299" s="271"/>
      <c r="V299" s="271"/>
      <c r="W299" s="271"/>
      <c r="X299" s="271"/>
      <c r="Y299" s="271"/>
      <c r="Z299" s="271"/>
    </row>
    <row r="300" spans="1:26" hidden="1" outlineLevel="1">
      <c r="A300" s="9"/>
      <c r="B300" s="281"/>
      <c r="C300" s="298"/>
      <c r="D300" s="298"/>
      <c r="E300" s="296"/>
      <c r="F300" s="296"/>
      <c r="G300" s="285"/>
      <c r="H300" s="284"/>
      <c r="I300" s="284"/>
      <c r="J300" s="293"/>
      <c r="K300" s="289"/>
      <c r="L300" s="286"/>
      <c r="M300" s="9"/>
      <c r="N300" s="9"/>
      <c r="O300" s="9"/>
      <c r="P300" s="9"/>
      <c r="Q300" s="9"/>
      <c r="R300" s="9"/>
      <c r="S300" s="271"/>
      <c r="T300" s="271"/>
      <c r="U300" s="271"/>
      <c r="V300" s="271"/>
      <c r="W300" s="271"/>
      <c r="X300" s="271"/>
      <c r="Y300" s="271"/>
      <c r="Z300" s="271"/>
    </row>
    <row r="301" spans="1:26" hidden="1" outlineLevel="1">
      <c r="A301" s="9"/>
      <c r="B301" s="281" t="str">
        <f>Asset22</f>
        <v>Office Equipment &amp; Furniture</v>
      </c>
      <c r="C301" s="298"/>
      <c r="D301" s="298"/>
      <c r="E301" s="296"/>
      <c r="F301" s="296"/>
      <c r="G301" s="285"/>
      <c r="H301" s="284"/>
      <c r="I301" s="284"/>
      <c r="J301" s="293"/>
      <c r="K301" s="289"/>
      <c r="L301" s="286"/>
      <c r="M301" s="9"/>
      <c r="N301" s="9"/>
      <c r="O301" s="9"/>
      <c r="P301" s="9"/>
      <c r="Q301" s="9"/>
      <c r="R301" s="9"/>
      <c r="S301" s="271"/>
      <c r="T301" s="271"/>
      <c r="U301" s="271"/>
      <c r="V301" s="271"/>
      <c r="W301" s="271"/>
      <c r="X301" s="271"/>
      <c r="Y301" s="271"/>
      <c r="Z301" s="271"/>
    </row>
    <row r="302" spans="1:26" ht="12.75" hidden="1" customHeight="1" outlineLevel="1">
      <c r="A302" s="9"/>
      <c r="B302" s="283"/>
      <c r="C302" s="358" t="str">
        <f>C288</f>
        <v>Opening RAB</v>
      </c>
      <c r="D302" s="359"/>
      <c r="E302" s="284">
        <f ca="1">A22value-SUM('Actual RAB roll forward'!H317:OFFSET('Actual RAB roll forward'!H317,0,Input!$X$7-1))</f>
        <v>1.0167587936368783</v>
      </c>
      <c r="F302" s="284">
        <f>IF(A22remlife="N/A","n/a",A22remlife-Input!$X$7)</f>
        <v>0.23426243164590144</v>
      </c>
      <c r="G302" s="285"/>
      <c r="H302" s="360" t="str">
        <f>H288</f>
        <v>Initial Asset Base</v>
      </c>
      <c r="I302" s="361"/>
      <c r="J302" s="284">
        <f ca="1">(A22taxvalue+'Tax value roll forward'!G61)-SUM('Tax value roll forward'!G366:OFFSET('Tax value roll forward'!G366,2,Input!$X$7))</f>
        <v>3.2882732877486509</v>
      </c>
      <c r="K302" s="284">
        <f>IF(A22taxremlife="N/A","n/a",A22taxremlife-Input!$X$7-1)</f>
        <v>2.9048982493208655</v>
      </c>
      <c r="L302" s="286"/>
      <c r="M302" s="9"/>
      <c r="N302" s="9"/>
      <c r="O302" s="9"/>
      <c r="P302" s="9"/>
      <c r="Q302" s="9"/>
      <c r="R302" s="9"/>
      <c r="S302" s="271"/>
      <c r="T302" s="271"/>
      <c r="U302" s="271"/>
      <c r="V302" s="271"/>
      <c r="W302" s="271"/>
      <c r="X302" s="271"/>
      <c r="Y302" s="271"/>
      <c r="Z302" s="271"/>
    </row>
    <row r="303" spans="1:26" ht="14.45" hidden="1" customHeight="1" outlineLevel="1">
      <c r="A303" s="9"/>
      <c r="B303" s="283"/>
      <c r="C303" s="352" t="str">
        <f>C289</f>
        <v>Capex in year</v>
      </c>
      <c r="D303" s="287">
        <f>D289</f>
        <v>1</v>
      </c>
      <c r="E303" s="284">
        <f ca="1">OFFSET('Actual RAB roll forward'!H$33,0,D303-1)-SUM('Actual RAB roll forward'!H319:OFFSET('Actual RAB roll forward'!H319,0,Input!$X$7-1))</f>
        <v>0</v>
      </c>
      <c r="F303" s="284">
        <f ca="1">IF(A22stdlife="N/A","n/a",IF(E303=0,0,A22stdlife+D303-Input!$X$7))</f>
        <v>0</v>
      </c>
      <c r="G303" s="285"/>
      <c r="H303" s="355" t="str">
        <f>H289</f>
        <v>Capex in year</v>
      </c>
      <c r="I303" s="287">
        <f>I289</f>
        <v>1</v>
      </c>
      <c r="J303" s="284">
        <f ca="1">OFFSET('Tax value roll forward'!H$61,0,I303-1)-SUM('Tax value roll forward'!H369:OFFSET('Tax value roll forward'!H369,0,Input!$X$7-1))</f>
        <v>0</v>
      </c>
      <c r="K303" s="284">
        <f ca="1">IF(A22taxstdlife="N/A","n/a",IF(J303=0,0,A22taxstdlife+I303-Input!$X$7))</f>
        <v>0</v>
      </c>
      <c r="L303" s="286"/>
      <c r="M303" s="9"/>
      <c r="N303" s="9"/>
      <c r="O303" s="9"/>
      <c r="P303" s="9"/>
      <c r="Q303" s="9"/>
      <c r="R303" s="9"/>
      <c r="S303" s="271"/>
      <c r="T303" s="271"/>
      <c r="U303" s="271"/>
      <c r="V303" s="271"/>
      <c r="W303" s="271"/>
      <c r="X303" s="271"/>
      <c r="Y303" s="271"/>
      <c r="Z303" s="271"/>
    </row>
    <row r="304" spans="1:26" ht="14.45" hidden="1" customHeight="1" outlineLevel="1">
      <c r="A304" s="9"/>
      <c r="B304" s="283"/>
      <c r="C304" s="353"/>
      <c r="D304" s="287">
        <f t="shared" ref="D304:D312" si="40">D290</f>
        <v>2</v>
      </c>
      <c r="E304" s="284">
        <f ca="1">OFFSET('Actual RAB roll forward'!H$33,0,D304-1)-SUM('Actual RAB roll forward'!H320:OFFSET('Actual RAB roll forward'!H320,0,Input!$X$7-1))</f>
        <v>0</v>
      </c>
      <c r="F304" s="284">
        <f ca="1">IF(A22stdlife="N/A","n/a",IF(E304=0,0,A22stdlife+D304-Input!$X$7))</f>
        <v>0</v>
      </c>
      <c r="G304" s="285"/>
      <c r="H304" s="356"/>
      <c r="I304" s="287">
        <f t="shared" ref="I304:I312" si="41">I290</f>
        <v>2</v>
      </c>
      <c r="J304" s="284">
        <f ca="1">OFFSET('Tax value roll forward'!H$61,0,I304-1)-SUM('Tax value roll forward'!H370:OFFSET('Tax value roll forward'!H370,0,Input!$X$7-1))</f>
        <v>0</v>
      </c>
      <c r="K304" s="284">
        <f ca="1">IF(A22taxstdlife="N/A","n/a",IF(J304=0,0,A22taxstdlife+I304-Input!$X$7))</f>
        <v>0</v>
      </c>
      <c r="L304" s="286"/>
      <c r="M304" s="9"/>
      <c r="N304" s="9"/>
      <c r="O304" s="9"/>
      <c r="P304" s="9"/>
      <c r="Q304" s="9"/>
      <c r="R304" s="9"/>
      <c r="S304" s="271"/>
      <c r="T304" s="271"/>
      <c r="U304" s="271"/>
      <c r="V304" s="271"/>
      <c r="W304" s="271"/>
      <c r="X304" s="271"/>
      <c r="Y304" s="271"/>
      <c r="Z304" s="271"/>
    </row>
    <row r="305" spans="1:26" ht="14.45" hidden="1" customHeight="1" outlineLevel="1">
      <c r="A305" s="9"/>
      <c r="B305" s="283"/>
      <c r="C305" s="353"/>
      <c r="D305" s="287">
        <f t="shared" si="40"/>
        <v>3</v>
      </c>
      <c r="E305" s="284">
        <f ca="1">OFFSET('Actual RAB roll forward'!H$33,0,D305-1)-SUM('Actual RAB roll forward'!H321:OFFSET('Actual RAB roll forward'!H321,0,Input!$X$7-1))</f>
        <v>0</v>
      </c>
      <c r="F305" s="284">
        <f ca="1">IF(A22stdlife="N/A","n/a",IF(E305=0,0,A22stdlife+D305-Input!$X$7))</f>
        <v>0</v>
      </c>
      <c r="G305" s="285"/>
      <c r="H305" s="356"/>
      <c r="I305" s="287">
        <f t="shared" si="41"/>
        <v>3</v>
      </c>
      <c r="J305" s="284">
        <f ca="1">OFFSET('Tax value roll forward'!H$61,0,I305-1)-SUM('Tax value roll forward'!H371:OFFSET('Tax value roll forward'!H371,0,Input!$X$7-1))</f>
        <v>0</v>
      </c>
      <c r="K305" s="284">
        <f ca="1">IF(A22taxstdlife="N/A","n/a",IF(J305=0,0,A22taxstdlife+I305-Input!$X$7))</f>
        <v>0</v>
      </c>
      <c r="L305" s="286"/>
      <c r="M305" s="9"/>
      <c r="N305" s="9"/>
      <c r="O305" s="9"/>
      <c r="P305" s="9"/>
      <c r="Q305" s="9"/>
      <c r="R305" s="9"/>
      <c r="S305" s="271"/>
      <c r="T305" s="271"/>
      <c r="U305" s="271"/>
      <c r="V305" s="271"/>
      <c r="W305" s="271"/>
      <c r="X305" s="271"/>
      <c r="Y305" s="271"/>
      <c r="Z305" s="271"/>
    </row>
    <row r="306" spans="1:26" ht="14.45" hidden="1" customHeight="1" outlineLevel="1">
      <c r="A306" s="9"/>
      <c r="B306" s="283"/>
      <c r="C306" s="353"/>
      <c r="D306" s="287">
        <f t="shared" si="40"/>
        <v>4</v>
      </c>
      <c r="E306" s="284">
        <f ca="1">OFFSET('Actual RAB roll forward'!H$33,0,D306-1)-SUM('Actual RAB roll forward'!H322:OFFSET('Actual RAB roll forward'!H322,0,Input!$X$7-1))</f>
        <v>0</v>
      </c>
      <c r="F306" s="284">
        <f ca="1">IF(A22stdlife="N/A","n/a",IF(E306=0,0,A22stdlife+D306-Input!$X$7))</f>
        <v>0</v>
      </c>
      <c r="G306" s="285"/>
      <c r="H306" s="356"/>
      <c r="I306" s="287">
        <f t="shared" si="41"/>
        <v>4</v>
      </c>
      <c r="J306" s="284">
        <f ca="1">OFFSET('Tax value roll forward'!H$61,0,I306-1)-SUM('Tax value roll forward'!H372:OFFSET('Tax value roll forward'!H372,0,Input!$X$7-1))</f>
        <v>0</v>
      </c>
      <c r="K306" s="284">
        <f ca="1">IF(A22taxstdlife="N/A","n/a",IF(J306=0,0,A22taxstdlife+I306-Input!$X$7))</f>
        <v>0</v>
      </c>
      <c r="L306" s="286"/>
      <c r="M306" s="9"/>
      <c r="N306" s="9"/>
      <c r="O306" s="9"/>
      <c r="P306" s="9"/>
      <c r="Q306" s="9"/>
      <c r="R306" s="9"/>
      <c r="S306" s="271"/>
      <c r="T306" s="271"/>
      <c r="U306" s="271"/>
      <c r="V306" s="271"/>
      <c r="W306" s="271"/>
      <c r="X306" s="271"/>
      <c r="Y306" s="271"/>
      <c r="Z306" s="271"/>
    </row>
    <row r="307" spans="1:26" ht="14.45" hidden="1" customHeight="1" outlineLevel="1">
      <c r="A307" s="9"/>
      <c r="B307" s="283"/>
      <c r="C307" s="353"/>
      <c r="D307" s="287">
        <f t="shared" si="40"/>
        <v>5</v>
      </c>
      <c r="E307" s="284">
        <f ca="1">OFFSET('Actual RAB roll forward'!H$33,0,D307-1)-SUM('Actual RAB roll forward'!H323:OFFSET('Actual RAB roll forward'!H323,0,Input!$X$7-1))</f>
        <v>0</v>
      </c>
      <c r="F307" s="284">
        <f ca="1">IF(A22stdlife="N/A","n/a",IF(E307=0,0,A22stdlife+D307-Input!$X$7))</f>
        <v>0</v>
      </c>
      <c r="G307" s="285"/>
      <c r="H307" s="356"/>
      <c r="I307" s="287">
        <f t="shared" si="41"/>
        <v>5</v>
      </c>
      <c r="J307" s="284">
        <f ca="1">OFFSET('Tax value roll forward'!H$61,0,I307-1)-SUM('Tax value roll forward'!H373:OFFSET('Tax value roll forward'!H373,0,Input!$X$7-1))</f>
        <v>0</v>
      </c>
      <c r="K307" s="284">
        <f ca="1">IF(A22taxstdlife="N/A","n/a",IF(J307=0,0,A22taxstdlife+I307-Input!$X$7))</f>
        <v>0</v>
      </c>
      <c r="L307" s="286"/>
      <c r="M307" s="9"/>
      <c r="N307" s="9"/>
      <c r="O307" s="9"/>
      <c r="P307" s="9"/>
      <c r="Q307" s="9"/>
      <c r="R307" s="9"/>
      <c r="S307" s="271"/>
      <c r="T307" s="271"/>
      <c r="U307" s="271"/>
      <c r="V307" s="271"/>
      <c r="W307" s="271"/>
      <c r="X307" s="271"/>
      <c r="Y307" s="271"/>
      <c r="Z307" s="271"/>
    </row>
    <row r="308" spans="1:26" ht="14.45" hidden="1" customHeight="1" outlineLevel="1">
      <c r="A308" s="9"/>
      <c r="B308" s="283"/>
      <c r="C308" s="353"/>
      <c r="D308" s="287">
        <f t="shared" si="40"/>
        <v>6</v>
      </c>
      <c r="E308" s="284">
        <f ca="1">OFFSET('Actual RAB roll forward'!H$33,0,D308-1)-SUM('Actual RAB roll forward'!H324:OFFSET('Actual RAB roll forward'!H324,0,Input!$X$7-1))</f>
        <v>0</v>
      </c>
      <c r="F308" s="284">
        <f ca="1">IF(A22stdlife="N/A","n/a",IF(E308=0,0,A22stdlife+D308-Input!$X$7))</f>
        <v>0</v>
      </c>
      <c r="G308" s="285"/>
      <c r="H308" s="356"/>
      <c r="I308" s="287">
        <f t="shared" si="41"/>
        <v>6</v>
      </c>
      <c r="J308" s="284">
        <f ca="1">OFFSET('Tax value roll forward'!H$61,0,I308-1)-SUM('Tax value roll forward'!H374:OFFSET('Tax value roll forward'!H374,0,Input!$X$7-1))</f>
        <v>0</v>
      </c>
      <c r="K308" s="284">
        <f ca="1">IF(A22taxstdlife="N/A","n/a",IF(J308=0,0,A22taxstdlife+I308-Input!$X$7))</f>
        <v>0</v>
      </c>
      <c r="L308" s="286"/>
      <c r="M308" s="9"/>
      <c r="N308" s="9"/>
      <c r="O308" s="9"/>
      <c r="P308" s="9"/>
      <c r="Q308" s="9"/>
      <c r="R308" s="9"/>
      <c r="S308" s="271"/>
      <c r="T308" s="271"/>
      <c r="U308" s="271"/>
      <c r="V308" s="271"/>
      <c r="W308" s="271"/>
      <c r="X308" s="271"/>
      <c r="Y308" s="271"/>
      <c r="Z308" s="271"/>
    </row>
    <row r="309" spans="1:26" ht="14.45" hidden="1" customHeight="1" outlineLevel="1">
      <c r="A309" s="9"/>
      <c r="B309" s="283"/>
      <c r="C309" s="353"/>
      <c r="D309" s="287">
        <f t="shared" si="40"/>
        <v>7</v>
      </c>
      <c r="E309" s="284">
        <f ca="1">OFFSET('Actual RAB roll forward'!H$33,0,D309-1)-SUM('Actual RAB roll forward'!H325:OFFSET('Actual RAB roll forward'!H325,0,Input!$X$7-1))</f>
        <v>0</v>
      </c>
      <c r="F309" s="284">
        <f ca="1">IF(A22stdlife="N/A","n/a",IF(E309=0,0,A22stdlife+D309-Input!$X$7))</f>
        <v>0</v>
      </c>
      <c r="G309" s="285"/>
      <c r="H309" s="356"/>
      <c r="I309" s="287">
        <f t="shared" si="41"/>
        <v>7</v>
      </c>
      <c r="J309" s="284">
        <f ca="1">OFFSET('Tax value roll forward'!H$61,0,I309-1)-SUM('Tax value roll forward'!H375:OFFSET('Tax value roll forward'!H375,0,Input!$X$7-1))</f>
        <v>0</v>
      </c>
      <c r="K309" s="284">
        <f ca="1">IF(A22taxstdlife="N/A","n/a",IF(J309=0,0,A22taxstdlife+I309-Input!$X$7))</f>
        <v>0</v>
      </c>
      <c r="L309" s="286"/>
      <c r="M309" s="9"/>
      <c r="N309" s="9"/>
      <c r="O309" s="9"/>
      <c r="P309" s="9"/>
      <c r="Q309" s="9"/>
      <c r="R309" s="9"/>
      <c r="S309" s="271"/>
      <c r="T309" s="271"/>
      <c r="U309" s="271"/>
      <c r="V309" s="271"/>
      <c r="W309" s="271"/>
      <c r="X309" s="271"/>
      <c r="Y309" s="271"/>
      <c r="Z309" s="271"/>
    </row>
    <row r="310" spans="1:26" ht="14.45" hidden="1" customHeight="1" outlineLevel="1">
      <c r="A310" s="9"/>
      <c r="B310" s="283"/>
      <c r="C310" s="353"/>
      <c r="D310" s="287">
        <f t="shared" si="40"/>
        <v>8</v>
      </c>
      <c r="E310" s="284">
        <f ca="1">OFFSET('Actual RAB roll forward'!H$33,0,D310-1)-SUM('Actual RAB roll forward'!H326:OFFSET('Actual RAB roll forward'!H326,0,Input!$X$7-1))</f>
        <v>0</v>
      </c>
      <c r="F310" s="284">
        <f ca="1">IF(A22stdlife="N/A","n/a",IF(E310=0,0,A22stdlife+D310-Input!$X$7))</f>
        <v>0</v>
      </c>
      <c r="G310" s="285"/>
      <c r="H310" s="356"/>
      <c r="I310" s="287">
        <f t="shared" si="41"/>
        <v>8</v>
      </c>
      <c r="J310" s="284">
        <f ca="1">OFFSET('Tax value roll forward'!H$61,0,I310-1)-SUM('Tax value roll forward'!H376:OFFSET('Tax value roll forward'!H376,0,Input!$X$7-1))</f>
        <v>0</v>
      </c>
      <c r="K310" s="284">
        <f ca="1">IF(A22taxstdlife="N/A","n/a",IF(J310=0,0,A22taxstdlife+I310-Input!$X$7))</f>
        <v>0</v>
      </c>
      <c r="L310" s="286"/>
      <c r="M310" s="9"/>
      <c r="N310" s="9"/>
      <c r="O310" s="9"/>
      <c r="P310" s="9"/>
      <c r="Q310" s="9"/>
      <c r="R310" s="9"/>
      <c r="S310" s="271"/>
      <c r="T310" s="271"/>
      <c r="U310" s="271"/>
      <c r="V310" s="271"/>
      <c r="W310" s="271"/>
      <c r="X310" s="271"/>
      <c r="Y310" s="271"/>
      <c r="Z310" s="271"/>
    </row>
    <row r="311" spans="1:26" ht="14.45" hidden="1" customHeight="1" outlineLevel="1">
      <c r="A311" s="9"/>
      <c r="B311" s="283"/>
      <c r="C311" s="353"/>
      <c r="D311" s="287">
        <f t="shared" si="40"/>
        <v>9</v>
      </c>
      <c r="E311" s="284">
        <f ca="1">OFFSET('Actual RAB roll forward'!H$33,0,D311-1)-SUM('Actual RAB roll forward'!H327:OFFSET('Actual RAB roll forward'!H327,0,Input!$X$7-1))</f>
        <v>0</v>
      </c>
      <c r="F311" s="284">
        <f ca="1">IF(A22stdlife="N/A","n/a",IF(E311=0,0,A22stdlife+D311-Input!$X$7))</f>
        <v>0</v>
      </c>
      <c r="G311" s="285"/>
      <c r="H311" s="356"/>
      <c r="I311" s="287">
        <f t="shared" si="41"/>
        <v>9</v>
      </c>
      <c r="J311" s="284">
        <f ca="1">OFFSET('Tax value roll forward'!H$61,0,I311-1)-SUM('Tax value roll forward'!H377:OFFSET('Tax value roll forward'!H377,0,Input!$X$7-1))</f>
        <v>0</v>
      </c>
      <c r="K311" s="284">
        <f ca="1">IF(A22taxstdlife="N/A","n/a",IF(J311=0,0,A22taxstdlife+I311-Input!$X$7))</f>
        <v>0</v>
      </c>
      <c r="L311" s="286"/>
      <c r="M311" s="9"/>
      <c r="N311" s="9"/>
      <c r="O311" s="9"/>
      <c r="P311" s="9"/>
      <c r="Q311" s="9"/>
      <c r="R311" s="9"/>
      <c r="S311" s="271"/>
      <c r="T311" s="271"/>
      <c r="U311" s="271"/>
      <c r="V311" s="271"/>
      <c r="W311" s="271"/>
      <c r="X311" s="271"/>
      <c r="Y311" s="271"/>
      <c r="Z311" s="271"/>
    </row>
    <row r="312" spans="1:26" ht="14.45" hidden="1" customHeight="1" outlineLevel="1">
      <c r="A312" s="9"/>
      <c r="B312" s="283"/>
      <c r="C312" s="354"/>
      <c r="D312" s="89">
        <f t="shared" si="40"/>
        <v>10</v>
      </c>
      <c r="E312" s="284">
        <f ca="1">OFFSET('Actual RAB roll forward'!H$33,0,D312-1)-SUM('Actual RAB roll forward'!H328:OFFSET('Actual RAB roll forward'!H328,0,Input!$X$7-1))</f>
        <v>0</v>
      </c>
      <c r="F312" s="284">
        <f ca="1">IF(A22stdlife="N/A","n/a",IF(E312=0,0,A22stdlife+D312-Input!$X$7))</f>
        <v>0</v>
      </c>
      <c r="G312" s="285"/>
      <c r="H312" s="357"/>
      <c r="I312" s="89">
        <f t="shared" si="41"/>
        <v>10</v>
      </c>
      <c r="J312" s="284">
        <f ca="1">OFFSET('Tax value roll forward'!H$61,0,I312-1)-SUM('Tax value roll forward'!H378:OFFSET('Tax value roll forward'!H378,0,Input!$X$7-1))</f>
        <v>0</v>
      </c>
      <c r="K312" s="284">
        <f ca="1">IF(A22taxstdlife="N/A","n/a",IF(J312=0,0,A22taxstdlife+I312-Input!$X$7))</f>
        <v>0</v>
      </c>
      <c r="L312" s="286"/>
      <c r="M312" s="9"/>
      <c r="N312" s="9"/>
      <c r="O312" s="9"/>
      <c r="P312" s="9"/>
      <c r="Q312" s="9"/>
      <c r="R312" s="9"/>
      <c r="S312" s="271"/>
      <c r="T312" s="271"/>
      <c r="U312" s="271"/>
      <c r="V312" s="271"/>
      <c r="W312" s="271"/>
      <c r="X312" s="271"/>
      <c r="Y312" s="271"/>
      <c r="Z312" s="271"/>
    </row>
    <row r="313" spans="1:26" collapsed="1">
      <c r="A313" s="9"/>
      <c r="B313" s="283"/>
      <c r="C313" s="286" t="str">
        <f>B301</f>
        <v>Office Equipment &amp; Furniture</v>
      </c>
      <c r="D313" s="9"/>
      <c r="E313" s="284">
        <f ca="1">SUM(E302:E312)</f>
        <v>1.0167587936368783</v>
      </c>
      <c r="F313" s="284">
        <f ca="1">IF(A22remlife="N/A","n/a",IF(E313=0,0,SUMPRODUCT(E302:E312,F302:F312)/E313))</f>
        <v>0.23426243164590144</v>
      </c>
      <c r="G313" s="285"/>
      <c r="H313" s="45"/>
      <c r="I313" s="284"/>
      <c r="J313" s="284">
        <f ca="1">SUM(J302:J312)</f>
        <v>3.2882732877486509</v>
      </c>
      <c r="K313" s="284">
        <f ca="1">IF(A22taxstdlife="N/A","n/a",IF(J313=0,0,SUMPRODUCT(J302:J312,K302:K312)/J313))</f>
        <v>2.9048982493208655</v>
      </c>
      <c r="L313" s="286"/>
      <c r="M313" s="9"/>
      <c r="N313" s="9"/>
      <c r="O313" s="9"/>
      <c r="P313" s="9"/>
      <c r="Q313" s="9"/>
      <c r="R313" s="9"/>
      <c r="S313" s="271"/>
      <c r="T313" s="271"/>
      <c r="U313" s="271"/>
      <c r="V313" s="271"/>
      <c r="W313" s="271"/>
      <c r="X313" s="271"/>
      <c r="Y313" s="271"/>
      <c r="Z313" s="271"/>
    </row>
    <row r="314" spans="1:26" hidden="1" outlineLevel="1">
      <c r="A314" s="9"/>
      <c r="B314" s="281"/>
      <c r="C314" s="298"/>
      <c r="D314" s="298"/>
      <c r="E314" s="296"/>
      <c r="F314" s="296"/>
      <c r="G314" s="285"/>
      <c r="H314" s="284"/>
      <c r="I314" s="284"/>
      <c r="J314" s="293"/>
      <c r="K314" s="289"/>
      <c r="L314" s="286"/>
      <c r="M314" s="9"/>
      <c r="N314" s="9"/>
      <c r="O314" s="9"/>
      <c r="P314" s="9"/>
      <c r="Q314" s="9"/>
      <c r="R314" s="9"/>
      <c r="S314" s="271"/>
      <c r="T314" s="271"/>
      <c r="U314" s="271"/>
      <c r="V314" s="271"/>
      <c r="W314" s="271"/>
      <c r="X314" s="271"/>
      <c r="Y314" s="271"/>
      <c r="Z314" s="271"/>
    </row>
    <row r="315" spans="1:26" hidden="1" outlineLevel="1">
      <c r="A315" s="9"/>
      <c r="B315" s="281" t="str">
        <f>Asset23</f>
        <v>Motor Vehicles</v>
      </c>
      <c r="C315" s="298"/>
      <c r="D315" s="298"/>
      <c r="E315" s="296"/>
      <c r="F315" s="296"/>
      <c r="G315" s="285"/>
      <c r="H315" s="284"/>
      <c r="I315" s="284"/>
      <c r="J315" s="293"/>
      <c r="K315" s="289"/>
      <c r="L315" s="286"/>
      <c r="M315" s="9"/>
      <c r="N315" s="9"/>
      <c r="O315" s="9"/>
      <c r="P315" s="9"/>
      <c r="Q315" s="9"/>
      <c r="R315" s="9"/>
      <c r="S315" s="271"/>
      <c r="T315" s="271"/>
      <c r="U315" s="271"/>
      <c r="V315" s="271"/>
      <c r="W315" s="271"/>
      <c r="X315" s="271"/>
      <c r="Y315" s="271"/>
      <c r="Z315" s="271"/>
    </row>
    <row r="316" spans="1:26" ht="12.75" hidden="1" customHeight="1" outlineLevel="1">
      <c r="A316" s="9"/>
      <c r="B316" s="283"/>
      <c r="C316" s="358" t="str">
        <f>C302</f>
        <v>Opening RAB</v>
      </c>
      <c r="D316" s="359"/>
      <c r="E316" s="284">
        <f ca="1">A23value-SUM('Actual RAB roll forward'!H330:OFFSET('Actual RAB roll forward'!H330,0,Input!$X$7-1))</f>
        <v>29.465459212604713</v>
      </c>
      <c r="F316" s="284">
        <f>IF(A23remlife="N/A","n/a",A23remlife-Input!$X$7)</f>
        <v>2.0090671436773055</v>
      </c>
      <c r="G316" s="285"/>
      <c r="H316" s="360" t="str">
        <f>H302</f>
        <v>Initial Asset Base</v>
      </c>
      <c r="I316" s="361"/>
      <c r="J316" s="284">
        <f ca="1">(A23taxvalue+'Tax value roll forward'!G62)-SUM('Tax value roll forward'!G380:OFFSET('Tax value roll forward'!G380,2,Input!$X$7))</f>
        <v>51.345071510594735</v>
      </c>
      <c r="K316" s="284">
        <f>IF(A23taxremlife="N/A","n/a",A23taxremlife-Input!$X$7-1)</f>
        <v>6.2672356445704978</v>
      </c>
      <c r="L316" s="286"/>
      <c r="M316" s="9"/>
      <c r="N316" s="9"/>
      <c r="O316" s="9"/>
      <c r="P316" s="9"/>
      <c r="Q316" s="9"/>
      <c r="R316" s="9"/>
      <c r="S316" s="271"/>
      <c r="T316" s="271"/>
      <c r="U316" s="271"/>
      <c r="V316" s="271"/>
      <c r="W316" s="271"/>
      <c r="X316" s="271"/>
      <c r="Y316" s="271"/>
      <c r="Z316" s="271"/>
    </row>
    <row r="317" spans="1:26" ht="14.45" hidden="1" customHeight="1" outlineLevel="1">
      <c r="A317" s="9"/>
      <c r="B317" s="283"/>
      <c r="C317" s="352" t="str">
        <f>C303</f>
        <v>Capex in year</v>
      </c>
      <c r="D317" s="287">
        <f>D303</f>
        <v>1</v>
      </c>
      <c r="E317" s="284">
        <f ca="1">OFFSET('Actual RAB roll forward'!H$34,0,D317-1)-SUM('Actual RAB roll forward'!H332:OFFSET('Actual RAB roll forward'!H332,0,Input!$X$7-1))</f>
        <v>0</v>
      </c>
      <c r="F317" s="284">
        <f ca="1">IF(A23stdlife="N/A","n/a",IF(E317=0,0,A23stdlife+D317-Input!$X$7))</f>
        <v>0</v>
      </c>
      <c r="G317" s="285"/>
      <c r="H317" s="355" t="str">
        <f>H303</f>
        <v>Capex in year</v>
      </c>
      <c r="I317" s="287">
        <f>I303</f>
        <v>1</v>
      </c>
      <c r="J317" s="284">
        <f ca="1">OFFSET('Tax value roll forward'!H$62,0,I317-1)-SUM('Tax value roll forward'!H383:OFFSET('Tax value roll forward'!H383,0,Input!$X$7-1))</f>
        <v>0</v>
      </c>
      <c r="K317" s="284">
        <f ca="1">IF(A23taxstdlife="N/A","n/a",IF(J317=0,0,A23taxstdlife+I317-Input!$X$7))</f>
        <v>0</v>
      </c>
      <c r="L317" s="286"/>
      <c r="M317" s="9"/>
      <c r="N317" s="9"/>
      <c r="O317" s="9"/>
      <c r="P317" s="9"/>
      <c r="Q317" s="9"/>
      <c r="R317" s="9"/>
      <c r="S317" s="271"/>
      <c r="T317" s="271"/>
      <c r="U317" s="271"/>
      <c r="V317" s="271"/>
      <c r="W317" s="271"/>
      <c r="X317" s="271"/>
      <c r="Y317" s="271"/>
      <c r="Z317" s="271"/>
    </row>
    <row r="318" spans="1:26" ht="14.45" hidden="1" customHeight="1" outlineLevel="1">
      <c r="A318" s="9"/>
      <c r="B318" s="283"/>
      <c r="C318" s="353"/>
      <c r="D318" s="287">
        <f t="shared" ref="D318:D326" si="42">D304</f>
        <v>2</v>
      </c>
      <c r="E318" s="284">
        <f ca="1">OFFSET('Actual RAB roll forward'!H$34,0,D318-1)-SUM('Actual RAB roll forward'!H333:OFFSET('Actual RAB roll forward'!H333,0,Input!$X$7-1))</f>
        <v>0</v>
      </c>
      <c r="F318" s="284">
        <f ca="1">IF(A23stdlife="N/A","n/a",IF(E318=0,0,A23stdlife+D318-Input!$X$7))</f>
        <v>0</v>
      </c>
      <c r="G318" s="285"/>
      <c r="H318" s="356"/>
      <c r="I318" s="287">
        <f t="shared" ref="I318:I326" si="43">I304</f>
        <v>2</v>
      </c>
      <c r="J318" s="284">
        <f ca="1">OFFSET('Tax value roll forward'!H$62,0,I318-1)-SUM('Tax value roll forward'!H384:OFFSET('Tax value roll forward'!H384,0,Input!$X$7-1))</f>
        <v>0</v>
      </c>
      <c r="K318" s="284">
        <f ca="1">IF(A23taxstdlife="N/A","n/a",IF(J318=0,0,A23taxstdlife+I318-Input!$X$7))</f>
        <v>0</v>
      </c>
      <c r="L318" s="286"/>
      <c r="M318" s="9"/>
      <c r="N318" s="9"/>
      <c r="O318" s="9"/>
      <c r="P318" s="9"/>
      <c r="Q318" s="9"/>
      <c r="R318" s="9"/>
      <c r="S318" s="271"/>
      <c r="T318" s="271"/>
      <c r="U318" s="271"/>
      <c r="V318" s="271"/>
      <c r="W318" s="271"/>
      <c r="X318" s="271"/>
      <c r="Y318" s="271"/>
      <c r="Z318" s="271"/>
    </row>
    <row r="319" spans="1:26" ht="14.45" hidden="1" customHeight="1" outlineLevel="1">
      <c r="A319" s="9"/>
      <c r="B319" s="283"/>
      <c r="C319" s="353"/>
      <c r="D319" s="287">
        <f t="shared" si="42"/>
        <v>3</v>
      </c>
      <c r="E319" s="284">
        <f ca="1">OFFSET('Actual RAB roll forward'!H$34,0,D319-1)-SUM('Actual RAB roll forward'!H334:OFFSET('Actual RAB roll forward'!H334,0,Input!$X$7-1))</f>
        <v>0</v>
      </c>
      <c r="F319" s="284">
        <f ca="1">IF(A23stdlife="N/A","n/a",IF(E319=0,0,A23stdlife+D319-Input!$X$7))</f>
        <v>0</v>
      </c>
      <c r="G319" s="285"/>
      <c r="H319" s="356"/>
      <c r="I319" s="287">
        <f t="shared" si="43"/>
        <v>3</v>
      </c>
      <c r="J319" s="284">
        <f ca="1">OFFSET('Tax value roll forward'!H$62,0,I319-1)-SUM('Tax value roll forward'!H385:OFFSET('Tax value roll forward'!H385,0,Input!$X$7-1))</f>
        <v>0</v>
      </c>
      <c r="K319" s="284">
        <f ca="1">IF(A23taxstdlife="N/A","n/a",IF(J319=0,0,A23taxstdlife+I319-Input!$X$7))</f>
        <v>0</v>
      </c>
      <c r="L319" s="286"/>
      <c r="M319" s="9"/>
      <c r="N319" s="9"/>
      <c r="O319" s="9"/>
      <c r="P319" s="9"/>
      <c r="Q319" s="9"/>
      <c r="R319" s="9"/>
      <c r="S319" s="271"/>
      <c r="T319" s="271"/>
      <c r="U319" s="271"/>
      <c r="V319" s="271"/>
      <c r="W319" s="271"/>
      <c r="X319" s="271"/>
      <c r="Y319" s="271"/>
      <c r="Z319" s="271"/>
    </row>
    <row r="320" spans="1:26" ht="14.45" hidden="1" customHeight="1" outlineLevel="1">
      <c r="A320" s="9"/>
      <c r="B320" s="283"/>
      <c r="C320" s="353"/>
      <c r="D320" s="287">
        <f t="shared" si="42"/>
        <v>4</v>
      </c>
      <c r="E320" s="284">
        <f ca="1">OFFSET('Actual RAB roll forward'!H$34,0,D320-1)-SUM('Actual RAB roll forward'!H335:OFFSET('Actual RAB roll forward'!H335,0,Input!$X$7-1))</f>
        <v>0</v>
      </c>
      <c r="F320" s="284">
        <f ca="1">IF(A23stdlife="N/A","n/a",IF(E320=0,0,A23stdlife+D320-Input!$X$7))</f>
        <v>0</v>
      </c>
      <c r="G320" s="285"/>
      <c r="H320" s="356"/>
      <c r="I320" s="287">
        <f t="shared" si="43"/>
        <v>4</v>
      </c>
      <c r="J320" s="284">
        <f ca="1">OFFSET('Tax value roll forward'!H$62,0,I320-1)-SUM('Tax value roll forward'!H386:OFFSET('Tax value roll forward'!H386,0,Input!$X$7-1))</f>
        <v>0</v>
      </c>
      <c r="K320" s="284">
        <f ca="1">IF(A23taxstdlife="N/A","n/a",IF(J320=0,0,A23taxstdlife+I320-Input!$X$7))</f>
        <v>0</v>
      </c>
      <c r="L320" s="286"/>
      <c r="M320" s="9"/>
      <c r="N320" s="9"/>
      <c r="O320" s="9"/>
      <c r="P320" s="9"/>
      <c r="Q320" s="9"/>
      <c r="R320" s="9"/>
      <c r="S320" s="271"/>
      <c r="T320" s="271"/>
      <c r="U320" s="271"/>
      <c r="V320" s="271"/>
      <c r="W320" s="271"/>
      <c r="X320" s="271"/>
      <c r="Y320" s="271"/>
      <c r="Z320" s="271"/>
    </row>
    <row r="321" spans="1:26" ht="14.45" hidden="1" customHeight="1" outlineLevel="1">
      <c r="A321" s="9"/>
      <c r="B321" s="283"/>
      <c r="C321" s="353"/>
      <c r="D321" s="287">
        <f t="shared" si="42"/>
        <v>5</v>
      </c>
      <c r="E321" s="284">
        <f ca="1">OFFSET('Actual RAB roll forward'!H$34,0,D321-1)-SUM('Actual RAB roll forward'!H336:OFFSET('Actual RAB roll forward'!H336,0,Input!$X$7-1))</f>
        <v>0</v>
      </c>
      <c r="F321" s="284">
        <f ca="1">IF(A23stdlife="N/A","n/a",IF(E321=0,0,A23stdlife+D321-Input!$X$7))</f>
        <v>0</v>
      </c>
      <c r="G321" s="285"/>
      <c r="H321" s="356"/>
      <c r="I321" s="287">
        <f t="shared" si="43"/>
        <v>5</v>
      </c>
      <c r="J321" s="284">
        <f ca="1">OFFSET('Tax value roll forward'!H$62,0,I321-1)-SUM('Tax value roll forward'!H387:OFFSET('Tax value roll forward'!H387,0,Input!$X$7-1))</f>
        <v>0</v>
      </c>
      <c r="K321" s="284">
        <f ca="1">IF(A23taxstdlife="N/A","n/a",IF(J321=0,0,A23taxstdlife+I321-Input!$X$7))</f>
        <v>0</v>
      </c>
      <c r="L321" s="286"/>
      <c r="M321" s="9"/>
      <c r="N321" s="9"/>
      <c r="O321" s="9"/>
      <c r="P321" s="9"/>
      <c r="Q321" s="9"/>
      <c r="R321" s="9"/>
      <c r="S321" s="271"/>
      <c r="T321" s="271"/>
      <c r="U321" s="271"/>
      <c r="V321" s="271"/>
      <c r="W321" s="271"/>
      <c r="X321" s="271"/>
      <c r="Y321" s="271"/>
      <c r="Z321" s="271"/>
    </row>
    <row r="322" spans="1:26" ht="14.45" hidden="1" customHeight="1" outlineLevel="1">
      <c r="A322" s="9"/>
      <c r="B322" s="283"/>
      <c r="C322" s="353"/>
      <c r="D322" s="287">
        <f t="shared" si="42"/>
        <v>6</v>
      </c>
      <c r="E322" s="284">
        <f ca="1">OFFSET('Actual RAB roll forward'!H$34,0,D322-1)-SUM('Actual RAB roll forward'!H337:OFFSET('Actual RAB roll forward'!H337,0,Input!$X$7-1))</f>
        <v>0</v>
      </c>
      <c r="F322" s="284">
        <f ca="1">IF(A23stdlife="N/A","n/a",IF(E322=0,0,A23stdlife+D322-Input!$X$7))</f>
        <v>0</v>
      </c>
      <c r="G322" s="285"/>
      <c r="H322" s="356"/>
      <c r="I322" s="287">
        <f t="shared" si="43"/>
        <v>6</v>
      </c>
      <c r="J322" s="284">
        <f ca="1">OFFSET('Tax value roll forward'!H$62,0,I322-1)-SUM('Tax value roll forward'!H388:OFFSET('Tax value roll forward'!H388,0,Input!$X$7-1))</f>
        <v>0</v>
      </c>
      <c r="K322" s="284">
        <f ca="1">IF(A23taxstdlife="N/A","n/a",IF(J322=0,0,A23taxstdlife+I322-Input!$X$7))</f>
        <v>0</v>
      </c>
      <c r="L322" s="286"/>
      <c r="M322" s="9"/>
      <c r="N322" s="9"/>
      <c r="O322" s="9"/>
      <c r="P322" s="9"/>
      <c r="Q322" s="9"/>
      <c r="R322" s="9"/>
      <c r="S322" s="271"/>
      <c r="T322" s="271"/>
      <c r="U322" s="271"/>
      <c r="V322" s="271"/>
      <c r="W322" s="271"/>
      <c r="X322" s="271"/>
      <c r="Y322" s="271"/>
      <c r="Z322" s="271"/>
    </row>
    <row r="323" spans="1:26" ht="14.45" hidden="1" customHeight="1" outlineLevel="1">
      <c r="A323" s="9"/>
      <c r="B323" s="283"/>
      <c r="C323" s="353"/>
      <c r="D323" s="287">
        <f t="shared" si="42"/>
        <v>7</v>
      </c>
      <c r="E323" s="284">
        <f ca="1">OFFSET('Actual RAB roll forward'!H$34,0,D323-1)-SUM('Actual RAB roll forward'!H338:OFFSET('Actual RAB roll forward'!H338,0,Input!$X$7-1))</f>
        <v>0</v>
      </c>
      <c r="F323" s="284">
        <f ca="1">IF(A23stdlife="N/A","n/a",IF(E323=0,0,A23stdlife+D323-Input!$X$7))</f>
        <v>0</v>
      </c>
      <c r="G323" s="285"/>
      <c r="H323" s="356"/>
      <c r="I323" s="287">
        <f t="shared" si="43"/>
        <v>7</v>
      </c>
      <c r="J323" s="284">
        <f ca="1">OFFSET('Tax value roll forward'!H$62,0,I323-1)-SUM('Tax value roll forward'!H389:OFFSET('Tax value roll forward'!H389,0,Input!$X$7-1))</f>
        <v>0</v>
      </c>
      <c r="K323" s="284">
        <f ca="1">IF(A23taxstdlife="N/A","n/a",IF(J323=0,0,A23taxstdlife+I323-Input!$X$7))</f>
        <v>0</v>
      </c>
      <c r="L323" s="286"/>
      <c r="M323" s="9"/>
      <c r="N323" s="9"/>
      <c r="O323" s="9"/>
      <c r="P323" s="9"/>
      <c r="Q323" s="9"/>
      <c r="R323" s="9"/>
      <c r="S323" s="271"/>
      <c r="T323" s="271"/>
      <c r="U323" s="271"/>
      <c r="V323" s="271"/>
      <c r="W323" s="271"/>
      <c r="X323" s="271"/>
      <c r="Y323" s="271"/>
      <c r="Z323" s="271"/>
    </row>
    <row r="324" spans="1:26" ht="14.45" hidden="1" customHeight="1" outlineLevel="1">
      <c r="A324" s="9"/>
      <c r="B324" s="283"/>
      <c r="C324" s="353"/>
      <c r="D324" s="287">
        <f t="shared" si="42"/>
        <v>8</v>
      </c>
      <c r="E324" s="284">
        <f ca="1">OFFSET('Actual RAB roll forward'!H$34,0,D324-1)-SUM('Actual RAB roll forward'!H339:OFFSET('Actual RAB roll forward'!H339,0,Input!$X$7-1))</f>
        <v>0</v>
      </c>
      <c r="F324" s="284">
        <f ca="1">IF(A23stdlife="N/A","n/a",IF(E324=0,0,A23stdlife+D324-Input!$X$7))</f>
        <v>0</v>
      </c>
      <c r="G324" s="285"/>
      <c r="H324" s="356"/>
      <c r="I324" s="287">
        <f t="shared" si="43"/>
        <v>8</v>
      </c>
      <c r="J324" s="284">
        <f ca="1">OFFSET('Tax value roll forward'!H$62,0,I324-1)-SUM('Tax value roll forward'!H390:OFFSET('Tax value roll forward'!H390,0,Input!$X$7-1))</f>
        <v>0</v>
      </c>
      <c r="K324" s="284">
        <f ca="1">IF(A23taxstdlife="N/A","n/a",IF(J324=0,0,A23taxstdlife+I324-Input!$X$7))</f>
        <v>0</v>
      </c>
      <c r="L324" s="286"/>
      <c r="M324" s="9"/>
      <c r="N324" s="9"/>
      <c r="O324" s="9"/>
      <c r="P324" s="9"/>
      <c r="Q324" s="9"/>
      <c r="R324" s="9"/>
      <c r="S324" s="271"/>
      <c r="T324" s="271"/>
      <c r="U324" s="271"/>
      <c r="V324" s="271"/>
      <c r="W324" s="271"/>
      <c r="X324" s="271"/>
      <c r="Y324" s="271"/>
      <c r="Z324" s="271"/>
    </row>
    <row r="325" spans="1:26" ht="14.45" hidden="1" customHeight="1" outlineLevel="1">
      <c r="A325" s="9"/>
      <c r="B325" s="283"/>
      <c r="C325" s="353"/>
      <c r="D325" s="287">
        <f t="shared" si="42"/>
        <v>9</v>
      </c>
      <c r="E325" s="284">
        <f ca="1">OFFSET('Actual RAB roll forward'!H$34,0,D325-1)-SUM('Actual RAB roll forward'!H340:OFFSET('Actual RAB roll forward'!H340,0,Input!$X$7-1))</f>
        <v>0</v>
      </c>
      <c r="F325" s="284">
        <f ca="1">IF(A23stdlife="N/A","n/a",IF(E325=0,0,A23stdlife+D325-Input!$X$7))</f>
        <v>0</v>
      </c>
      <c r="G325" s="285"/>
      <c r="H325" s="356"/>
      <c r="I325" s="287">
        <f t="shared" si="43"/>
        <v>9</v>
      </c>
      <c r="J325" s="284">
        <f ca="1">OFFSET('Tax value roll forward'!H$62,0,I325-1)-SUM('Tax value roll forward'!H391:OFFSET('Tax value roll forward'!H391,0,Input!$X$7-1))</f>
        <v>0</v>
      </c>
      <c r="K325" s="284">
        <f ca="1">IF(A23taxstdlife="N/A","n/a",IF(J325=0,0,A23taxstdlife+I325-Input!$X$7))</f>
        <v>0</v>
      </c>
      <c r="L325" s="286"/>
      <c r="M325" s="9"/>
      <c r="N325" s="9"/>
      <c r="O325" s="9"/>
      <c r="P325" s="9"/>
      <c r="Q325" s="9"/>
      <c r="R325" s="9"/>
      <c r="S325" s="271"/>
      <c r="T325" s="271"/>
      <c r="U325" s="271"/>
      <c r="V325" s="271"/>
      <c r="W325" s="271"/>
      <c r="X325" s="271"/>
      <c r="Y325" s="271"/>
      <c r="Z325" s="271"/>
    </row>
    <row r="326" spans="1:26" ht="14.45" hidden="1" customHeight="1" outlineLevel="1">
      <c r="A326" s="9"/>
      <c r="B326" s="283"/>
      <c r="C326" s="354"/>
      <c r="D326" s="89">
        <f t="shared" si="42"/>
        <v>10</v>
      </c>
      <c r="E326" s="284">
        <f ca="1">OFFSET('Actual RAB roll forward'!H$34,0,D326-1)-SUM('Actual RAB roll forward'!H341:OFFSET('Actual RAB roll forward'!H341,0,Input!$X$7-1))</f>
        <v>0</v>
      </c>
      <c r="F326" s="284">
        <f ca="1">IF(A23stdlife="N/A","n/a",IF(E326=0,0,A23stdlife+D326-Input!$X$7))</f>
        <v>0</v>
      </c>
      <c r="G326" s="285"/>
      <c r="H326" s="357"/>
      <c r="I326" s="89">
        <f t="shared" si="43"/>
        <v>10</v>
      </c>
      <c r="J326" s="284">
        <f ca="1">OFFSET('Tax value roll forward'!H$62,0,I326-1)-SUM('Tax value roll forward'!H392:OFFSET('Tax value roll forward'!H392,0,Input!$X$7-1))</f>
        <v>0</v>
      </c>
      <c r="K326" s="284">
        <f ca="1">IF(A23taxstdlife="N/A","n/a",IF(J326=0,0,A23taxstdlife+I326-Input!$X$7))</f>
        <v>0</v>
      </c>
      <c r="L326" s="286"/>
      <c r="M326" s="9"/>
      <c r="N326" s="9"/>
      <c r="O326" s="9"/>
      <c r="P326" s="9"/>
      <c r="Q326" s="9"/>
      <c r="R326" s="9"/>
      <c r="S326" s="271"/>
      <c r="T326" s="271"/>
      <c r="U326" s="271"/>
      <c r="V326" s="271"/>
      <c r="W326" s="271"/>
      <c r="X326" s="271"/>
      <c r="Y326" s="271"/>
      <c r="Z326" s="271"/>
    </row>
    <row r="327" spans="1:26" collapsed="1">
      <c r="A327" s="9"/>
      <c r="B327" s="283"/>
      <c r="C327" s="286" t="str">
        <f>B315</f>
        <v>Motor Vehicles</v>
      </c>
      <c r="D327" s="9"/>
      <c r="E327" s="284">
        <f ca="1">SUM(E316:E326)</f>
        <v>29.465459212604713</v>
      </c>
      <c r="F327" s="284">
        <f ca="1">IF(A23remlife="N/A","n/a",IF(E327=0,0,SUMPRODUCT(E316:E326,F316:F326)/E327))</f>
        <v>2.0090671436773055</v>
      </c>
      <c r="G327" s="285"/>
      <c r="H327" s="45"/>
      <c r="I327" s="284"/>
      <c r="J327" s="284">
        <f ca="1">SUM(J316:J326)</f>
        <v>51.345071510594735</v>
      </c>
      <c r="K327" s="284">
        <f ca="1">IF(A23taxstdlife="N/A","n/a",IF(J327=0,0,SUMPRODUCT(J316:J326,K316:K326)/J327))</f>
        <v>6.2672356445704969</v>
      </c>
      <c r="L327" s="286"/>
      <c r="M327" s="9"/>
      <c r="N327" s="9"/>
      <c r="O327" s="9"/>
      <c r="P327" s="9"/>
      <c r="Q327" s="9"/>
      <c r="R327" s="9"/>
      <c r="S327" s="271"/>
      <c r="T327" s="271"/>
      <c r="U327" s="271"/>
      <c r="V327" s="271"/>
      <c r="W327" s="271"/>
      <c r="X327" s="271"/>
      <c r="Y327" s="271"/>
      <c r="Z327" s="271"/>
    </row>
    <row r="328" spans="1:26" hidden="1" outlineLevel="1">
      <c r="A328" s="9"/>
      <c r="B328" s="281"/>
      <c r="C328" s="298"/>
      <c r="D328" s="298"/>
      <c r="E328" s="296"/>
      <c r="F328" s="296"/>
      <c r="G328" s="285"/>
      <c r="H328" s="284"/>
      <c r="I328" s="284"/>
      <c r="J328" s="293"/>
      <c r="K328" s="289"/>
      <c r="L328" s="286"/>
      <c r="M328" s="9"/>
      <c r="N328" s="9"/>
      <c r="O328" s="9"/>
      <c r="P328" s="9"/>
      <c r="Q328" s="9"/>
      <c r="R328" s="9"/>
      <c r="S328" s="271"/>
      <c r="T328" s="271"/>
      <c r="U328" s="271"/>
      <c r="V328" s="271"/>
      <c r="W328" s="271"/>
      <c r="X328" s="271"/>
      <c r="Y328" s="271"/>
      <c r="Z328" s="271"/>
    </row>
    <row r="329" spans="1:26" hidden="1" outlineLevel="1">
      <c r="A329" s="9"/>
      <c r="B329" s="281" t="str">
        <f>Asset24</f>
        <v>Plant &amp; Equipment</v>
      </c>
      <c r="C329" s="298"/>
      <c r="D329" s="298"/>
      <c r="E329" s="296"/>
      <c r="F329" s="296"/>
      <c r="G329" s="285"/>
      <c r="H329" s="284"/>
      <c r="I329" s="284"/>
      <c r="J329" s="293"/>
      <c r="K329" s="289"/>
      <c r="L329" s="286"/>
      <c r="M329" s="9"/>
      <c r="N329" s="9"/>
      <c r="O329" s="9"/>
      <c r="P329" s="9"/>
      <c r="Q329" s="9"/>
      <c r="R329" s="9"/>
      <c r="S329" s="271"/>
      <c r="T329" s="271"/>
      <c r="U329" s="271"/>
      <c r="V329" s="271"/>
      <c r="W329" s="271"/>
      <c r="X329" s="271"/>
      <c r="Y329" s="271"/>
      <c r="Z329" s="271"/>
    </row>
    <row r="330" spans="1:26" ht="12.75" hidden="1" customHeight="1" outlineLevel="1">
      <c r="A330" s="9"/>
      <c r="B330" s="283"/>
      <c r="C330" s="358" t="str">
        <f>C316</f>
        <v>Opening RAB</v>
      </c>
      <c r="D330" s="359"/>
      <c r="E330" s="284">
        <f ca="1">A24value-SUM('Actual RAB roll forward'!H343:OFFSET('Actual RAB roll forward'!H343,0,Input!$X$7-1))</f>
        <v>27.620782842355247</v>
      </c>
      <c r="F330" s="284">
        <f>IF(A24remlife="N/A","n/a",A24remlife-Input!$X$7)</f>
        <v>2.3879177799290172</v>
      </c>
      <c r="G330" s="285"/>
      <c r="H330" s="360" t="str">
        <f>H316</f>
        <v>Initial Asset Base</v>
      </c>
      <c r="I330" s="361"/>
      <c r="J330" s="284">
        <f ca="1">(A24taxvalue+'Tax value roll forward'!G63)-SUM('Tax value roll forward'!G394:OFFSET('Tax value roll forward'!G394,2,Input!$X$7))</f>
        <v>0</v>
      </c>
      <c r="K330" s="284">
        <f>IF(A24taxremlife="N/A","n/a",A24taxremlife-Input!$X$7-1)</f>
        <v>-2.2028964145799868</v>
      </c>
      <c r="L330" s="286"/>
      <c r="M330" s="9"/>
      <c r="N330" s="9"/>
      <c r="O330" s="9"/>
      <c r="P330" s="9"/>
      <c r="Q330" s="9"/>
      <c r="R330" s="9"/>
      <c r="S330" s="271"/>
      <c r="T330" s="271"/>
      <c r="U330" s="271"/>
      <c r="V330" s="271"/>
      <c r="W330" s="271"/>
      <c r="X330" s="271"/>
      <c r="Y330" s="271"/>
      <c r="Z330" s="271"/>
    </row>
    <row r="331" spans="1:26" ht="14.45" hidden="1" customHeight="1" outlineLevel="1">
      <c r="A331" s="9"/>
      <c r="B331" s="283"/>
      <c r="C331" s="352" t="str">
        <f>C317</f>
        <v>Capex in year</v>
      </c>
      <c r="D331" s="287">
        <f>D317</f>
        <v>1</v>
      </c>
      <c r="E331" s="284">
        <f ca="1">OFFSET('Actual RAB roll forward'!H$35,0,D331-1)-SUM('Actual RAB roll forward'!H345:OFFSET('Actual RAB roll forward'!H345,0,Input!$X$7-1))</f>
        <v>0</v>
      </c>
      <c r="F331" s="284">
        <f ca="1">IF(A24stdlife="N/A","n/a",IF(E331=0,0,A24stdlife+D331-Input!$X$7))</f>
        <v>0</v>
      </c>
      <c r="G331" s="285"/>
      <c r="H331" s="355" t="str">
        <f>H317</f>
        <v>Capex in year</v>
      </c>
      <c r="I331" s="287">
        <f>I317</f>
        <v>1</v>
      </c>
      <c r="J331" s="284">
        <f ca="1">OFFSET('Tax value roll forward'!H$63,0,I331-1)-SUM('Tax value roll forward'!H397:OFFSET('Tax value roll forward'!H397,0,Input!$X$7-1))</f>
        <v>0</v>
      </c>
      <c r="K331" s="284">
        <f ca="1">IF(A24taxstdlife="N/A","n/a",IF(J331=0,0,A24taxstdlife+I331-Input!$X$7))</f>
        <v>0</v>
      </c>
      <c r="L331" s="286"/>
      <c r="M331" s="9"/>
      <c r="N331" s="9"/>
      <c r="O331" s="9"/>
      <c r="P331" s="9"/>
      <c r="Q331" s="9"/>
      <c r="R331" s="9"/>
      <c r="S331" s="271"/>
      <c r="T331" s="271"/>
      <c r="U331" s="271"/>
      <c r="V331" s="271"/>
      <c r="W331" s="271"/>
      <c r="X331" s="271"/>
      <c r="Y331" s="271"/>
      <c r="Z331" s="271"/>
    </row>
    <row r="332" spans="1:26" ht="14.45" hidden="1" customHeight="1" outlineLevel="1">
      <c r="A332" s="9"/>
      <c r="B332" s="283"/>
      <c r="C332" s="353"/>
      <c r="D332" s="287">
        <f t="shared" ref="D332:D340" si="44">D318</f>
        <v>2</v>
      </c>
      <c r="E332" s="284">
        <f ca="1">OFFSET('Actual RAB roll forward'!H$35,0,D332-1)-SUM('Actual RAB roll forward'!H346:OFFSET('Actual RAB roll forward'!H346,0,Input!$X$7-1))</f>
        <v>0</v>
      </c>
      <c r="F332" s="284">
        <f ca="1">IF(A24stdlife="N/A","n/a",IF(E332=0,0,A24stdlife+D332-Input!$X$7))</f>
        <v>0</v>
      </c>
      <c r="G332" s="285"/>
      <c r="H332" s="356"/>
      <c r="I332" s="287">
        <f t="shared" ref="I332:I340" si="45">I318</f>
        <v>2</v>
      </c>
      <c r="J332" s="284">
        <f ca="1">OFFSET('Tax value roll forward'!H$63,0,I332-1)-SUM('Tax value roll forward'!H398:OFFSET('Tax value roll forward'!H398,0,Input!$X$7-1))</f>
        <v>0</v>
      </c>
      <c r="K332" s="284">
        <f ca="1">IF(A24taxstdlife="N/A","n/a",IF(J332=0,0,A24taxstdlife+I332-Input!$X$7))</f>
        <v>0</v>
      </c>
      <c r="L332" s="286"/>
      <c r="M332" s="9"/>
      <c r="N332" s="9"/>
      <c r="O332" s="9"/>
      <c r="P332" s="9"/>
      <c r="Q332" s="9"/>
      <c r="R332" s="9"/>
      <c r="S332" s="271"/>
      <c r="T332" s="271"/>
      <c r="U332" s="271"/>
      <c r="V332" s="271"/>
      <c r="W332" s="271"/>
      <c r="X332" s="271"/>
      <c r="Y332" s="271"/>
      <c r="Z332" s="271"/>
    </row>
    <row r="333" spans="1:26" ht="14.45" hidden="1" customHeight="1" outlineLevel="1">
      <c r="A333" s="9"/>
      <c r="B333" s="283"/>
      <c r="C333" s="353"/>
      <c r="D333" s="287">
        <f t="shared" si="44"/>
        <v>3</v>
      </c>
      <c r="E333" s="284">
        <f ca="1">OFFSET('Actual RAB roll forward'!H$35,0,D333-1)-SUM('Actual RAB roll forward'!H347:OFFSET('Actual RAB roll forward'!H347,0,Input!$X$7-1))</f>
        <v>0</v>
      </c>
      <c r="F333" s="284">
        <f ca="1">IF(A24stdlife="N/A","n/a",IF(E333=0,0,A24stdlife+D333-Input!$X$7))</f>
        <v>0</v>
      </c>
      <c r="G333" s="285"/>
      <c r="H333" s="356"/>
      <c r="I333" s="287">
        <f t="shared" si="45"/>
        <v>3</v>
      </c>
      <c r="J333" s="284">
        <f ca="1">OFFSET('Tax value roll forward'!H$63,0,I333-1)-SUM('Tax value roll forward'!H399:OFFSET('Tax value roll forward'!H399,0,Input!$X$7-1))</f>
        <v>0</v>
      </c>
      <c r="K333" s="284">
        <f ca="1">IF(A24taxstdlife="N/A","n/a",IF(J333=0,0,A24taxstdlife+I333-Input!$X$7))</f>
        <v>0</v>
      </c>
      <c r="L333" s="286"/>
      <c r="M333" s="9"/>
      <c r="N333" s="9"/>
      <c r="O333" s="9"/>
      <c r="P333" s="9"/>
      <c r="Q333" s="9"/>
      <c r="R333" s="9"/>
      <c r="S333" s="271"/>
      <c r="T333" s="271"/>
      <c r="U333" s="271"/>
      <c r="V333" s="271"/>
      <c r="W333" s="271"/>
      <c r="X333" s="271"/>
      <c r="Y333" s="271"/>
      <c r="Z333" s="271"/>
    </row>
    <row r="334" spans="1:26" ht="14.45" hidden="1" customHeight="1" outlineLevel="1">
      <c r="A334" s="9"/>
      <c r="B334" s="283"/>
      <c r="C334" s="353"/>
      <c r="D334" s="287">
        <f t="shared" si="44"/>
        <v>4</v>
      </c>
      <c r="E334" s="284">
        <f ca="1">OFFSET('Actual RAB roll forward'!H$35,0,D334-1)-SUM('Actual RAB roll forward'!H348:OFFSET('Actual RAB roll forward'!H348,0,Input!$X$7-1))</f>
        <v>0</v>
      </c>
      <c r="F334" s="284">
        <f ca="1">IF(A24stdlife="N/A","n/a",IF(E334=0,0,A24stdlife+D334-Input!$X$7))</f>
        <v>0</v>
      </c>
      <c r="G334" s="285"/>
      <c r="H334" s="356"/>
      <c r="I334" s="287">
        <f t="shared" si="45"/>
        <v>4</v>
      </c>
      <c r="J334" s="284">
        <f ca="1">OFFSET('Tax value roll forward'!H$63,0,I334-1)-SUM('Tax value roll forward'!H400:OFFSET('Tax value roll forward'!H400,0,Input!$X$7-1))</f>
        <v>0</v>
      </c>
      <c r="K334" s="284">
        <f ca="1">IF(A24taxstdlife="N/A","n/a",IF(J334=0,0,A24taxstdlife+I334-Input!$X$7))</f>
        <v>0</v>
      </c>
      <c r="L334" s="286"/>
      <c r="M334" s="9"/>
      <c r="N334" s="9"/>
      <c r="O334" s="9"/>
      <c r="P334" s="9"/>
      <c r="Q334" s="9"/>
      <c r="R334" s="9"/>
      <c r="S334" s="271"/>
      <c r="T334" s="271"/>
      <c r="U334" s="271"/>
      <c r="V334" s="271"/>
      <c r="W334" s="271"/>
      <c r="X334" s="271"/>
      <c r="Y334" s="271"/>
      <c r="Z334" s="271"/>
    </row>
    <row r="335" spans="1:26" ht="14.45" hidden="1" customHeight="1" outlineLevel="1">
      <c r="A335" s="9"/>
      <c r="B335" s="283"/>
      <c r="C335" s="353"/>
      <c r="D335" s="287">
        <f t="shared" si="44"/>
        <v>5</v>
      </c>
      <c r="E335" s="284">
        <f ca="1">OFFSET('Actual RAB roll forward'!H$35,0,D335-1)-SUM('Actual RAB roll forward'!H349:OFFSET('Actual RAB roll forward'!H349,0,Input!$X$7-1))</f>
        <v>0</v>
      </c>
      <c r="F335" s="284">
        <f ca="1">IF(A24stdlife="N/A","n/a",IF(E335=0,0,A24stdlife+D335-Input!$X$7))</f>
        <v>0</v>
      </c>
      <c r="G335" s="285"/>
      <c r="H335" s="356"/>
      <c r="I335" s="287">
        <f t="shared" si="45"/>
        <v>5</v>
      </c>
      <c r="J335" s="284">
        <f ca="1">OFFSET('Tax value roll forward'!H$63,0,I335-1)-SUM('Tax value roll forward'!H401:OFFSET('Tax value roll forward'!H401,0,Input!$X$7-1))</f>
        <v>0</v>
      </c>
      <c r="K335" s="284">
        <f ca="1">IF(A24taxstdlife="N/A","n/a",IF(J335=0,0,A24taxstdlife+I335-Input!$X$7))</f>
        <v>0</v>
      </c>
      <c r="L335" s="286"/>
      <c r="M335" s="9"/>
      <c r="N335" s="9"/>
      <c r="O335" s="9"/>
      <c r="P335" s="9"/>
      <c r="Q335" s="9"/>
      <c r="R335" s="9"/>
      <c r="S335" s="271"/>
      <c r="T335" s="271"/>
      <c r="U335" s="271"/>
      <c r="V335" s="271"/>
      <c r="W335" s="271"/>
      <c r="X335" s="271"/>
      <c r="Y335" s="271"/>
      <c r="Z335" s="271"/>
    </row>
    <row r="336" spans="1:26" ht="14.45" hidden="1" customHeight="1" outlineLevel="1">
      <c r="A336" s="9"/>
      <c r="B336" s="283"/>
      <c r="C336" s="353"/>
      <c r="D336" s="287">
        <f t="shared" si="44"/>
        <v>6</v>
      </c>
      <c r="E336" s="284">
        <f ca="1">OFFSET('Actual RAB roll forward'!H$35,0,D336-1)-SUM('Actual RAB roll forward'!H350:OFFSET('Actual RAB roll forward'!H350,0,Input!$X$7-1))</f>
        <v>0</v>
      </c>
      <c r="F336" s="284">
        <f ca="1">IF(A24stdlife="N/A","n/a",IF(E336=0,0,A24stdlife+D336-Input!$X$7))</f>
        <v>0</v>
      </c>
      <c r="G336" s="285"/>
      <c r="H336" s="356"/>
      <c r="I336" s="287">
        <f t="shared" si="45"/>
        <v>6</v>
      </c>
      <c r="J336" s="284">
        <f ca="1">OFFSET('Tax value roll forward'!H$63,0,I336-1)-SUM('Tax value roll forward'!H402:OFFSET('Tax value roll forward'!H402,0,Input!$X$7-1))</f>
        <v>0</v>
      </c>
      <c r="K336" s="284">
        <f ca="1">IF(A24taxstdlife="N/A","n/a",IF(J336=0,0,A24taxstdlife+I336-Input!$X$7))</f>
        <v>0</v>
      </c>
      <c r="L336" s="286"/>
      <c r="M336" s="9"/>
      <c r="N336" s="9"/>
      <c r="O336" s="9"/>
      <c r="P336" s="9"/>
      <c r="Q336" s="9"/>
      <c r="R336" s="9"/>
      <c r="S336" s="271"/>
      <c r="T336" s="271"/>
      <c r="U336" s="271"/>
      <c r="V336" s="271"/>
      <c r="W336" s="271"/>
      <c r="X336" s="271"/>
      <c r="Y336" s="271"/>
      <c r="Z336" s="271"/>
    </row>
    <row r="337" spans="1:26" ht="14.45" hidden="1" customHeight="1" outlineLevel="1">
      <c r="A337" s="9"/>
      <c r="B337" s="283"/>
      <c r="C337" s="353"/>
      <c r="D337" s="287">
        <f t="shared" si="44"/>
        <v>7</v>
      </c>
      <c r="E337" s="284">
        <f ca="1">OFFSET('Actual RAB roll forward'!H$35,0,D337-1)-SUM('Actual RAB roll forward'!H351:OFFSET('Actual RAB roll forward'!H351,0,Input!$X$7-1))</f>
        <v>0</v>
      </c>
      <c r="F337" s="284">
        <f ca="1">IF(A24stdlife="N/A","n/a",IF(E337=0,0,A24stdlife+D337-Input!$X$7))</f>
        <v>0</v>
      </c>
      <c r="G337" s="285"/>
      <c r="H337" s="356"/>
      <c r="I337" s="287">
        <f t="shared" si="45"/>
        <v>7</v>
      </c>
      <c r="J337" s="284">
        <f ca="1">OFFSET('Tax value roll forward'!H$63,0,I337-1)-SUM('Tax value roll forward'!H403:OFFSET('Tax value roll forward'!H403,0,Input!$X$7-1))</f>
        <v>0</v>
      </c>
      <c r="K337" s="284">
        <f ca="1">IF(A24taxstdlife="N/A","n/a",IF(J337=0,0,A24taxstdlife+I337-Input!$X$7))</f>
        <v>0</v>
      </c>
      <c r="L337" s="286"/>
      <c r="M337" s="9"/>
      <c r="N337" s="9"/>
      <c r="O337" s="9"/>
      <c r="P337" s="9"/>
      <c r="Q337" s="9"/>
      <c r="R337" s="9"/>
      <c r="S337" s="271"/>
      <c r="T337" s="271"/>
      <c r="U337" s="271"/>
      <c r="V337" s="271"/>
      <c r="W337" s="271"/>
      <c r="X337" s="271"/>
      <c r="Y337" s="271"/>
      <c r="Z337" s="271"/>
    </row>
    <row r="338" spans="1:26" ht="14.45" hidden="1" customHeight="1" outlineLevel="1">
      <c r="A338" s="9"/>
      <c r="B338" s="283"/>
      <c r="C338" s="353"/>
      <c r="D338" s="287">
        <f t="shared" si="44"/>
        <v>8</v>
      </c>
      <c r="E338" s="284">
        <f ca="1">OFFSET('Actual RAB roll forward'!H$35,0,D338-1)-SUM('Actual RAB roll forward'!H352:OFFSET('Actual RAB roll forward'!H352,0,Input!$X$7-1))</f>
        <v>0</v>
      </c>
      <c r="F338" s="284">
        <f ca="1">IF(A24stdlife="N/A","n/a",IF(E338=0,0,A24stdlife+D338-Input!$X$7))</f>
        <v>0</v>
      </c>
      <c r="G338" s="285"/>
      <c r="H338" s="356"/>
      <c r="I338" s="287">
        <f t="shared" si="45"/>
        <v>8</v>
      </c>
      <c r="J338" s="284">
        <f ca="1">OFFSET('Tax value roll forward'!H$63,0,I338-1)-SUM('Tax value roll forward'!H404:OFFSET('Tax value roll forward'!H404,0,Input!$X$7-1))</f>
        <v>0</v>
      </c>
      <c r="K338" s="284">
        <f ca="1">IF(A24taxstdlife="N/A","n/a",IF(J338=0,0,A24taxstdlife+I338-Input!$X$7))</f>
        <v>0</v>
      </c>
      <c r="L338" s="286"/>
      <c r="M338" s="9"/>
      <c r="N338" s="9"/>
      <c r="O338" s="9"/>
      <c r="P338" s="9"/>
      <c r="Q338" s="9"/>
      <c r="R338" s="9"/>
      <c r="S338" s="271"/>
      <c r="T338" s="271"/>
      <c r="U338" s="271"/>
      <c r="V338" s="271"/>
      <c r="W338" s="271"/>
      <c r="X338" s="271"/>
      <c r="Y338" s="271"/>
      <c r="Z338" s="271"/>
    </row>
    <row r="339" spans="1:26" ht="14.45" hidden="1" customHeight="1" outlineLevel="1">
      <c r="A339" s="9"/>
      <c r="B339" s="283"/>
      <c r="C339" s="353"/>
      <c r="D339" s="287">
        <f t="shared" si="44"/>
        <v>9</v>
      </c>
      <c r="E339" s="284">
        <f ca="1">OFFSET('Actual RAB roll forward'!H$35,0,D339-1)-SUM('Actual RAB roll forward'!H353:OFFSET('Actual RAB roll forward'!H353,0,Input!$X$7-1))</f>
        <v>0</v>
      </c>
      <c r="F339" s="284">
        <f ca="1">IF(A24stdlife="N/A","n/a",IF(E339=0,0,A24stdlife+D339-Input!$X$7))</f>
        <v>0</v>
      </c>
      <c r="G339" s="285"/>
      <c r="H339" s="356"/>
      <c r="I339" s="287">
        <f t="shared" si="45"/>
        <v>9</v>
      </c>
      <c r="J339" s="284">
        <f ca="1">OFFSET('Tax value roll forward'!H$63,0,I339-1)-SUM('Tax value roll forward'!H405:OFFSET('Tax value roll forward'!H405,0,Input!$X$7-1))</f>
        <v>0</v>
      </c>
      <c r="K339" s="284">
        <f ca="1">IF(A24taxstdlife="N/A","n/a",IF(J339=0,0,A24taxstdlife+I339-Input!$X$7))</f>
        <v>0</v>
      </c>
      <c r="L339" s="286"/>
      <c r="M339" s="9"/>
      <c r="N339" s="9"/>
      <c r="O339" s="9"/>
      <c r="P339" s="9"/>
      <c r="Q339" s="9"/>
      <c r="R339" s="9"/>
      <c r="S339" s="271"/>
      <c r="T339" s="271"/>
      <c r="U339" s="271"/>
      <c r="V339" s="271"/>
      <c r="W339" s="271"/>
      <c r="X339" s="271"/>
      <c r="Y339" s="271"/>
      <c r="Z339" s="271"/>
    </row>
    <row r="340" spans="1:26" ht="14.45" hidden="1" customHeight="1" outlineLevel="1">
      <c r="A340" s="9"/>
      <c r="B340" s="283"/>
      <c r="C340" s="354"/>
      <c r="D340" s="89">
        <f t="shared" si="44"/>
        <v>10</v>
      </c>
      <c r="E340" s="284">
        <f ca="1">OFFSET('Actual RAB roll forward'!H$35,0,D340-1)-SUM('Actual RAB roll forward'!H354:OFFSET('Actual RAB roll forward'!H354,0,Input!$X$7-1))</f>
        <v>0</v>
      </c>
      <c r="F340" s="284">
        <f ca="1">IF(A24stdlife="N/A","n/a",IF(E340=0,0,A24stdlife+D340-Input!$X$7))</f>
        <v>0</v>
      </c>
      <c r="G340" s="285"/>
      <c r="H340" s="357"/>
      <c r="I340" s="89">
        <f t="shared" si="45"/>
        <v>10</v>
      </c>
      <c r="J340" s="284">
        <f ca="1">OFFSET('Tax value roll forward'!H$63,0,I340-1)-SUM('Tax value roll forward'!H406:OFFSET('Tax value roll forward'!H406,0,Input!$X$7-1))</f>
        <v>0</v>
      </c>
      <c r="K340" s="284">
        <f ca="1">IF(A24taxstdlife="N/A","n/a",IF(J340=0,0,A24taxstdlife+I340-Input!$X$7))</f>
        <v>0</v>
      </c>
      <c r="L340" s="286"/>
      <c r="M340" s="9"/>
      <c r="N340" s="9"/>
      <c r="O340" s="9"/>
      <c r="P340" s="9"/>
      <c r="Q340" s="9"/>
      <c r="R340" s="9"/>
      <c r="S340" s="271"/>
      <c r="T340" s="271"/>
      <c r="U340" s="271"/>
      <c r="V340" s="271"/>
      <c r="W340" s="271"/>
      <c r="X340" s="271"/>
      <c r="Y340" s="271"/>
      <c r="Z340" s="271"/>
    </row>
    <row r="341" spans="1:26" collapsed="1">
      <c r="A341" s="9"/>
      <c r="B341" s="283"/>
      <c r="C341" s="286" t="str">
        <f>B329</f>
        <v>Plant &amp; Equipment</v>
      </c>
      <c r="D341" s="9"/>
      <c r="E341" s="284">
        <f ca="1">SUM(E330:E340)</f>
        <v>27.620782842355247</v>
      </c>
      <c r="F341" s="284">
        <f ca="1">IF(A24remlife="N/A","n/a",IF(E341=0,0,SUMPRODUCT(E330:E340,F330:F340)/E341))</f>
        <v>2.3879177799290172</v>
      </c>
      <c r="G341" s="285"/>
      <c r="H341" s="45"/>
      <c r="I341" s="284"/>
      <c r="J341" s="284">
        <f ca="1">SUM(J330:J340)</f>
        <v>0</v>
      </c>
      <c r="K341" s="284">
        <f ca="1">IF(A24taxstdlife="N/A","n/a",IF(J341=0,0,SUMPRODUCT(J330:J340,K330:K340)/J341))</f>
        <v>0</v>
      </c>
      <c r="L341" s="286"/>
      <c r="M341" s="9"/>
      <c r="N341" s="9"/>
      <c r="O341" s="9"/>
      <c r="P341" s="9"/>
      <c r="Q341" s="9"/>
      <c r="R341" s="9"/>
      <c r="S341" s="271"/>
      <c r="T341" s="271"/>
      <c r="U341" s="271"/>
      <c r="V341" s="271"/>
      <c r="W341" s="271"/>
      <c r="X341" s="271"/>
      <c r="Y341" s="271"/>
      <c r="Z341" s="271"/>
    </row>
    <row r="342" spans="1:26" hidden="1" outlineLevel="1">
      <c r="A342" s="9"/>
      <c r="B342" s="281"/>
      <c r="C342" s="298"/>
      <c r="D342" s="298"/>
      <c r="E342" s="296"/>
      <c r="F342" s="296"/>
      <c r="G342" s="285"/>
      <c r="H342" s="284"/>
      <c r="I342" s="284"/>
      <c r="J342" s="293"/>
      <c r="K342" s="289"/>
      <c r="L342" s="286"/>
      <c r="M342" s="9"/>
      <c r="N342" s="9"/>
      <c r="O342" s="9"/>
      <c r="P342" s="9"/>
      <c r="Q342" s="9"/>
      <c r="R342" s="9"/>
      <c r="S342" s="271"/>
      <c r="T342" s="271"/>
      <c r="U342" s="271"/>
      <c r="V342" s="271"/>
      <c r="W342" s="271"/>
      <c r="X342" s="271"/>
      <c r="Y342" s="271"/>
      <c r="Z342" s="271"/>
    </row>
    <row r="343" spans="1:26" hidden="1" outlineLevel="1">
      <c r="A343" s="9"/>
      <c r="B343" s="281" t="str">
        <f>Asset25</f>
        <v>Buildings</v>
      </c>
      <c r="C343" s="298"/>
      <c r="D343" s="298"/>
      <c r="E343" s="296"/>
      <c r="F343" s="296"/>
      <c r="G343" s="285"/>
      <c r="H343" s="284"/>
      <c r="I343" s="284"/>
      <c r="J343" s="293"/>
      <c r="K343" s="289"/>
      <c r="L343" s="286"/>
      <c r="M343" s="9"/>
      <c r="N343" s="9"/>
      <c r="O343" s="9"/>
      <c r="P343" s="9"/>
      <c r="Q343" s="9"/>
      <c r="R343" s="9"/>
      <c r="S343" s="271"/>
      <c r="T343" s="271"/>
      <c r="U343" s="271"/>
      <c r="V343" s="271"/>
      <c r="W343" s="271"/>
      <c r="X343" s="271"/>
      <c r="Y343" s="271"/>
      <c r="Z343" s="271"/>
    </row>
    <row r="344" spans="1:26" ht="12.75" hidden="1" customHeight="1" outlineLevel="1">
      <c r="A344" s="9"/>
      <c r="B344" s="283"/>
      <c r="C344" s="358" t="str">
        <f>C330</f>
        <v>Opening RAB</v>
      </c>
      <c r="D344" s="359"/>
      <c r="E344" s="284">
        <f ca="1">A25value-SUM('Actual RAB roll forward'!H356:OFFSET('Actual RAB roll forward'!H356,0,Input!$X$7-1))</f>
        <v>90.824785773679935</v>
      </c>
      <c r="F344" s="284">
        <f>IF(A25remlife="N/A","n/a",A25remlife-Input!$X$7)</f>
        <v>3.8699771529350162</v>
      </c>
      <c r="G344" s="285"/>
      <c r="H344" s="360" t="str">
        <f>H330</f>
        <v>Initial Asset Base</v>
      </c>
      <c r="I344" s="361"/>
      <c r="J344" s="284">
        <f ca="1">(A25taxvalue+'Tax value roll forward'!G64)-SUM('Tax value roll forward'!G408:OFFSET('Tax value roll forward'!G408,2,Input!$X$7))</f>
        <v>132.00337049003963</v>
      </c>
      <c r="K344" s="284">
        <f>IF(A25taxremlife="N/A","n/a",A25taxremlife-Input!$X$7-1)</f>
        <v>20.212999958157823</v>
      </c>
      <c r="L344" s="286"/>
      <c r="M344" s="9"/>
      <c r="N344" s="9"/>
      <c r="O344" s="9"/>
      <c r="P344" s="9"/>
      <c r="Q344" s="9"/>
      <c r="R344" s="9"/>
      <c r="S344" s="271"/>
      <c r="T344" s="271"/>
      <c r="U344" s="271"/>
      <c r="V344" s="271"/>
      <c r="W344" s="271"/>
      <c r="X344" s="271"/>
      <c r="Y344" s="271"/>
      <c r="Z344" s="271"/>
    </row>
    <row r="345" spans="1:26" ht="14.45" hidden="1" customHeight="1" outlineLevel="1">
      <c r="A345" s="9"/>
      <c r="B345" s="283"/>
      <c r="C345" s="352" t="str">
        <f>C331</f>
        <v>Capex in year</v>
      </c>
      <c r="D345" s="287">
        <f>D331</f>
        <v>1</v>
      </c>
      <c r="E345" s="284">
        <f ca="1">OFFSET('Actual RAB roll forward'!H$36,0,D345-1)-SUM('Actual RAB roll forward'!H358:OFFSET('Actual RAB roll forward'!H358,0,Input!$X$7-1))</f>
        <v>0</v>
      </c>
      <c r="F345" s="284">
        <f ca="1">IF(A25stdlife="N/A","n/a",IF(E345=0,0,A25stdlife+D345-Input!$X$7))</f>
        <v>0</v>
      </c>
      <c r="G345" s="285"/>
      <c r="H345" s="355" t="str">
        <f>H331</f>
        <v>Capex in year</v>
      </c>
      <c r="I345" s="287">
        <f>I331</f>
        <v>1</v>
      </c>
      <c r="J345" s="284">
        <f ca="1">OFFSET('Tax value roll forward'!H$64,0,I345-1)-SUM('Tax value roll forward'!H411:OFFSET('Tax value roll forward'!H411,0,Input!$X$7-1))</f>
        <v>0</v>
      </c>
      <c r="K345" s="284">
        <f ca="1">IF(A25taxstdlife="N/A","n/a",IF(J345=0,0,A25taxstdlife+I345-Input!$X$7))</f>
        <v>0</v>
      </c>
      <c r="L345" s="286"/>
      <c r="M345" s="9"/>
      <c r="N345" s="9"/>
      <c r="O345" s="9"/>
      <c r="P345" s="9"/>
      <c r="Q345" s="9"/>
      <c r="R345" s="9"/>
      <c r="S345" s="271"/>
      <c r="T345" s="271"/>
      <c r="U345" s="271"/>
      <c r="V345" s="271"/>
      <c r="W345" s="271"/>
      <c r="X345" s="271"/>
      <c r="Y345" s="271"/>
      <c r="Z345" s="271"/>
    </row>
    <row r="346" spans="1:26" ht="14.45" hidden="1" customHeight="1" outlineLevel="1">
      <c r="A346" s="9"/>
      <c r="B346" s="283"/>
      <c r="C346" s="353"/>
      <c r="D346" s="287">
        <f t="shared" ref="D346:D354" si="46">D332</f>
        <v>2</v>
      </c>
      <c r="E346" s="284">
        <f ca="1">OFFSET('Actual RAB roll forward'!H$36,0,D346-1)-SUM('Actual RAB roll forward'!H359:OFFSET('Actual RAB roll forward'!H359,0,Input!$X$7-1))</f>
        <v>0</v>
      </c>
      <c r="F346" s="284">
        <f ca="1">IF(A25stdlife="N/A","n/a",IF(E346=0,0,A25stdlife+D346-Input!$X$7))</f>
        <v>0</v>
      </c>
      <c r="G346" s="285"/>
      <c r="H346" s="356"/>
      <c r="I346" s="287">
        <f t="shared" ref="I346:I354" si="47">I332</f>
        <v>2</v>
      </c>
      <c r="J346" s="284">
        <f ca="1">OFFSET('Tax value roll forward'!H$64,0,I346-1)-SUM('Tax value roll forward'!H412:OFFSET('Tax value roll forward'!H412,0,Input!$X$7-1))</f>
        <v>0</v>
      </c>
      <c r="K346" s="284">
        <f ca="1">IF(A25taxstdlife="N/A","n/a",IF(J346=0,0,A25taxstdlife+I346-Input!$X$7))</f>
        <v>0</v>
      </c>
      <c r="L346" s="286"/>
      <c r="M346" s="9"/>
      <c r="N346" s="9"/>
      <c r="O346" s="9"/>
      <c r="P346" s="9"/>
      <c r="Q346" s="9"/>
      <c r="R346" s="9"/>
      <c r="S346" s="271"/>
      <c r="T346" s="271"/>
      <c r="U346" s="271"/>
      <c r="V346" s="271"/>
      <c r="W346" s="271"/>
      <c r="X346" s="271"/>
      <c r="Y346" s="271"/>
      <c r="Z346" s="271"/>
    </row>
    <row r="347" spans="1:26" ht="14.45" hidden="1" customHeight="1" outlineLevel="1">
      <c r="A347" s="9"/>
      <c r="B347" s="283"/>
      <c r="C347" s="353"/>
      <c r="D347" s="287">
        <f t="shared" si="46"/>
        <v>3</v>
      </c>
      <c r="E347" s="284">
        <f ca="1">OFFSET('Actual RAB roll forward'!H$36,0,D347-1)-SUM('Actual RAB roll forward'!H360:OFFSET('Actual RAB roll forward'!H360,0,Input!$X$7-1))</f>
        <v>0</v>
      </c>
      <c r="F347" s="284">
        <f ca="1">IF(A25stdlife="N/A","n/a",IF(E347=0,0,A25stdlife+D347-Input!$X$7))</f>
        <v>0</v>
      </c>
      <c r="G347" s="285"/>
      <c r="H347" s="356"/>
      <c r="I347" s="287">
        <f t="shared" si="47"/>
        <v>3</v>
      </c>
      <c r="J347" s="284">
        <f ca="1">OFFSET('Tax value roll forward'!H$64,0,I347-1)-SUM('Tax value roll forward'!H413:OFFSET('Tax value roll forward'!H413,0,Input!$X$7-1))</f>
        <v>0</v>
      </c>
      <c r="K347" s="284">
        <f ca="1">IF(A25taxstdlife="N/A","n/a",IF(J347=0,0,A25taxstdlife+I347-Input!$X$7))</f>
        <v>0</v>
      </c>
      <c r="L347" s="286"/>
      <c r="M347" s="9"/>
      <c r="N347" s="9"/>
      <c r="O347" s="9"/>
      <c r="P347" s="9"/>
      <c r="Q347" s="9"/>
      <c r="R347" s="9"/>
      <c r="S347" s="271"/>
      <c r="T347" s="271"/>
      <c r="U347" s="271"/>
      <c r="V347" s="271"/>
      <c r="W347" s="271"/>
      <c r="X347" s="271"/>
      <c r="Y347" s="271"/>
      <c r="Z347" s="271"/>
    </row>
    <row r="348" spans="1:26" ht="14.45" hidden="1" customHeight="1" outlineLevel="1">
      <c r="A348" s="9"/>
      <c r="B348" s="283"/>
      <c r="C348" s="353"/>
      <c r="D348" s="287">
        <f t="shared" si="46"/>
        <v>4</v>
      </c>
      <c r="E348" s="284">
        <f ca="1">OFFSET('Actual RAB roll forward'!H$36,0,D348-1)-SUM('Actual RAB roll forward'!H361:OFFSET('Actual RAB roll forward'!H361,0,Input!$X$7-1))</f>
        <v>0</v>
      </c>
      <c r="F348" s="284">
        <f ca="1">IF(A25stdlife="N/A","n/a",IF(E348=0,0,A25stdlife+D348-Input!$X$7))</f>
        <v>0</v>
      </c>
      <c r="G348" s="285"/>
      <c r="H348" s="356"/>
      <c r="I348" s="287">
        <f t="shared" si="47"/>
        <v>4</v>
      </c>
      <c r="J348" s="284">
        <f ca="1">OFFSET('Tax value roll forward'!H$64,0,I348-1)-SUM('Tax value roll forward'!H414:OFFSET('Tax value roll forward'!H414,0,Input!$X$7-1))</f>
        <v>0</v>
      </c>
      <c r="K348" s="284">
        <f ca="1">IF(A25taxstdlife="N/A","n/a",IF(J348=0,0,A25taxstdlife+I348-Input!$X$7))</f>
        <v>0</v>
      </c>
      <c r="L348" s="286"/>
      <c r="M348" s="9"/>
      <c r="N348" s="9"/>
      <c r="O348" s="9"/>
      <c r="P348" s="9"/>
      <c r="Q348" s="9"/>
      <c r="R348" s="9"/>
      <c r="S348" s="271"/>
      <c r="T348" s="271"/>
      <c r="U348" s="271"/>
      <c r="V348" s="271"/>
      <c r="W348" s="271"/>
      <c r="X348" s="271"/>
      <c r="Y348" s="271"/>
      <c r="Z348" s="271"/>
    </row>
    <row r="349" spans="1:26" ht="14.45" hidden="1" customHeight="1" outlineLevel="1">
      <c r="A349" s="9"/>
      <c r="B349" s="283"/>
      <c r="C349" s="353"/>
      <c r="D349" s="287">
        <f t="shared" si="46"/>
        <v>5</v>
      </c>
      <c r="E349" s="284">
        <f ca="1">OFFSET('Actual RAB roll forward'!H$36,0,D349-1)-SUM('Actual RAB roll forward'!H362:OFFSET('Actual RAB roll forward'!H362,0,Input!$X$7-1))</f>
        <v>0</v>
      </c>
      <c r="F349" s="284">
        <f ca="1">IF(A25stdlife="N/A","n/a",IF(E349=0,0,A25stdlife+D349-Input!$X$7))</f>
        <v>0</v>
      </c>
      <c r="G349" s="285"/>
      <c r="H349" s="356"/>
      <c r="I349" s="287">
        <f t="shared" si="47"/>
        <v>5</v>
      </c>
      <c r="J349" s="284">
        <f ca="1">OFFSET('Tax value roll forward'!H$64,0,I349-1)-SUM('Tax value roll forward'!H415:OFFSET('Tax value roll forward'!H415,0,Input!$X$7-1))</f>
        <v>0</v>
      </c>
      <c r="K349" s="284">
        <f ca="1">IF(A25taxstdlife="N/A","n/a",IF(J349=0,0,A25taxstdlife+I349-Input!$X$7))</f>
        <v>0</v>
      </c>
      <c r="L349" s="286"/>
      <c r="M349" s="9"/>
      <c r="N349" s="9"/>
      <c r="O349" s="9"/>
      <c r="P349" s="9"/>
      <c r="Q349" s="9"/>
      <c r="R349" s="9"/>
      <c r="S349" s="271"/>
      <c r="T349" s="271"/>
      <c r="U349" s="271"/>
      <c r="V349" s="271"/>
      <c r="W349" s="271"/>
      <c r="X349" s="271"/>
      <c r="Y349" s="271"/>
      <c r="Z349" s="271"/>
    </row>
    <row r="350" spans="1:26" ht="14.45" hidden="1" customHeight="1" outlineLevel="1">
      <c r="A350" s="9"/>
      <c r="B350" s="283"/>
      <c r="C350" s="353"/>
      <c r="D350" s="287">
        <f t="shared" si="46"/>
        <v>6</v>
      </c>
      <c r="E350" s="284">
        <f ca="1">OFFSET('Actual RAB roll forward'!H$36,0,D350-1)-SUM('Actual RAB roll forward'!H363:OFFSET('Actual RAB roll forward'!H363,0,Input!$X$7-1))</f>
        <v>0</v>
      </c>
      <c r="F350" s="284">
        <f ca="1">IF(A25stdlife="N/A","n/a",IF(E350=0,0,A25stdlife+D350-Input!$X$7))</f>
        <v>0</v>
      </c>
      <c r="G350" s="285"/>
      <c r="H350" s="356"/>
      <c r="I350" s="287">
        <f t="shared" si="47"/>
        <v>6</v>
      </c>
      <c r="J350" s="284">
        <f ca="1">OFFSET('Tax value roll forward'!H$64,0,I350-1)-SUM('Tax value roll forward'!H416:OFFSET('Tax value roll forward'!H416,0,Input!$X$7-1))</f>
        <v>0</v>
      </c>
      <c r="K350" s="284">
        <f ca="1">IF(A25taxstdlife="N/A","n/a",IF(J350=0,0,A25taxstdlife+I350-Input!$X$7))</f>
        <v>0</v>
      </c>
      <c r="L350" s="286"/>
      <c r="M350" s="9"/>
      <c r="N350" s="9"/>
      <c r="O350" s="9"/>
      <c r="P350" s="9"/>
      <c r="Q350" s="9"/>
      <c r="R350" s="9"/>
      <c r="S350" s="271"/>
      <c r="T350" s="271"/>
      <c r="U350" s="271"/>
      <c r="V350" s="271"/>
      <c r="W350" s="271"/>
      <c r="X350" s="271"/>
      <c r="Y350" s="271"/>
      <c r="Z350" s="271"/>
    </row>
    <row r="351" spans="1:26" ht="14.45" hidden="1" customHeight="1" outlineLevel="1">
      <c r="A351" s="9"/>
      <c r="B351" s="283"/>
      <c r="C351" s="353"/>
      <c r="D351" s="287">
        <f t="shared" si="46"/>
        <v>7</v>
      </c>
      <c r="E351" s="284">
        <f ca="1">OFFSET('Actual RAB roll forward'!H$36,0,D351-1)-SUM('Actual RAB roll forward'!H364:OFFSET('Actual RAB roll forward'!H364,0,Input!$X$7-1))</f>
        <v>0</v>
      </c>
      <c r="F351" s="284">
        <f ca="1">IF(A25stdlife="N/A","n/a",IF(E351=0,0,A25stdlife+D351-Input!$X$7))</f>
        <v>0</v>
      </c>
      <c r="G351" s="285"/>
      <c r="H351" s="356"/>
      <c r="I351" s="287">
        <f t="shared" si="47"/>
        <v>7</v>
      </c>
      <c r="J351" s="284">
        <f ca="1">OFFSET('Tax value roll forward'!H$64,0,I351-1)-SUM('Tax value roll forward'!H417:OFFSET('Tax value roll forward'!H417,0,Input!$X$7-1))</f>
        <v>0</v>
      </c>
      <c r="K351" s="284">
        <f ca="1">IF(A25taxstdlife="N/A","n/a",IF(J351=0,0,A25taxstdlife+I351-Input!$X$7))</f>
        <v>0</v>
      </c>
      <c r="L351" s="286"/>
      <c r="M351" s="9"/>
      <c r="N351" s="9"/>
      <c r="O351" s="9"/>
      <c r="P351" s="9"/>
      <c r="Q351" s="9"/>
      <c r="R351" s="9"/>
      <c r="S351" s="271"/>
      <c r="T351" s="271"/>
      <c r="U351" s="271"/>
      <c r="V351" s="271"/>
      <c r="W351" s="271"/>
      <c r="X351" s="271"/>
      <c r="Y351" s="271"/>
      <c r="Z351" s="271"/>
    </row>
    <row r="352" spans="1:26" ht="14.45" hidden="1" customHeight="1" outlineLevel="1">
      <c r="A352" s="9"/>
      <c r="B352" s="283"/>
      <c r="C352" s="353"/>
      <c r="D352" s="287">
        <f t="shared" si="46"/>
        <v>8</v>
      </c>
      <c r="E352" s="284">
        <f ca="1">OFFSET('Actual RAB roll forward'!H$36,0,D352-1)-SUM('Actual RAB roll forward'!H365:OFFSET('Actual RAB roll forward'!H365,0,Input!$X$7-1))</f>
        <v>0</v>
      </c>
      <c r="F352" s="284">
        <f ca="1">IF(A25stdlife="N/A","n/a",IF(E352=0,0,A25stdlife+D352-Input!$X$7))</f>
        <v>0</v>
      </c>
      <c r="G352" s="285"/>
      <c r="H352" s="356"/>
      <c r="I352" s="287">
        <f t="shared" si="47"/>
        <v>8</v>
      </c>
      <c r="J352" s="284">
        <f ca="1">OFFSET('Tax value roll forward'!H$64,0,I352-1)-SUM('Tax value roll forward'!H418:OFFSET('Tax value roll forward'!H418,0,Input!$X$7-1))</f>
        <v>0</v>
      </c>
      <c r="K352" s="284">
        <f ca="1">IF(A25taxstdlife="N/A","n/a",IF(J352=0,0,A25taxstdlife+I352-Input!$X$7))</f>
        <v>0</v>
      </c>
      <c r="L352" s="286"/>
      <c r="M352" s="9"/>
      <c r="N352" s="9"/>
      <c r="O352" s="9"/>
      <c r="P352" s="9"/>
      <c r="Q352" s="9"/>
      <c r="R352" s="9"/>
      <c r="S352" s="271"/>
      <c r="T352" s="271"/>
      <c r="U352" s="271"/>
      <c r="V352" s="271"/>
      <c r="W352" s="271"/>
      <c r="X352" s="271"/>
      <c r="Y352" s="271"/>
      <c r="Z352" s="271"/>
    </row>
    <row r="353" spans="1:26" ht="14.45" hidden="1" customHeight="1" outlineLevel="1">
      <c r="A353" s="9"/>
      <c r="B353" s="283"/>
      <c r="C353" s="353"/>
      <c r="D353" s="287">
        <f t="shared" si="46"/>
        <v>9</v>
      </c>
      <c r="E353" s="284">
        <f ca="1">OFFSET('Actual RAB roll forward'!H$36,0,D353-1)-SUM('Actual RAB roll forward'!H366:OFFSET('Actual RAB roll forward'!H366,0,Input!$X$7-1))</f>
        <v>0</v>
      </c>
      <c r="F353" s="284">
        <f ca="1">IF(A25stdlife="N/A","n/a",IF(E353=0,0,A25stdlife+D353-Input!$X$7))</f>
        <v>0</v>
      </c>
      <c r="G353" s="285"/>
      <c r="H353" s="356"/>
      <c r="I353" s="287">
        <f t="shared" si="47"/>
        <v>9</v>
      </c>
      <c r="J353" s="284">
        <f ca="1">OFFSET('Tax value roll forward'!H$64,0,I353-1)-SUM('Tax value roll forward'!H419:OFFSET('Tax value roll forward'!H419,0,Input!$X$7-1))</f>
        <v>0</v>
      </c>
      <c r="K353" s="284">
        <f ca="1">IF(A25taxstdlife="N/A","n/a",IF(J353=0,0,A25taxstdlife+I353-Input!$X$7))</f>
        <v>0</v>
      </c>
      <c r="L353" s="286"/>
      <c r="M353" s="9"/>
      <c r="N353" s="9"/>
      <c r="O353" s="9"/>
      <c r="P353" s="9"/>
      <c r="Q353" s="9"/>
      <c r="R353" s="9"/>
      <c r="S353" s="271"/>
      <c r="T353" s="271"/>
      <c r="U353" s="271"/>
      <c r="V353" s="271"/>
      <c r="W353" s="271"/>
      <c r="X353" s="271"/>
      <c r="Y353" s="271"/>
      <c r="Z353" s="271"/>
    </row>
    <row r="354" spans="1:26" ht="14.45" hidden="1" customHeight="1" outlineLevel="1">
      <c r="A354" s="9"/>
      <c r="B354" s="283"/>
      <c r="C354" s="354"/>
      <c r="D354" s="89">
        <f t="shared" si="46"/>
        <v>10</v>
      </c>
      <c r="E354" s="284">
        <f ca="1">OFFSET('Actual RAB roll forward'!H$36,0,D354-1)-SUM('Actual RAB roll forward'!H367:OFFSET('Actual RAB roll forward'!H367,0,Input!$X$7-1))</f>
        <v>0</v>
      </c>
      <c r="F354" s="284">
        <f ca="1">IF(A25stdlife="N/A","n/a",IF(E354=0,0,A25stdlife+D354-Input!$X$7))</f>
        <v>0</v>
      </c>
      <c r="G354" s="285"/>
      <c r="H354" s="357"/>
      <c r="I354" s="89">
        <f t="shared" si="47"/>
        <v>10</v>
      </c>
      <c r="J354" s="284">
        <f ca="1">OFFSET('Tax value roll forward'!H$64,0,I354-1)-SUM('Tax value roll forward'!H420:OFFSET('Tax value roll forward'!H420,0,Input!$X$7-1))</f>
        <v>0</v>
      </c>
      <c r="K354" s="284">
        <f ca="1">IF(A25taxstdlife="N/A","n/a",IF(J354=0,0,A25taxstdlife+I354-Input!$X$7))</f>
        <v>0</v>
      </c>
      <c r="L354" s="286"/>
      <c r="M354" s="9"/>
      <c r="N354" s="9"/>
      <c r="O354" s="9"/>
      <c r="P354" s="9"/>
      <c r="Q354" s="9"/>
      <c r="R354" s="9"/>
      <c r="S354" s="271"/>
      <c r="T354" s="271"/>
      <c r="U354" s="271"/>
      <c r="V354" s="271"/>
      <c r="W354" s="271"/>
      <c r="X354" s="271"/>
      <c r="Y354" s="271"/>
      <c r="Z354" s="271"/>
    </row>
    <row r="355" spans="1:26" collapsed="1">
      <c r="A355" s="9"/>
      <c r="B355" s="283"/>
      <c r="C355" s="286" t="str">
        <f>B343</f>
        <v>Buildings</v>
      </c>
      <c r="D355" s="9"/>
      <c r="E355" s="284">
        <f ca="1">SUM(E344:E354)</f>
        <v>90.824785773679935</v>
      </c>
      <c r="F355" s="284">
        <f ca="1">IF(A25remlife="N/A","n/a",IF(E355=0,0,SUMPRODUCT(E344:E354,F344:F354)/E355))</f>
        <v>3.8699771529350162</v>
      </c>
      <c r="G355" s="285"/>
      <c r="H355" s="45"/>
      <c r="I355" s="284"/>
      <c r="J355" s="284">
        <f ca="1">SUM(J344:J354)</f>
        <v>132.00337049003963</v>
      </c>
      <c r="K355" s="284">
        <f ca="1">IF(A25taxstdlife="N/A","n/a",IF(J355=0,0,SUMPRODUCT(J344:J354,K344:K354)/J355))</f>
        <v>20.212999958157823</v>
      </c>
      <c r="L355" s="286"/>
      <c r="M355" s="9"/>
      <c r="N355" s="9"/>
      <c r="O355" s="9"/>
      <c r="P355" s="9"/>
      <c r="Q355" s="9"/>
      <c r="R355" s="9"/>
      <c r="S355" s="271"/>
      <c r="T355" s="271"/>
      <c r="U355" s="271"/>
      <c r="V355" s="271"/>
      <c r="W355" s="271"/>
      <c r="X355" s="271"/>
      <c r="Y355" s="271"/>
      <c r="Z355" s="271"/>
    </row>
    <row r="356" spans="1:26" hidden="1" outlineLevel="1">
      <c r="A356" s="9"/>
      <c r="B356" s="281"/>
      <c r="C356" s="298"/>
      <c r="D356" s="298"/>
      <c r="E356" s="296"/>
      <c r="F356" s="296"/>
      <c r="G356" s="285"/>
      <c r="H356" s="284"/>
      <c r="I356" s="284"/>
      <c r="J356" s="293"/>
      <c r="K356" s="289"/>
      <c r="L356" s="286"/>
      <c r="M356" s="9"/>
      <c r="N356" s="9"/>
      <c r="O356" s="9"/>
      <c r="P356" s="9"/>
      <c r="Q356" s="9"/>
      <c r="R356" s="9"/>
      <c r="S356" s="271"/>
      <c r="T356" s="271"/>
      <c r="U356" s="271"/>
      <c r="V356" s="271"/>
      <c r="W356" s="271"/>
      <c r="X356" s="271"/>
      <c r="Y356" s="271"/>
      <c r="Z356" s="271"/>
    </row>
    <row r="357" spans="1:26" hidden="1" outlineLevel="1">
      <c r="A357" s="9"/>
      <c r="B357" s="281" t="str">
        <f>Asset26</f>
        <v>Land &amp; Easements</v>
      </c>
      <c r="C357" s="298"/>
      <c r="D357" s="298"/>
      <c r="E357" s="296"/>
      <c r="F357" s="296"/>
      <c r="G357" s="285"/>
      <c r="H357" s="284"/>
      <c r="I357" s="284"/>
      <c r="J357" s="293"/>
      <c r="K357" s="289"/>
      <c r="L357" s="286"/>
      <c r="M357" s="9"/>
      <c r="N357" s="9"/>
      <c r="O357" s="9"/>
      <c r="P357" s="9"/>
      <c r="Q357" s="9"/>
      <c r="R357" s="9"/>
      <c r="S357" s="271"/>
      <c r="T357" s="271"/>
      <c r="U357" s="271"/>
      <c r="V357" s="271"/>
      <c r="W357" s="271"/>
      <c r="X357" s="271"/>
      <c r="Y357" s="271"/>
      <c r="Z357" s="271"/>
    </row>
    <row r="358" spans="1:26" ht="12.75" hidden="1" customHeight="1" outlineLevel="1">
      <c r="A358" s="9"/>
      <c r="B358" s="283"/>
      <c r="C358" s="358" t="str">
        <f>C344</f>
        <v>Opening RAB</v>
      </c>
      <c r="D358" s="359"/>
      <c r="E358" s="284">
        <f ca="1">A26value-SUM('Actual RAB roll forward'!H369:OFFSET('Actual RAB roll forward'!H369,0,Input!$X$7-1))</f>
        <v>15.061337</v>
      </c>
      <c r="F358" s="284" t="str">
        <f>IF(A26remlife="N/A","n/a",A26remlife-Input!$X$7)</f>
        <v>n/a</v>
      </c>
      <c r="G358" s="285"/>
      <c r="H358" s="360" t="str">
        <f>H344</f>
        <v>Initial Asset Base</v>
      </c>
      <c r="I358" s="361"/>
      <c r="J358" s="284">
        <f ca="1">(A26taxvalue+'Tax value roll forward'!G65)-SUM('Tax value roll forward'!G422:OFFSET('Tax value roll forward'!G422,2,Input!$X$7))</f>
        <v>27.759779000000002</v>
      </c>
      <c r="K358" s="284" t="str">
        <f>IF(A26taxremlife="N/A","n/a",A26taxremlife-Input!$X$7-1)</f>
        <v>n/a</v>
      </c>
      <c r="L358" s="286"/>
      <c r="M358" s="9"/>
      <c r="N358" s="9"/>
      <c r="O358" s="9"/>
      <c r="P358" s="9"/>
      <c r="Q358" s="9"/>
      <c r="R358" s="9"/>
      <c r="S358" s="271"/>
      <c r="T358" s="271"/>
      <c r="U358" s="271"/>
      <c r="V358" s="271"/>
      <c r="W358" s="271"/>
      <c r="X358" s="271"/>
      <c r="Y358" s="271"/>
      <c r="Z358" s="271"/>
    </row>
    <row r="359" spans="1:26" ht="14.45" hidden="1" customHeight="1" outlineLevel="1">
      <c r="A359" s="9"/>
      <c r="B359" s="283"/>
      <c r="C359" s="352" t="str">
        <f>C345</f>
        <v>Capex in year</v>
      </c>
      <c r="D359" s="287">
        <f>D345</f>
        <v>1</v>
      </c>
      <c r="E359" s="284">
        <f ca="1">OFFSET('Actual RAB roll forward'!H$37,0,D359-1)-SUM('Actual RAB roll forward'!H371:OFFSET('Actual RAB roll forward'!H371,0,Input!$X$7-1))</f>
        <v>0</v>
      </c>
      <c r="F359" s="284" t="str">
        <f>IF(A26stdlife="N/A","n/a",IF(E359=0,0,A26stdlife+D359-Input!$X$7))</f>
        <v>n/a</v>
      </c>
      <c r="G359" s="285"/>
      <c r="H359" s="355" t="str">
        <f>H345</f>
        <v>Capex in year</v>
      </c>
      <c r="I359" s="287">
        <f>I345</f>
        <v>1</v>
      </c>
      <c r="J359" s="284">
        <f ca="1">OFFSET('Tax value roll forward'!H$65,0,I359-1)-SUM('Tax value roll forward'!H425:OFFSET('Tax value roll forward'!H425,0,Input!$X$7-1))</f>
        <v>0</v>
      </c>
      <c r="K359" s="284" t="str">
        <f>IF(A26taxstdlife="N/A","n/a",IF(J359=0,0,A26taxstdlife+I359-Input!$X$7))</f>
        <v>n/a</v>
      </c>
      <c r="L359" s="286"/>
      <c r="M359" s="9"/>
      <c r="N359" s="9"/>
      <c r="O359" s="9"/>
      <c r="P359" s="9"/>
      <c r="Q359" s="9"/>
      <c r="R359" s="9"/>
      <c r="S359" s="271"/>
      <c r="T359" s="271"/>
      <c r="U359" s="271"/>
      <c r="V359" s="271"/>
      <c r="W359" s="271"/>
      <c r="X359" s="271"/>
      <c r="Y359" s="271"/>
      <c r="Z359" s="271"/>
    </row>
    <row r="360" spans="1:26" ht="14.45" hidden="1" customHeight="1" outlineLevel="1">
      <c r="A360" s="9"/>
      <c r="B360" s="283"/>
      <c r="C360" s="353"/>
      <c r="D360" s="287">
        <f t="shared" ref="D360:D368" si="48">D346</f>
        <v>2</v>
      </c>
      <c r="E360" s="284">
        <f ca="1">OFFSET('Actual RAB roll forward'!H$37,0,D360-1)-SUM('Actual RAB roll forward'!H372:OFFSET('Actual RAB roll forward'!H372,0,Input!$X$7-1))</f>
        <v>0</v>
      </c>
      <c r="F360" s="284" t="str">
        <f>IF(A26stdlife="N/A","n/a",IF(E360=0,0,A26stdlife+D360-Input!$X$7))</f>
        <v>n/a</v>
      </c>
      <c r="G360" s="285"/>
      <c r="H360" s="356"/>
      <c r="I360" s="287">
        <f t="shared" ref="I360:I368" si="49">I346</f>
        <v>2</v>
      </c>
      <c r="J360" s="284">
        <f ca="1">OFFSET('Tax value roll forward'!H$65,0,I360-1)-SUM('Tax value roll forward'!H426:OFFSET('Tax value roll forward'!H426,0,Input!$X$7-1))</f>
        <v>0</v>
      </c>
      <c r="K360" s="284" t="str">
        <f>IF(A26taxstdlife="N/A","n/a",IF(J360=0,0,A26taxstdlife+I360-Input!$X$7))</f>
        <v>n/a</v>
      </c>
      <c r="L360" s="286"/>
      <c r="M360" s="9"/>
      <c r="N360" s="9"/>
      <c r="O360" s="9"/>
      <c r="P360" s="9"/>
      <c r="Q360" s="9"/>
      <c r="R360" s="9"/>
      <c r="S360" s="271"/>
      <c r="T360" s="271"/>
      <c r="U360" s="271"/>
      <c r="V360" s="271"/>
      <c r="W360" s="271"/>
      <c r="X360" s="271"/>
      <c r="Y360" s="271"/>
      <c r="Z360" s="271"/>
    </row>
    <row r="361" spans="1:26" ht="14.45" hidden="1" customHeight="1" outlineLevel="1">
      <c r="A361" s="9"/>
      <c r="B361" s="283"/>
      <c r="C361" s="353"/>
      <c r="D361" s="287">
        <f t="shared" si="48"/>
        <v>3</v>
      </c>
      <c r="E361" s="284">
        <f ca="1">OFFSET('Actual RAB roll forward'!H$37,0,D361-1)-SUM('Actual RAB roll forward'!H373:OFFSET('Actual RAB roll forward'!H373,0,Input!$X$7-1))</f>
        <v>0</v>
      </c>
      <c r="F361" s="284" t="str">
        <f>IF(A26stdlife="N/A","n/a",IF(E361=0,0,A26stdlife+D361-Input!$X$7))</f>
        <v>n/a</v>
      </c>
      <c r="G361" s="285"/>
      <c r="H361" s="356"/>
      <c r="I361" s="287">
        <f t="shared" si="49"/>
        <v>3</v>
      </c>
      <c r="J361" s="284">
        <f ca="1">OFFSET('Tax value roll forward'!H$65,0,I361-1)-SUM('Tax value roll forward'!H427:OFFSET('Tax value roll forward'!H427,0,Input!$X$7-1))</f>
        <v>0</v>
      </c>
      <c r="K361" s="284" t="str">
        <f>IF(A26taxstdlife="N/A","n/a",IF(J361=0,0,A26taxstdlife+I361-Input!$X$7))</f>
        <v>n/a</v>
      </c>
      <c r="L361" s="286"/>
      <c r="M361" s="9"/>
      <c r="N361" s="9"/>
      <c r="O361" s="9"/>
      <c r="P361" s="9"/>
      <c r="Q361" s="9"/>
      <c r="R361" s="9"/>
      <c r="S361" s="271"/>
      <c r="T361" s="271"/>
      <c r="U361" s="271"/>
      <c r="V361" s="271"/>
      <c r="W361" s="271"/>
      <c r="X361" s="271"/>
      <c r="Y361" s="271"/>
      <c r="Z361" s="271"/>
    </row>
    <row r="362" spans="1:26" ht="14.45" hidden="1" customHeight="1" outlineLevel="1">
      <c r="A362" s="9"/>
      <c r="B362" s="283"/>
      <c r="C362" s="353"/>
      <c r="D362" s="287">
        <f t="shared" si="48"/>
        <v>4</v>
      </c>
      <c r="E362" s="284">
        <f ca="1">OFFSET('Actual RAB roll forward'!H$37,0,D362-1)-SUM('Actual RAB roll forward'!H374:OFFSET('Actual RAB roll forward'!H374,0,Input!$X$7-1))</f>
        <v>0</v>
      </c>
      <c r="F362" s="284" t="str">
        <f>IF(A26stdlife="N/A","n/a",IF(E362=0,0,A26stdlife+D362-Input!$X$7))</f>
        <v>n/a</v>
      </c>
      <c r="G362" s="285"/>
      <c r="H362" s="356"/>
      <c r="I362" s="287">
        <f t="shared" si="49"/>
        <v>4</v>
      </c>
      <c r="J362" s="284">
        <f ca="1">OFFSET('Tax value roll forward'!H$65,0,I362-1)-SUM('Tax value roll forward'!H428:OFFSET('Tax value roll forward'!H428,0,Input!$X$7-1))</f>
        <v>0</v>
      </c>
      <c r="K362" s="284" t="str">
        <f>IF(A26taxstdlife="N/A","n/a",IF(J362=0,0,A26taxstdlife+I362-Input!$X$7))</f>
        <v>n/a</v>
      </c>
      <c r="L362" s="286"/>
      <c r="M362" s="9"/>
      <c r="N362" s="9"/>
      <c r="O362" s="9"/>
      <c r="P362" s="9"/>
      <c r="Q362" s="9"/>
      <c r="R362" s="9"/>
      <c r="S362" s="271"/>
      <c r="T362" s="271"/>
      <c r="U362" s="271"/>
      <c r="V362" s="271"/>
      <c r="W362" s="271"/>
      <c r="X362" s="271"/>
      <c r="Y362" s="271"/>
      <c r="Z362" s="271"/>
    </row>
    <row r="363" spans="1:26" ht="14.45" hidden="1" customHeight="1" outlineLevel="1">
      <c r="A363" s="9"/>
      <c r="B363" s="283"/>
      <c r="C363" s="353"/>
      <c r="D363" s="287">
        <f t="shared" si="48"/>
        <v>5</v>
      </c>
      <c r="E363" s="284">
        <f ca="1">OFFSET('Actual RAB roll forward'!H$37,0,D363-1)-SUM('Actual RAB roll forward'!H375:OFFSET('Actual RAB roll forward'!H375,0,Input!$X$7-1))</f>
        <v>0</v>
      </c>
      <c r="F363" s="284" t="str">
        <f>IF(A26stdlife="N/A","n/a",IF(E363=0,0,A26stdlife+D363-Input!$X$7))</f>
        <v>n/a</v>
      </c>
      <c r="G363" s="285"/>
      <c r="H363" s="356"/>
      <c r="I363" s="287">
        <f t="shared" si="49"/>
        <v>5</v>
      </c>
      <c r="J363" s="284">
        <f ca="1">OFFSET('Tax value roll forward'!H$65,0,I363-1)-SUM('Tax value roll forward'!H429:OFFSET('Tax value roll forward'!H429,0,Input!$X$7-1))</f>
        <v>0</v>
      </c>
      <c r="K363" s="284" t="str">
        <f>IF(A26taxstdlife="N/A","n/a",IF(J363=0,0,A26taxstdlife+I363-Input!$X$7))</f>
        <v>n/a</v>
      </c>
      <c r="L363" s="286"/>
      <c r="M363" s="9"/>
      <c r="N363" s="9"/>
      <c r="O363" s="9"/>
      <c r="P363" s="9"/>
      <c r="Q363" s="9"/>
      <c r="R363" s="9"/>
      <c r="S363" s="271"/>
      <c r="T363" s="271"/>
      <c r="U363" s="271"/>
      <c r="V363" s="271"/>
      <c r="W363" s="271"/>
      <c r="X363" s="271"/>
      <c r="Y363" s="271"/>
      <c r="Z363" s="271"/>
    </row>
    <row r="364" spans="1:26" ht="14.45" hidden="1" customHeight="1" outlineLevel="1">
      <c r="A364" s="9"/>
      <c r="B364" s="283"/>
      <c r="C364" s="353"/>
      <c r="D364" s="287">
        <f t="shared" si="48"/>
        <v>6</v>
      </c>
      <c r="E364" s="284">
        <f ca="1">OFFSET('Actual RAB roll forward'!H$37,0,D364-1)-SUM('Actual RAB roll forward'!H376:OFFSET('Actual RAB roll forward'!H376,0,Input!$X$7-1))</f>
        <v>0</v>
      </c>
      <c r="F364" s="284" t="str">
        <f>IF(A26stdlife="N/A","n/a",IF(E364=0,0,A26stdlife+D364-Input!$X$7))</f>
        <v>n/a</v>
      </c>
      <c r="G364" s="285"/>
      <c r="H364" s="356"/>
      <c r="I364" s="287">
        <f t="shared" si="49"/>
        <v>6</v>
      </c>
      <c r="J364" s="284">
        <f ca="1">OFFSET('Tax value roll forward'!H$65,0,I364-1)-SUM('Tax value roll forward'!H430:OFFSET('Tax value roll forward'!H430,0,Input!$X$7-1))</f>
        <v>0</v>
      </c>
      <c r="K364" s="284" t="str">
        <f>IF(A26taxstdlife="N/A","n/a",IF(J364=0,0,A26taxstdlife+I364-Input!$X$7))</f>
        <v>n/a</v>
      </c>
      <c r="L364" s="286"/>
      <c r="M364" s="9"/>
      <c r="N364" s="9"/>
      <c r="O364" s="9"/>
      <c r="P364" s="9"/>
      <c r="Q364" s="9"/>
      <c r="R364" s="9"/>
      <c r="S364" s="271"/>
      <c r="T364" s="271"/>
      <c r="U364" s="271"/>
      <c r="V364" s="271"/>
      <c r="W364" s="271"/>
      <c r="X364" s="271"/>
      <c r="Y364" s="271"/>
      <c r="Z364" s="271"/>
    </row>
    <row r="365" spans="1:26" ht="14.45" hidden="1" customHeight="1" outlineLevel="1">
      <c r="A365" s="9"/>
      <c r="B365" s="283"/>
      <c r="C365" s="353"/>
      <c r="D365" s="287">
        <f t="shared" si="48"/>
        <v>7</v>
      </c>
      <c r="E365" s="284">
        <f ca="1">OFFSET('Actual RAB roll forward'!H$37,0,D365-1)-SUM('Actual RAB roll forward'!H377:OFFSET('Actual RAB roll forward'!H377,0,Input!$X$7-1))</f>
        <v>0</v>
      </c>
      <c r="F365" s="284" t="str">
        <f>IF(A26stdlife="N/A","n/a",IF(E365=0,0,A26stdlife+D365-Input!$X$7))</f>
        <v>n/a</v>
      </c>
      <c r="G365" s="285"/>
      <c r="H365" s="356"/>
      <c r="I365" s="287">
        <f t="shared" si="49"/>
        <v>7</v>
      </c>
      <c r="J365" s="284">
        <f ca="1">OFFSET('Tax value roll forward'!H$65,0,I365-1)-SUM('Tax value roll forward'!H431:OFFSET('Tax value roll forward'!H431,0,Input!$X$7-1))</f>
        <v>0</v>
      </c>
      <c r="K365" s="284" t="str">
        <f>IF(A26taxstdlife="N/A","n/a",IF(J365=0,0,A26taxstdlife+I365-Input!$X$7))</f>
        <v>n/a</v>
      </c>
      <c r="L365" s="286"/>
      <c r="M365" s="9"/>
      <c r="N365" s="9"/>
      <c r="O365" s="9"/>
      <c r="P365" s="9"/>
      <c r="Q365" s="9"/>
      <c r="R365" s="9"/>
      <c r="S365" s="271"/>
      <c r="T365" s="271"/>
      <c r="U365" s="271"/>
      <c r="V365" s="271"/>
      <c r="W365" s="271"/>
      <c r="X365" s="271"/>
      <c r="Y365" s="271"/>
      <c r="Z365" s="271"/>
    </row>
    <row r="366" spans="1:26" ht="14.45" hidden="1" customHeight="1" outlineLevel="1">
      <c r="A366" s="9"/>
      <c r="B366" s="283"/>
      <c r="C366" s="353"/>
      <c r="D366" s="287">
        <f t="shared" si="48"/>
        <v>8</v>
      </c>
      <c r="E366" s="284">
        <f ca="1">OFFSET('Actual RAB roll forward'!H$37,0,D366-1)-SUM('Actual RAB roll forward'!H378:OFFSET('Actual RAB roll forward'!H378,0,Input!$X$7-1))</f>
        <v>0</v>
      </c>
      <c r="F366" s="284" t="str">
        <f>IF(A26stdlife="N/A","n/a",IF(E366=0,0,A26stdlife+D366-Input!$X$7))</f>
        <v>n/a</v>
      </c>
      <c r="G366" s="285"/>
      <c r="H366" s="356"/>
      <c r="I366" s="287">
        <f t="shared" si="49"/>
        <v>8</v>
      </c>
      <c r="J366" s="284">
        <f ca="1">OFFSET('Tax value roll forward'!H$65,0,I366-1)-SUM('Tax value roll forward'!H432:OFFSET('Tax value roll forward'!H432,0,Input!$X$7-1))</f>
        <v>0</v>
      </c>
      <c r="K366" s="284" t="str">
        <f>IF(A26taxstdlife="N/A","n/a",IF(J366=0,0,A26taxstdlife+I366-Input!$X$7))</f>
        <v>n/a</v>
      </c>
      <c r="L366" s="286"/>
      <c r="M366" s="9"/>
      <c r="N366" s="9"/>
      <c r="O366" s="9"/>
      <c r="P366" s="9"/>
      <c r="Q366" s="9"/>
      <c r="R366" s="9"/>
      <c r="S366" s="271"/>
      <c r="T366" s="271"/>
      <c r="U366" s="271"/>
      <c r="V366" s="271"/>
      <c r="W366" s="271"/>
      <c r="X366" s="271"/>
      <c r="Y366" s="271"/>
      <c r="Z366" s="271"/>
    </row>
    <row r="367" spans="1:26" ht="14.45" hidden="1" customHeight="1" outlineLevel="1">
      <c r="A367" s="9"/>
      <c r="B367" s="283"/>
      <c r="C367" s="353"/>
      <c r="D367" s="287">
        <f t="shared" si="48"/>
        <v>9</v>
      </c>
      <c r="E367" s="284">
        <f ca="1">OFFSET('Actual RAB roll forward'!H$37,0,D367-1)-SUM('Actual RAB roll forward'!H379:OFFSET('Actual RAB roll forward'!H379,0,Input!$X$7-1))</f>
        <v>0</v>
      </c>
      <c r="F367" s="284" t="str">
        <f>IF(A26stdlife="N/A","n/a",IF(E367=0,0,A26stdlife+D367-Input!$X$7))</f>
        <v>n/a</v>
      </c>
      <c r="G367" s="285"/>
      <c r="H367" s="356"/>
      <c r="I367" s="287">
        <f t="shared" si="49"/>
        <v>9</v>
      </c>
      <c r="J367" s="284">
        <f ca="1">OFFSET('Tax value roll forward'!H$65,0,I367-1)-SUM('Tax value roll forward'!H433:OFFSET('Tax value roll forward'!H433,0,Input!$X$7-1))</f>
        <v>0</v>
      </c>
      <c r="K367" s="284" t="str">
        <f>IF(A26taxstdlife="N/A","n/a",IF(J367=0,0,A26taxstdlife+I367-Input!$X$7))</f>
        <v>n/a</v>
      </c>
      <c r="L367" s="286"/>
      <c r="M367" s="9"/>
      <c r="N367" s="9"/>
      <c r="O367" s="9"/>
      <c r="P367" s="9"/>
      <c r="Q367" s="9"/>
      <c r="R367" s="9"/>
      <c r="S367" s="271"/>
      <c r="T367" s="271"/>
      <c r="U367" s="271"/>
      <c r="V367" s="271"/>
      <c r="W367" s="271"/>
      <c r="X367" s="271"/>
      <c r="Y367" s="271"/>
      <c r="Z367" s="271"/>
    </row>
    <row r="368" spans="1:26" ht="14.45" hidden="1" customHeight="1" outlineLevel="1">
      <c r="A368" s="9"/>
      <c r="B368" s="283"/>
      <c r="C368" s="354"/>
      <c r="D368" s="89">
        <f t="shared" si="48"/>
        <v>10</v>
      </c>
      <c r="E368" s="284">
        <f ca="1">OFFSET('Actual RAB roll forward'!H$37,0,D368-1)-SUM('Actual RAB roll forward'!H380:OFFSET('Actual RAB roll forward'!H380,0,Input!$X$7-1))</f>
        <v>0</v>
      </c>
      <c r="F368" s="284" t="str">
        <f>IF(A26stdlife="N/A","n/a",IF(E368=0,0,A26stdlife+D368-Input!$X$7))</f>
        <v>n/a</v>
      </c>
      <c r="G368" s="285"/>
      <c r="H368" s="357"/>
      <c r="I368" s="89">
        <f t="shared" si="49"/>
        <v>10</v>
      </c>
      <c r="J368" s="284">
        <f ca="1">OFFSET('Tax value roll forward'!H$65,0,I368-1)-SUM('Tax value roll forward'!H434:OFFSET('Tax value roll forward'!H434,0,Input!$X$7-1))</f>
        <v>0</v>
      </c>
      <c r="K368" s="284" t="str">
        <f>IF(A26taxstdlife="N/A","n/a",IF(J368=0,0,A26taxstdlife+I368-Input!$X$7))</f>
        <v>n/a</v>
      </c>
      <c r="L368" s="286"/>
      <c r="M368" s="9"/>
      <c r="N368" s="9"/>
      <c r="O368" s="9"/>
      <c r="P368" s="9"/>
      <c r="Q368" s="9"/>
      <c r="R368" s="9"/>
      <c r="S368" s="271"/>
      <c r="T368" s="271"/>
      <c r="U368" s="271"/>
      <c r="V368" s="271"/>
      <c r="W368" s="271"/>
      <c r="X368" s="271"/>
      <c r="Y368" s="271"/>
      <c r="Z368" s="271"/>
    </row>
    <row r="369" spans="1:26" collapsed="1">
      <c r="A369" s="9"/>
      <c r="B369" s="283"/>
      <c r="C369" s="286" t="str">
        <f>B357</f>
        <v>Land &amp; Easements</v>
      </c>
      <c r="D369" s="9"/>
      <c r="E369" s="284">
        <f ca="1">SUM(E358:E368)</f>
        <v>15.061337</v>
      </c>
      <c r="F369" s="284" t="str">
        <f>IF(A26remlife="N/A","n/a",IF(E369=0,0,SUMPRODUCT(E358:E368,F358:F368)/E369))</f>
        <v>n/a</v>
      </c>
      <c r="G369" s="285"/>
      <c r="H369" s="45"/>
      <c r="I369" s="284"/>
      <c r="J369" s="284">
        <f ca="1">SUM(J358:J368)</f>
        <v>27.759779000000002</v>
      </c>
      <c r="K369" s="284" t="str">
        <f>IF(A26taxstdlife="N/A","n/a",IF(J369=0,0,SUMPRODUCT(J358:J368,K358:K368)/J369))</f>
        <v>n/a</v>
      </c>
      <c r="L369" s="286"/>
      <c r="M369" s="9"/>
      <c r="N369" s="9"/>
      <c r="O369" s="9"/>
      <c r="P369" s="9"/>
      <c r="Q369" s="9"/>
      <c r="R369" s="9"/>
      <c r="S369" s="271"/>
      <c r="T369" s="271"/>
      <c r="U369" s="271"/>
      <c r="V369" s="271"/>
      <c r="W369" s="271"/>
      <c r="X369" s="271"/>
      <c r="Y369" s="271"/>
      <c r="Z369" s="271"/>
    </row>
    <row r="370" spans="1:26" hidden="1" outlineLevel="1">
      <c r="A370" s="9"/>
      <c r="B370" s="281"/>
      <c r="C370" s="298"/>
      <c r="D370" s="298"/>
      <c r="E370" s="296"/>
      <c r="F370" s="296"/>
      <c r="G370" s="285"/>
      <c r="H370" s="284"/>
      <c r="I370" s="284"/>
      <c r="J370" s="293"/>
      <c r="K370" s="289"/>
      <c r="L370" s="286"/>
      <c r="M370" s="9"/>
      <c r="N370" s="9"/>
      <c r="O370" s="9"/>
      <c r="P370" s="9"/>
      <c r="Q370" s="9"/>
      <c r="R370" s="9"/>
      <c r="S370" s="271"/>
      <c r="T370" s="271"/>
      <c r="U370" s="271"/>
      <c r="V370" s="271"/>
      <c r="W370" s="271"/>
      <c r="X370" s="271"/>
      <c r="Y370" s="271"/>
      <c r="Z370" s="271"/>
    </row>
    <row r="371" spans="1:26" hidden="1" outlineLevel="1">
      <c r="A371" s="9"/>
      <c r="B371" s="281" t="str">
        <f>Asset27</f>
        <v>Land Improvements</v>
      </c>
      <c r="C371" s="298"/>
      <c r="D371" s="298"/>
      <c r="E371" s="296"/>
      <c r="F371" s="296"/>
      <c r="G371" s="285"/>
      <c r="H371" s="284"/>
      <c r="I371" s="284"/>
      <c r="J371" s="293"/>
      <c r="K371" s="289"/>
      <c r="L371" s="286"/>
      <c r="M371" s="9"/>
      <c r="N371" s="9"/>
      <c r="O371" s="9"/>
      <c r="P371" s="9"/>
      <c r="Q371" s="9"/>
      <c r="R371" s="9"/>
      <c r="S371" s="271"/>
      <c r="T371" s="271"/>
      <c r="U371" s="271"/>
      <c r="V371" s="271"/>
      <c r="W371" s="271"/>
      <c r="X371" s="271"/>
      <c r="Y371" s="271"/>
      <c r="Z371" s="271"/>
    </row>
    <row r="372" spans="1:26" ht="12.75" hidden="1" customHeight="1" outlineLevel="1">
      <c r="A372" s="9"/>
      <c r="B372" s="283"/>
      <c r="C372" s="358" t="str">
        <f>C358</f>
        <v>Opening RAB</v>
      </c>
      <c r="D372" s="359"/>
      <c r="E372" s="284">
        <f ca="1">A27value-SUM('Actual RAB roll forward'!H382:OFFSET('Actual RAB roll forward'!H382,0,Input!$X$7-1))</f>
        <v>10.392627816785723</v>
      </c>
      <c r="F372" s="284">
        <f>IF(A27remlife="N/A","n/a",A27remlife-Input!$X$7)</f>
        <v>32.314677953787225</v>
      </c>
      <c r="G372" s="285"/>
      <c r="H372" s="360" t="str">
        <f>H358</f>
        <v>Initial Asset Base</v>
      </c>
      <c r="I372" s="361"/>
      <c r="J372" s="284">
        <f ca="1">(A27taxvalue+'Tax value roll forward'!G66)-SUM('Tax value roll forward'!G436:OFFSET('Tax value roll forward'!G436,2,Input!$X$7))</f>
        <v>14.279802000000002</v>
      </c>
      <c r="K372" s="284">
        <f>IF(A27taxremlife="N/A","n/a",A27taxremlife-Input!$X$7-1)</f>
        <v>33.451697355790216</v>
      </c>
      <c r="L372" s="286"/>
      <c r="M372" s="9"/>
      <c r="N372" s="9"/>
      <c r="O372" s="9"/>
      <c r="P372" s="9"/>
      <c r="Q372" s="9"/>
      <c r="R372" s="9"/>
      <c r="S372" s="271"/>
      <c r="T372" s="271"/>
      <c r="U372" s="271"/>
      <c r="V372" s="271"/>
      <c r="W372" s="271"/>
      <c r="X372" s="271"/>
      <c r="Y372" s="271"/>
      <c r="Z372" s="271"/>
    </row>
    <row r="373" spans="1:26" ht="14.45" hidden="1" customHeight="1" outlineLevel="1">
      <c r="A373" s="9"/>
      <c r="B373" s="283"/>
      <c r="C373" s="352" t="str">
        <f>C359</f>
        <v>Capex in year</v>
      </c>
      <c r="D373" s="287">
        <f>D359</f>
        <v>1</v>
      </c>
      <c r="E373" s="284">
        <f ca="1">OFFSET('Actual RAB roll forward'!H$38,0,D373-1)-SUM('Actual RAB roll forward'!H384:OFFSET('Actual RAB roll forward'!H384,0,Input!$X$7-1))</f>
        <v>0</v>
      </c>
      <c r="F373" s="284">
        <f ca="1">IF(A27stdlife="N/A","n/a",IF(E373=0,0,A27stdlife+D373-Input!$X$7))</f>
        <v>0</v>
      </c>
      <c r="G373" s="285"/>
      <c r="H373" s="355" t="str">
        <f>H359</f>
        <v>Capex in year</v>
      </c>
      <c r="I373" s="287">
        <f>I359</f>
        <v>1</v>
      </c>
      <c r="J373" s="284">
        <f ca="1">OFFSET('Tax value roll forward'!H$66,0,I373-1)-SUM('Tax value roll forward'!H439:OFFSET('Tax value roll forward'!H439,0,Input!$X$7-1))</f>
        <v>0</v>
      </c>
      <c r="K373" s="284">
        <f ca="1">IF(A27taxstdlife="N/A","n/a",IF(J373=0,0,A27taxstdlife+I373-Input!$X$7))</f>
        <v>0</v>
      </c>
      <c r="L373" s="286"/>
      <c r="M373" s="9"/>
      <c r="N373" s="9"/>
      <c r="O373" s="9"/>
      <c r="P373" s="9"/>
      <c r="Q373" s="9"/>
      <c r="R373" s="9"/>
      <c r="S373" s="271"/>
      <c r="T373" s="271"/>
      <c r="U373" s="271"/>
      <c r="V373" s="271"/>
      <c r="W373" s="271"/>
      <c r="X373" s="271"/>
      <c r="Y373" s="271"/>
      <c r="Z373" s="271"/>
    </row>
    <row r="374" spans="1:26" ht="14.45" hidden="1" customHeight="1" outlineLevel="1">
      <c r="A374" s="9"/>
      <c r="B374" s="283"/>
      <c r="C374" s="353"/>
      <c r="D374" s="287">
        <f t="shared" ref="D374:D382" si="50">D360</f>
        <v>2</v>
      </c>
      <c r="E374" s="284">
        <f ca="1">OFFSET('Actual RAB roll forward'!H$38,0,D374-1)-SUM('Actual RAB roll forward'!H385:OFFSET('Actual RAB roll forward'!H385,0,Input!$X$7-1))</f>
        <v>0</v>
      </c>
      <c r="F374" s="284">
        <f ca="1">IF(A27stdlife="N/A","n/a",IF(E374=0,0,A27stdlife+D374-Input!$X$7))</f>
        <v>0</v>
      </c>
      <c r="G374" s="285"/>
      <c r="H374" s="356"/>
      <c r="I374" s="287">
        <f t="shared" ref="I374:I382" si="51">I360</f>
        <v>2</v>
      </c>
      <c r="J374" s="284">
        <f ca="1">OFFSET('Tax value roll forward'!H$66,0,I374-1)-SUM('Tax value roll forward'!H440:OFFSET('Tax value roll forward'!H440,0,Input!$X$7-1))</f>
        <v>0</v>
      </c>
      <c r="K374" s="284">
        <f ca="1">IF(A27taxstdlife="N/A","n/a",IF(J374=0,0,A27taxstdlife+I374-Input!$X$7))</f>
        <v>0</v>
      </c>
      <c r="L374" s="286"/>
      <c r="M374" s="9"/>
      <c r="N374" s="9"/>
      <c r="O374" s="9"/>
      <c r="P374" s="9"/>
      <c r="Q374" s="9"/>
      <c r="R374" s="9"/>
      <c r="S374" s="271"/>
      <c r="T374" s="271"/>
      <c r="U374" s="271"/>
      <c r="V374" s="271"/>
      <c r="W374" s="271"/>
      <c r="X374" s="271"/>
      <c r="Y374" s="271"/>
      <c r="Z374" s="271"/>
    </row>
    <row r="375" spans="1:26" ht="14.45" hidden="1" customHeight="1" outlineLevel="1">
      <c r="A375" s="9"/>
      <c r="B375" s="283"/>
      <c r="C375" s="353"/>
      <c r="D375" s="287">
        <f t="shared" si="50"/>
        <v>3</v>
      </c>
      <c r="E375" s="284">
        <f ca="1">OFFSET('Actual RAB roll forward'!H$38,0,D375-1)-SUM('Actual RAB roll forward'!H386:OFFSET('Actual RAB roll forward'!H386,0,Input!$X$7-1))</f>
        <v>0</v>
      </c>
      <c r="F375" s="284">
        <f ca="1">IF(A27stdlife="N/A","n/a",IF(E375=0,0,A27stdlife+D375-Input!$X$7))</f>
        <v>0</v>
      </c>
      <c r="G375" s="285"/>
      <c r="H375" s="356"/>
      <c r="I375" s="287">
        <f t="shared" si="51"/>
        <v>3</v>
      </c>
      <c r="J375" s="284">
        <f ca="1">OFFSET('Tax value roll forward'!H$66,0,I375-1)-SUM('Tax value roll forward'!H441:OFFSET('Tax value roll forward'!H441,0,Input!$X$7-1))</f>
        <v>0</v>
      </c>
      <c r="K375" s="284">
        <f ca="1">IF(A27taxstdlife="N/A","n/a",IF(J375=0,0,A27taxstdlife+I375-Input!$X$7))</f>
        <v>0</v>
      </c>
      <c r="L375" s="286"/>
      <c r="M375" s="9"/>
      <c r="N375" s="9"/>
      <c r="O375" s="9"/>
      <c r="P375" s="9"/>
      <c r="Q375" s="9"/>
      <c r="R375" s="9"/>
      <c r="S375" s="271"/>
      <c r="T375" s="271"/>
      <c r="U375" s="271"/>
      <c r="V375" s="271"/>
      <c r="W375" s="271"/>
      <c r="X375" s="271"/>
      <c r="Y375" s="271"/>
      <c r="Z375" s="271"/>
    </row>
    <row r="376" spans="1:26" ht="14.45" hidden="1" customHeight="1" outlineLevel="1">
      <c r="A376" s="9"/>
      <c r="B376" s="283"/>
      <c r="C376" s="353"/>
      <c r="D376" s="287">
        <f t="shared" si="50"/>
        <v>4</v>
      </c>
      <c r="E376" s="284">
        <f ca="1">OFFSET('Actual RAB roll forward'!H$38,0,D376-1)-SUM('Actual RAB roll forward'!H387:OFFSET('Actual RAB roll forward'!H387,0,Input!$X$7-1))</f>
        <v>0</v>
      </c>
      <c r="F376" s="284">
        <f ca="1">IF(A27stdlife="N/A","n/a",IF(E376=0,0,A27stdlife+D376-Input!$X$7))</f>
        <v>0</v>
      </c>
      <c r="G376" s="285"/>
      <c r="H376" s="356"/>
      <c r="I376" s="287">
        <f t="shared" si="51"/>
        <v>4</v>
      </c>
      <c r="J376" s="284">
        <f ca="1">OFFSET('Tax value roll forward'!H$66,0,I376-1)-SUM('Tax value roll forward'!H442:OFFSET('Tax value roll forward'!H442,0,Input!$X$7-1))</f>
        <v>0</v>
      </c>
      <c r="K376" s="284">
        <f ca="1">IF(A27taxstdlife="N/A","n/a",IF(J376=0,0,A27taxstdlife+I376-Input!$X$7))</f>
        <v>0</v>
      </c>
      <c r="L376" s="286"/>
      <c r="M376" s="9"/>
      <c r="N376" s="9"/>
      <c r="O376" s="9"/>
      <c r="P376" s="9"/>
      <c r="Q376" s="9"/>
      <c r="R376" s="9"/>
      <c r="S376" s="271"/>
      <c r="T376" s="271"/>
      <c r="U376" s="271"/>
      <c r="V376" s="271"/>
      <c r="W376" s="271"/>
      <c r="X376" s="271"/>
      <c r="Y376" s="271"/>
      <c r="Z376" s="271"/>
    </row>
    <row r="377" spans="1:26" ht="14.45" hidden="1" customHeight="1" outlineLevel="1">
      <c r="A377" s="9"/>
      <c r="B377" s="283"/>
      <c r="C377" s="353"/>
      <c r="D377" s="287">
        <f t="shared" si="50"/>
        <v>5</v>
      </c>
      <c r="E377" s="284">
        <f ca="1">OFFSET('Actual RAB roll forward'!H$38,0,D377-1)-SUM('Actual RAB roll forward'!H388:OFFSET('Actual RAB roll forward'!H388,0,Input!$X$7-1))</f>
        <v>0</v>
      </c>
      <c r="F377" s="284">
        <f ca="1">IF(A27stdlife="N/A","n/a",IF(E377=0,0,A27stdlife+D377-Input!$X$7))</f>
        <v>0</v>
      </c>
      <c r="G377" s="285"/>
      <c r="H377" s="356"/>
      <c r="I377" s="287">
        <f t="shared" si="51"/>
        <v>5</v>
      </c>
      <c r="J377" s="284">
        <f ca="1">OFFSET('Tax value roll forward'!H$66,0,I377-1)-SUM('Tax value roll forward'!H443:OFFSET('Tax value roll forward'!H443,0,Input!$X$7-1))</f>
        <v>0</v>
      </c>
      <c r="K377" s="284">
        <f ca="1">IF(A27taxstdlife="N/A","n/a",IF(J377=0,0,A27taxstdlife+I377-Input!$X$7))</f>
        <v>0</v>
      </c>
      <c r="L377" s="286"/>
      <c r="M377" s="9"/>
      <c r="N377" s="9"/>
      <c r="O377" s="9"/>
      <c r="P377" s="9"/>
      <c r="Q377" s="9"/>
      <c r="R377" s="9"/>
      <c r="S377" s="271"/>
      <c r="T377" s="271"/>
      <c r="U377" s="271"/>
      <c r="V377" s="271"/>
      <c r="W377" s="271"/>
      <c r="X377" s="271"/>
      <c r="Y377" s="271"/>
      <c r="Z377" s="271"/>
    </row>
    <row r="378" spans="1:26" ht="14.45" hidden="1" customHeight="1" outlineLevel="1">
      <c r="A378" s="9"/>
      <c r="B378" s="283"/>
      <c r="C378" s="353"/>
      <c r="D378" s="287">
        <f t="shared" si="50"/>
        <v>6</v>
      </c>
      <c r="E378" s="284">
        <f ca="1">OFFSET('Actual RAB roll forward'!H$38,0,D378-1)-SUM('Actual RAB roll forward'!H389:OFFSET('Actual RAB roll forward'!H389,0,Input!$X$7-1))</f>
        <v>0</v>
      </c>
      <c r="F378" s="284">
        <f ca="1">IF(A27stdlife="N/A","n/a",IF(E378=0,0,A27stdlife+D378-Input!$X$7))</f>
        <v>0</v>
      </c>
      <c r="G378" s="285"/>
      <c r="H378" s="356"/>
      <c r="I378" s="287">
        <f t="shared" si="51"/>
        <v>6</v>
      </c>
      <c r="J378" s="284">
        <f ca="1">OFFSET('Tax value roll forward'!H$66,0,I378-1)-SUM('Tax value roll forward'!H444:OFFSET('Tax value roll forward'!H444,0,Input!$X$7-1))</f>
        <v>0</v>
      </c>
      <c r="K378" s="284">
        <f ca="1">IF(A27taxstdlife="N/A","n/a",IF(J378=0,0,A27taxstdlife+I378-Input!$X$7))</f>
        <v>0</v>
      </c>
      <c r="L378" s="286"/>
      <c r="M378" s="9"/>
      <c r="N378" s="9"/>
      <c r="O378" s="9"/>
      <c r="P378" s="9"/>
      <c r="Q378" s="9"/>
      <c r="R378" s="9"/>
      <c r="S378" s="271"/>
      <c r="T378" s="271"/>
      <c r="U378" s="271"/>
      <c r="V378" s="271"/>
      <c r="W378" s="271"/>
      <c r="X378" s="271"/>
      <c r="Y378" s="271"/>
      <c r="Z378" s="271"/>
    </row>
    <row r="379" spans="1:26" ht="14.45" hidden="1" customHeight="1" outlineLevel="1">
      <c r="A379" s="9"/>
      <c r="B379" s="283"/>
      <c r="C379" s="353"/>
      <c r="D379" s="287">
        <f t="shared" si="50"/>
        <v>7</v>
      </c>
      <c r="E379" s="284">
        <f ca="1">OFFSET('Actual RAB roll forward'!H$38,0,D379-1)-SUM('Actual RAB roll forward'!H390:OFFSET('Actual RAB roll forward'!H390,0,Input!$X$7-1))</f>
        <v>0</v>
      </c>
      <c r="F379" s="284">
        <f ca="1">IF(A27stdlife="N/A","n/a",IF(E379=0,0,A27stdlife+D379-Input!$X$7))</f>
        <v>0</v>
      </c>
      <c r="G379" s="285"/>
      <c r="H379" s="356"/>
      <c r="I379" s="287">
        <f t="shared" si="51"/>
        <v>7</v>
      </c>
      <c r="J379" s="284">
        <f ca="1">OFFSET('Tax value roll forward'!H$66,0,I379-1)-SUM('Tax value roll forward'!H445:OFFSET('Tax value roll forward'!H445,0,Input!$X$7-1))</f>
        <v>0</v>
      </c>
      <c r="K379" s="284">
        <f ca="1">IF(A27taxstdlife="N/A","n/a",IF(J379=0,0,A27taxstdlife+I379-Input!$X$7))</f>
        <v>0</v>
      </c>
      <c r="L379" s="286"/>
      <c r="M379" s="9"/>
      <c r="N379" s="9"/>
      <c r="O379" s="9"/>
      <c r="P379" s="9"/>
      <c r="Q379" s="9"/>
      <c r="R379" s="9"/>
      <c r="S379" s="271"/>
      <c r="T379" s="271"/>
      <c r="U379" s="271"/>
      <c r="V379" s="271"/>
      <c r="W379" s="271"/>
      <c r="X379" s="271"/>
      <c r="Y379" s="271"/>
      <c r="Z379" s="271"/>
    </row>
    <row r="380" spans="1:26" ht="14.45" hidden="1" customHeight="1" outlineLevel="1">
      <c r="A380" s="9"/>
      <c r="B380" s="283"/>
      <c r="C380" s="353"/>
      <c r="D380" s="287">
        <f t="shared" si="50"/>
        <v>8</v>
      </c>
      <c r="E380" s="284">
        <f ca="1">OFFSET('Actual RAB roll forward'!H$38,0,D380-1)-SUM('Actual RAB roll forward'!H391:OFFSET('Actual RAB roll forward'!H391,0,Input!$X$7-1))</f>
        <v>0</v>
      </c>
      <c r="F380" s="284">
        <f ca="1">IF(A27stdlife="N/A","n/a",IF(E380=0,0,A27stdlife+D380-Input!$X$7))</f>
        <v>0</v>
      </c>
      <c r="G380" s="285"/>
      <c r="H380" s="356"/>
      <c r="I380" s="287">
        <f t="shared" si="51"/>
        <v>8</v>
      </c>
      <c r="J380" s="284">
        <f ca="1">OFFSET('Tax value roll forward'!H$66,0,I380-1)-SUM('Tax value roll forward'!H446:OFFSET('Tax value roll forward'!H446,0,Input!$X$7-1))</f>
        <v>0</v>
      </c>
      <c r="K380" s="284">
        <f ca="1">IF(A27taxstdlife="N/A","n/a",IF(J380=0,0,A27taxstdlife+I380-Input!$X$7))</f>
        <v>0</v>
      </c>
      <c r="L380" s="286"/>
      <c r="M380" s="9"/>
      <c r="N380" s="9"/>
      <c r="O380" s="9"/>
      <c r="P380" s="9"/>
      <c r="Q380" s="9"/>
      <c r="R380" s="9"/>
      <c r="S380" s="271"/>
      <c r="T380" s="271"/>
      <c r="U380" s="271"/>
      <c r="V380" s="271"/>
      <c r="W380" s="271"/>
      <c r="X380" s="271"/>
      <c r="Y380" s="271"/>
      <c r="Z380" s="271"/>
    </row>
    <row r="381" spans="1:26" ht="14.45" hidden="1" customHeight="1" outlineLevel="1">
      <c r="A381" s="9"/>
      <c r="B381" s="283"/>
      <c r="C381" s="353"/>
      <c r="D381" s="287">
        <f t="shared" si="50"/>
        <v>9</v>
      </c>
      <c r="E381" s="284">
        <f ca="1">OFFSET('Actual RAB roll forward'!H$38,0,D381-1)-SUM('Actual RAB roll forward'!H392:OFFSET('Actual RAB roll forward'!H392,0,Input!$X$7-1))</f>
        <v>0</v>
      </c>
      <c r="F381" s="284">
        <f ca="1">IF(A27stdlife="N/A","n/a",IF(E381=0,0,A27stdlife+D381-Input!$X$7))</f>
        <v>0</v>
      </c>
      <c r="G381" s="285"/>
      <c r="H381" s="356"/>
      <c r="I381" s="287">
        <f t="shared" si="51"/>
        <v>9</v>
      </c>
      <c r="J381" s="284">
        <f ca="1">OFFSET('Tax value roll forward'!H$66,0,I381-1)-SUM('Tax value roll forward'!H447:OFFSET('Tax value roll forward'!H447,0,Input!$X$7-1))</f>
        <v>0</v>
      </c>
      <c r="K381" s="284">
        <f ca="1">IF(A27taxstdlife="N/A","n/a",IF(J381=0,0,A27taxstdlife+I381-Input!$X$7))</f>
        <v>0</v>
      </c>
      <c r="L381" s="286"/>
      <c r="M381" s="9"/>
      <c r="N381" s="9"/>
      <c r="O381" s="9"/>
      <c r="P381" s="9"/>
      <c r="Q381" s="9"/>
      <c r="R381" s="9"/>
      <c r="S381" s="271"/>
      <c r="T381" s="271"/>
      <c r="U381" s="271"/>
      <c r="V381" s="271"/>
      <c r="W381" s="271"/>
      <c r="X381" s="271"/>
      <c r="Y381" s="271"/>
      <c r="Z381" s="271"/>
    </row>
    <row r="382" spans="1:26" ht="14.45" hidden="1" customHeight="1" outlineLevel="1">
      <c r="A382" s="9"/>
      <c r="B382" s="283"/>
      <c r="C382" s="354"/>
      <c r="D382" s="89">
        <f t="shared" si="50"/>
        <v>10</v>
      </c>
      <c r="E382" s="284">
        <f ca="1">OFFSET('Actual RAB roll forward'!H$38,0,D382-1)-SUM('Actual RAB roll forward'!H393:OFFSET('Actual RAB roll forward'!H393,0,Input!$X$7-1))</f>
        <v>0</v>
      </c>
      <c r="F382" s="284">
        <f ca="1">IF(A27stdlife="N/A","n/a",IF(E382=0,0,A27stdlife+D382-Input!$X$7))</f>
        <v>0</v>
      </c>
      <c r="G382" s="285"/>
      <c r="H382" s="357"/>
      <c r="I382" s="89">
        <f t="shared" si="51"/>
        <v>10</v>
      </c>
      <c r="J382" s="284">
        <f ca="1">OFFSET('Tax value roll forward'!H$66,0,I382-1)-SUM('Tax value roll forward'!H448:OFFSET('Tax value roll forward'!H448,0,Input!$X$7-1))</f>
        <v>0</v>
      </c>
      <c r="K382" s="284">
        <f ca="1">IF(A27taxstdlife="N/A","n/a",IF(J382=0,0,A27taxstdlife+I382-Input!$X$7))</f>
        <v>0</v>
      </c>
      <c r="L382" s="286"/>
      <c r="M382" s="9"/>
      <c r="N382" s="9"/>
      <c r="O382" s="9"/>
      <c r="P382" s="9"/>
      <c r="Q382" s="9"/>
      <c r="R382" s="9"/>
      <c r="S382" s="271"/>
      <c r="T382" s="271"/>
      <c r="U382" s="271"/>
      <c r="V382" s="271"/>
      <c r="W382" s="271"/>
      <c r="X382" s="271"/>
      <c r="Y382" s="271"/>
      <c r="Z382" s="271"/>
    </row>
    <row r="383" spans="1:26" collapsed="1">
      <c r="A383" s="9"/>
      <c r="B383" s="283"/>
      <c r="C383" s="286" t="str">
        <f>B371</f>
        <v>Land Improvements</v>
      </c>
      <c r="D383" s="9"/>
      <c r="E383" s="284">
        <f ca="1">SUM(E372:E382)</f>
        <v>10.392627816785723</v>
      </c>
      <c r="F383" s="284">
        <f ca="1">IF(A27remlife="N/A","n/a",IF(E383=0,0,SUMPRODUCT(E372:E382,F372:F382)/E383))</f>
        <v>32.314677953787225</v>
      </c>
      <c r="G383" s="285"/>
      <c r="H383" s="45"/>
      <c r="I383" s="284"/>
      <c r="J383" s="284">
        <f ca="1">SUM(J372:J382)</f>
        <v>14.279802000000002</v>
      </c>
      <c r="K383" s="284">
        <f ca="1">IF(A27taxstdlife="N/A","n/a",IF(J383=0,0,SUMPRODUCT(J372:J382,K372:K382)/J383))</f>
        <v>33.451697355790216</v>
      </c>
      <c r="L383" s="286"/>
      <c r="M383" s="9"/>
      <c r="N383" s="9"/>
      <c r="O383" s="9"/>
      <c r="P383" s="9"/>
      <c r="Q383" s="9"/>
      <c r="R383" s="9"/>
      <c r="S383" s="271"/>
      <c r="T383" s="271"/>
      <c r="U383" s="271"/>
      <c r="V383" s="271"/>
      <c r="W383" s="271"/>
      <c r="X383" s="271"/>
      <c r="Y383" s="271"/>
      <c r="Z383" s="271"/>
    </row>
    <row r="384" spans="1:26" hidden="1" outlineLevel="1">
      <c r="A384" s="9"/>
      <c r="B384" s="281"/>
      <c r="C384" s="298"/>
      <c r="D384" s="298"/>
      <c r="E384" s="296"/>
      <c r="F384" s="296"/>
      <c r="G384" s="285"/>
      <c r="H384" s="284"/>
      <c r="I384" s="284"/>
      <c r="J384" s="293"/>
      <c r="K384" s="289"/>
      <c r="L384" s="286"/>
      <c r="M384" s="9"/>
      <c r="N384" s="9"/>
      <c r="O384" s="9"/>
      <c r="P384" s="9"/>
      <c r="Q384" s="9"/>
      <c r="R384" s="9"/>
      <c r="S384" s="271"/>
      <c r="T384" s="271"/>
      <c r="U384" s="271"/>
      <c r="V384" s="271"/>
      <c r="W384" s="271"/>
      <c r="X384" s="271"/>
      <c r="Y384" s="271"/>
      <c r="Z384" s="271"/>
    </row>
    <row r="385" spans="1:26" hidden="1" outlineLevel="1">
      <c r="A385" s="9"/>
      <c r="B385" s="281" t="str">
        <f>Asset28</f>
        <v>Equity Raising Costs</v>
      </c>
      <c r="C385" s="298"/>
      <c r="D385" s="298"/>
      <c r="E385" s="296"/>
      <c r="F385" s="296"/>
      <c r="G385" s="285"/>
      <c r="H385" s="284"/>
      <c r="I385" s="284"/>
      <c r="J385" s="293"/>
      <c r="K385" s="289"/>
      <c r="L385" s="286"/>
      <c r="M385" s="9"/>
      <c r="N385" s="9"/>
      <c r="O385" s="9"/>
      <c r="P385" s="9"/>
      <c r="Q385" s="9"/>
      <c r="R385" s="9"/>
      <c r="S385" s="271"/>
      <c r="T385" s="271"/>
      <c r="U385" s="271"/>
      <c r="V385" s="271"/>
      <c r="W385" s="271"/>
      <c r="X385" s="271"/>
      <c r="Y385" s="271"/>
      <c r="Z385" s="271"/>
    </row>
    <row r="386" spans="1:26" ht="12.75" hidden="1" customHeight="1" outlineLevel="1">
      <c r="A386" s="9"/>
      <c r="B386" s="283"/>
      <c r="C386" s="358" t="str">
        <f>C372</f>
        <v>Opening RAB</v>
      </c>
      <c r="D386" s="359"/>
      <c r="E386" s="284">
        <f ca="1">A28value-SUM('Actual RAB roll forward'!H395:OFFSET('Actual RAB roll forward'!H395,0,Input!$X$7-1))</f>
        <v>0</v>
      </c>
      <c r="F386" s="284" t="str">
        <f>IF(A28remlife="N/A","n/a",A28remlife-Input!$X$7)</f>
        <v>n/a</v>
      </c>
      <c r="G386" s="285"/>
      <c r="H386" s="360" t="str">
        <f>H372</f>
        <v>Initial Asset Base</v>
      </c>
      <c r="I386" s="361"/>
      <c r="J386" s="284">
        <f ca="1">(A28taxvalue+'Tax value roll forward'!G67)-SUM('Tax value roll forward'!G450:OFFSET('Tax value roll forward'!G450,2,Input!$X$7))</f>
        <v>0</v>
      </c>
      <c r="K386" s="284" t="str">
        <f>IF(A28taxremlife="N/A","n/a",A28taxremlife-Input!$X$7-1)</f>
        <v>n/a</v>
      </c>
      <c r="L386" s="286"/>
      <c r="M386" s="9"/>
      <c r="N386" s="9"/>
      <c r="O386" s="9"/>
      <c r="P386" s="9"/>
      <c r="Q386" s="9"/>
      <c r="R386" s="9"/>
      <c r="S386" s="271"/>
      <c r="T386" s="271"/>
      <c r="U386" s="271"/>
      <c r="V386" s="271"/>
      <c r="W386" s="271"/>
      <c r="X386" s="271"/>
      <c r="Y386" s="271"/>
      <c r="Z386" s="271"/>
    </row>
    <row r="387" spans="1:26" ht="14.45" hidden="1" customHeight="1" outlineLevel="1">
      <c r="A387" s="9"/>
      <c r="B387" s="283"/>
      <c r="C387" s="352" t="str">
        <f>C373</f>
        <v>Capex in year</v>
      </c>
      <c r="D387" s="287">
        <f>D373</f>
        <v>1</v>
      </c>
      <c r="E387" s="284">
        <f ca="1">OFFSET('Actual RAB roll forward'!H$39,0,D387-1)-SUM('Actual RAB roll forward'!H397:OFFSET('Actual RAB roll forward'!H397,0,Input!$X$7-1))</f>
        <v>0</v>
      </c>
      <c r="F387" s="284">
        <f ca="1">IF(A28stdlife="N/A","n/a",IF(E387=0,0,A28stdlife+D387-Input!$X$7))</f>
        <v>0</v>
      </c>
      <c r="G387" s="285"/>
      <c r="H387" s="355" t="str">
        <f>H373</f>
        <v>Capex in year</v>
      </c>
      <c r="I387" s="287">
        <f>I373</f>
        <v>1</v>
      </c>
      <c r="J387" s="284">
        <f ca="1">OFFSET('Tax value roll forward'!H$67,0,I387-1)-SUM('Tax value roll forward'!H453:OFFSET('Tax value roll forward'!H453,0,Input!$X$7-1))</f>
        <v>0</v>
      </c>
      <c r="K387" s="284">
        <f ca="1">IF(A28taxstdlife="N/A","n/a",IF(J387=0,0,A28taxstdlife+I387-Input!$X$7))</f>
        <v>0</v>
      </c>
      <c r="L387" s="286"/>
      <c r="M387" s="9"/>
      <c r="N387" s="9"/>
      <c r="O387" s="9"/>
      <c r="P387" s="9"/>
      <c r="Q387" s="9"/>
      <c r="R387" s="9"/>
      <c r="S387" s="271"/>
      <c r="T387" s="271"/>
      <c r="U387" s="271"/>
      <c r="V387" s="271"/>
      <c r="W387" s="271"/>
      <c r="X387" s="271"/>
      <c r="Y387" s="271"/>
      <c r="Z387" s="271"/>
    </row>
    <row r="388" spans="1:26" ht="14.45" hidden="1" customHeight="1" outlineLevel="1">
      <c r="A388" s="9"/>
      <c r="B388" s="283"/>
      <c r="C388" s="353"/>
      <c r="D388" s="287">
        <f t="shared" ref="D388:D396" si="52">D374</f>
        <v>2</v>
      </c>
      <c r="E388" s="284">
        <f ca="1">OFFSET('Actual RAB roll forward'!H$39,0,D388-1)-SUM('Actual RAB roll forward'!H398:OFFSET('Actual RAB roll forward'!H398,0,Input!$X$7-1))</f>
        <v>0</v>
      </c>
      <c r="F388" s="284">
        <f ca="1">IF(A28stdlife="N/A","n/a",IF(E388=0,0,A28stdlife+D388-Input!$X$7))</f>
        <v>0</v>
      </c>
      <c r="G388" s="285"/>
      <c r="H388" s="356"/>
      <c r="I388" s="287">
        <f t="shared" ref="I388:I396" si="53">I374</f>
        <v>2</v>
      </c>
      <c r="J388" s="284">
        <f ca="1">OFFSET('Tax value roll forward'!H$67,0,I388-1)-SUM('Tax value roll forward'!H454:OFFSET('Tax value roll forward'!H454,0,Input!$X$7-1))</f>
        <v>0</v>
      </c>
      <c r="K388" s="284">
        <f ca="1">IF(A28taxstdlife="N/A","n/a",IF(J388=0,0,A28taxstdlife+I388-Input!$X$7))</f>
        <v>0</v>
      </c>
      <c r="L388" s="286"/>
      <c r="M388" s="9"/>
      <c r="N388" s="9"/>
      <c r="O388" s="9"/>
      <c r="P388" s="9"/>
      <c r="Q388" s="9"/>
      <c r="R388" s="9"/>
      <c r="S388" s="271"/>
      <c r="T388" s="271"/>
      <c r="U388" s="271"/>
      <c r="V388" s="271"/>
      <c r="W388" s="271"/>
      <c r="X388" s="271"/>
      <c r="Y388" s="271"/>
      <c r="Z388" s="271"/>
    </row>
    <row r="389" spans="1:26" ht="14.45" hidden="1" customHeight="1" outlineLevel="1">
      <c r="A389" s="9"/>
      <c r="B389" s="283"/>
      <c r="C389" s="353"/>
      <c r="D389" s="287">
        <f t="shared" si="52"/>
        <v>3</v>
      </c>
      <c r="E389" s="284">
        <f ca="1">OFFSET('Actual RAB roll forward'!H$39,0,D389-1)-SUM('Actual RAB roll forward'!H399:OFFSET('Actual RAB roll forward'!H399,0,Input!$X$7-1))</f>
        <v>0</v>
      </c>
      <c r="F389" s="284">
        <f ca="1">IF(A28stdlife="N/A","n/a",IF(E389=0,0,A28stdlife+D389-Input!$X$7))</f>
        <v>0</v>
      </c>
      <c r="G389" s="285"/>
      <c r="H389" s="356"/>
      <c r="I389" s="287">
        <f t="shared" si="53"/>
        <v>3</v>
      </c>
      <c r="J389" s="284">
        <f ca="1">OFFSET('Tax value roll forward'!H$67,0,I389-1)-SUM('Tax value roll forward'!H455:OFFSET('Tax value roll forward'!H455,0,Input!$X$7-1))</f>
        <v>0</v>
      </c>
      <c r="K389" s="284">
        <f ca="1">IF(A28taxstdlife="N/A","n/a",IF(J389=0,0,A28taxstdlife+I389-Input!$X$7))</f>
        <v>0</v>
      </c>
      <c r="L389" s="286"/>
      <c r="M389" s="9"/>
      <c r="N389" s="9"/>
      <c r="O389" s="9"/>
      <c r="P389" s="9"/>
      <c r="Q389" s="9"/>
      <c r="R389" s="9"/>
      <c r="S389" s="271"/>
      <c r="T389" s="271"/>
      <c r="U389" s="271"/>
      <c r="V389" s="271"/>
      <c r="W389" s="271"/>
      <c r="X389" s="271"/>
      <c r="Y389" s="271"/>
      <c r="Z389" s="271"/>
    </row>
    <row r="390" spans="1:26" ht="14.45" hidden="1" customHeight="1" outlineLevel="1">
      <c r="A390" s="9"/>
      <c r="B390" s="283"/>
      <c r="C390" s="353"/>
      <c r="D390" s="287">
        <f t="shared" si="52"/>
        <v>4</v>
      </c>
      <c r="E390" s="284">
        <f ca="1">OFFSET('Actual RAB roll forward'!H$39,0,D390-1)-SUM('Actual RAB roll forward'!H400:OFFSET('Actual RAB roll forward'!H400,0,Input!$X$7-1))</f>
        <v>0</v>
      </c>
      <c r="F390" s="284">
        <f ca="1">IF(A28stdlife="N/A","n/a",IF(E390=0,0,A28stdlife+D390-Input!$X$7))</f>
        <v>0</v>
      </c>
      <c r="G390" s="285"/>
      <c r="H390" s="356"/>
      <c r="I390" s="287">
        <f t="shared" si="53"/>
        <v>4</v>
      </c>
      <c r="J390" s="284">
        <f ca="1">OFFSET('Tax value roll forward'!H$67,0,I390-1)-SUM('Tax value roll forward'!H456:OFFSET('Tax value roll forward'!H456,0,Input!$X$7-1))</f>
        <v>0</v>
      </c>
      <c r="K390" s="284">
        <f ca="1">IF(A28taxstdlife="N/A","n/a",IF(J390=0,0,A28taxstdlife+I390-Input!$X$7))</f>
        <v>0</v>
      </c>
      <c r="L390" s="286"/>
      <c r="M390" s="9"/>
      <c r="N390" s="9"/>
      <c r="O390" s="9"/>
      <c r="P390" s="9"/>
      <c r="Q390" s="9"/>
      <c r="R390" s="9"/>
      <c r="S390" s="271"/>
      <c r="T390" s="271"/>
      <c r="U390" s="271"/>
      <c r="V390" s="271"/>
      <c r="W390" s="271"/>
      <c r="X390" s="271"/>
      <c r="Y390" s="271"/>
      <c r="Z390" s="271"/>
    </row>
    <row r="391" spans="1:26" ht="14.45" hidden="1" customHeight="1" outlineLevel="1">
      <c r="A391" s="9"/>
      <c r="B391" s="283"/>
      <c r="C391" s="353"/>
      <c r="D391" s="287">
        <f t="shared" si="52"/>
        <v>5</v>
      </c>
      <c r="E391" s="284">
        <f ca="1">OFFSET('Actual RAB roll forward'!H$39,0,D391-1)-SUM('Actual RAB roll forward'!H401:OFFSET('Actual RAB roll forward'!H401,0,Input!$X$7-1))</f>
        <v>0</v>
      </c>
      <c r="F391" s="284">
        <f ca="1">IF(A28stdlife="N/A","n/a",IF(E391=0,0,A28stdlife+D391-Input!$X$7))</f>
        <v>0</v>
      </c>
      <c r="G391" s="285"/>
      <c r="H391" s="356"/>
      <c r="I391" s="287">
        <f t="shared" si="53"/>
        <v>5</v>
      </c>
      <c r="J391" s="284">
        <f ca="1">OFFSET('Tax value roll forward'!H$67,0,I391-1)-SUM('Tax value roll forward'!H457:OFFSET('Tax value roll forward'!H457,0,Input!$X$7-1))</f>
        <v>0</v>
      </c>
      <c r="K391" s="284">
        <f ca="1">IF(A28taxstdlife="N/A","n/a",IF(J391=0,0,A28taxstdlife+I391-Input!$X$7))</f>
        <v>0</v>
      </c>
      <c r="L391" s="286"/>
      <c r="M391" s="9"/>
      <c r="N391" s="9"/>
      <c r="O391" s="9"/>
      <c r="P391" s="9"/>
      <c r="Q391" s="9"/>
      <c r="R391" s="9"/>
      <c r="S391" s="271"/>
      <c r="T391" s="271"/>
      <c r="U391" s="271"/>
      <c r="V391" s="271"/>
      <c r="W391" s="271"/>
      <c r="X391" s="271"/>
      <c r="Y391" s="271"/>
      <c r="Z391" s="271"/>
    </row>
    <row r="392" spans="1:26" ht="14.45" hidden="1" customHeight="1" outlineLevel="1">
      <c r="A392" s="9"/>
      <c r="B392" s="283"/>
      <c r="C392" s="353"/>
      <c r="D392" s="287">
        <f t="shared" si="52"/>
        <v>6</v>
      </c>
      <c r="E392" s="284">
        <f ca="1">OFFSET('Actual RAB roll forward'!H$39,0,D392-1)-SUM('Actual RAB roll forward'!H402:OFFSET('Actual RAB roll forward'!H402,0,Input!$X$7-1))</f>
        <v>0</v>
      </c>
      <c r="F392" s="284">
        <f ca="1">IF(A28stdlife="N/A","n/a",IF(E392=0,0,A28stdlife+D392-Input!$X$7))</f>
        <v>0</v>
      </c>
      <c r="G392" s="285"/>
      <c r="H392" s="356"/>
      <c r="I392" s="287">
        <f t="shared" si="53"/>
        <v>6</v>
      </c>
      <c r="J392" s="284">
        <f ca="1">OFFSET('Tax value roll forward'!H$67,0,I392-1)-SUM('Tax value roll forward'!H458:OFFSET('Tax value roll forward'!H458,0,Input!$X$7-1))</f>
        <v>0</v>
      </c>
      <c r="K392" s="284">
        <f ca="1">IF(A28taxstdlife="N/A","n/a",IF(J392=0,0,A28taxstdlife+I392-Input!$X$7))</f>
        <v>0</v>
      </c>
      <c r="L392" s="286"/>
      <c r="M392" s="9"/>
      <c r="N392" s="9"/>
      <c r="O392" s="9"/>
      <c r="P392" s="9"/>
      <c r="Q392" s="9"/>
      <c r="R392" s="9"/>
      <c r="S392" s="271"/>
      <c r="T392" s="271"/>
      <c r="U392" s="271"/>
      <c r="V392" s="271"/>
      <c r="W392" s="271"/>
      <c r="X392" s="271"/>
      <c r="Y392" s="271"/>
      <c r="Z392" s="271"/>
    </row>
    <row r="393" spans="1:26" ht="14.45" hidden="1" customHeight="1" outlineLevel="1">
      <c r="A393" s="9"/>
      <c r="B393" s="283"/>
      <c r="C393" s="353"/>
      <c r="D393" s="287">
        <f t="shared" si="52"/>
        <v>7</v>
      </c>
      <c r="E393" s="284">
        <f ca="1">OFFSET('Actual RAB roll forward'!H$39,0,D393-1)-SUM('Actual RAB roll forward'!H403:OFFSET('Actual RAB roll forward'!H403,0,Input!$X$7-1))</f>
        <v>0</v>
      </c>
      <c r="F393" s="284">
        <f ca="1">IF(A28stdlife="N/A","n/a",IF(E393=0,0,A28stdlife+D393-Input!$X$7))</f>
        <v>0</v>
      </c>
      <c r="G393" s="285"/>
      <c r="H393" s="356"/>
      <c r="I393" s="287">
        <f t="shared" si="53"/>
        <v>7</v>
      </c>
      <c r="J393" s="284">
        <f ca="1">OFFSET('Tax value roll forward'!H$67,0,I393-1)-SUM('Tax value roll forward'!H459:OFFSET('Tax value roll forward'!H459,0,Input!$X$7-1))</f>
        <v>0</v>
      </c>
      <c r="K393" s="284">
        <f ca="1">IF(A28taxstdlife="N/A","n/a",IF(J393=0,0,A28taxstdlife+I393-Input!$X$7))</f>
        <v>0</v>
      </c>
      <c r="L393" s="286"/>
      <c r="M393" s="9"/>
      <c r="N393" s="9"/>
      <c r="O393" s="9"/>
      <c r="P393" s="9"/>
      <c r="Q393" s="9"/>
      <c r="R393" s="9"/>
      <c r="S393" s="271"/>
      <c r="T393" s="271"/>
      <c r="U393" s="271"/>
      <c r="V393" s="271"/>
      <c r="W393" s="271"/>
      <c r="X393" s="271"/>
      <c r="Y393" s="271"/>
      <c r="Z393" s="271"/>
    </row>
    <row r="394" spans="1:26" ht="14.45" hidden="1" customHeight="1" outlineLevel="1">
      <c r="A394" s="9"/>
      <c r="B394" s="283"/>
      <c r="C394" s="353"/>
      <c r="D394" s="287">
        <f t="shared" si="52"/>
        <v>8</v>
      </c>
      <c r="E394" s="284">
        <f ca="1">OFFSET('Actual RAB roll forward'!H$39,0,D394-1)-SUM('Actual RAB roll forward'!H404:OFFSET('Actual RAB roll forward'!H404,0,Input!$X$7-1))</f>
        <v>0</v>
      </c>
      <c r="F394" s="284">
        <f ca="1">IF(A28stdlife="N/A","n/a",IF(E394=0,0,A28stdlife+D394-Input!$X$7))</f>
        <v>0</v>
      </c>
      <c r="G394" s="285"/>
      <c r="H394" s="356"/>
      <c r="I394" s="287">
        <f t="shared" si="53"/>
        <v>8</v>
      </c>
      <c r="J394" s="284">
        <f ca="1">OFFSET('Tax value roll forward'!H$67,0,I394-1)-SUM('Tax value roll forward'!H460:OFFSET('Tax value roll forward'!H460,0,Input!$X$7-1))</f>
        <v>0</v>
      </c>
      <c r="K394" s="284">
        <f ca="1">IF(A28taxstdlife="N/A","n/a",IF(J394=0,0,A28taxstdlife+I394-Input!$X$7))</f>
        <v>0</v>
      </c>
      <c r="L394" s="286"/>
      <c r="M394" s="9"/>
      <c r="N394" s="9"/>
      <c r="O394" s="9"/>
      <c r="P394" s="9"/>
      <c r="Q394" s="9"/>
      <c r="R394" s="9"/>
      <c r="S394" s="271"/>
      <c r="T394" s="271"/>
      <c r="U394" s="271"/>
      <c r="V394" s="271"/>
      <c r="W394" s="271"/>
      <c r="X394" s="271"/>
      <c r="Y394" s="271"/>
      <c r="Z394" s="271"/>
    </row>
    <row r="395" spans="1:26" ht="14.45" hidden="1" customHeight="1" outlineLevel="1">
      <c r="A395" s="9"/>
      <c r="B395" s="283"/>
      <c r="C395" s="353"/>
      <c r="D395" s="287">
        <f t="shared" si="52"/>
        <v>9</v>
      </c>
      <c r="E395" s="284">
        <f ca="1">OFFSET('Actual RAB roll forward'!H$39,0,D395-1)-SUM('Actual RAB roll forward'!H405:OFFSET('Actual RAB roll forward'!H405,0,Input!$X$7-1))</f>
        <v>0</v>
      </c>
      <c r="F395" s="284">
        <f ca="1">IF(A28stdlife="N/A","n/a",IF(E395=0,0,A28stdlife+D395-Input!$X$7))</f>
        <v>0</v>
      </c>
      <c r="G395" s="285"/>
      <c r="H395" s="356"/>
      <c r="I395" s="287">
        <f t="shared" si="53"/>
        <v>9</v>
      </c>
      <c r="J395" s="284">
        <f ca="1">OFFSET('Tax value roll forward'!H$67,0,I395-1)-SUM('Tax value roll forward'!H461:OFFSET('Tax value roll forward'!H461,0,Input!$X$7-1))</f>
        <v>0</v>
      </c>
      <c r="K395" s="284">
        <f ca="1">IF(A28taxstdlife="N/A","n/a",IF(J395=0,0,A28taxstdlife+I395-Input!$X$7))</f>
        <v>0</v>
      </c>
      <c r="L395" s="286"/>
      <c r="M395" s="9"/>
      <c r="N395" s="9"/>
      <c r="O395" s="9"/>
      <c r="P395" s="9"/>
      <c r="Q395" s="9"/>
      <c r="R395" s="9"/>
      <c r="S395" s="271"/>
      <c r="T395" s="271"/>
      <c r="U395" s="271"/>
      <c r="V395" s="271"/>
      <c r="W395" s="271"/>
      <c r="X395" s="271"/>
      <c r="Y395" s="271"/>
      <c r="Z395" s="271"/>
    </row>
    <row r="396" spans="1:26" ht="14.45" hidden="1" customHeight="1" outlineLevel="1">
      <c r="A396" s="9"/>
      <c r="B396" s="283"/>
      <c r="C396" s="354"/>
      <c r="D396" s="89">
        <f t="shared" si="52"/>
        <v>10</v>
      </c>
      <c r="E396" s="284">
        <f ca="1">OFFSET('Actual RAB roll forward'!H$39,0,D396-1)-SUM('Actual RAB roll forward'!H406:OFFSET('Actual RAB roll forward'!H406,0,Input!$X$7-1))</f>
        <v>0</v>
      </c>
      <c r="F396" s="284">
        <f ca="1">IF(A28stdlife="N/A","n/a",IF(E396=0,0,A28stdlife+D396-Input!$X$7))</f>
        <v>0</v>
      </c>
      <c r="G396" s="285"/>
      <c r="H396" s="357"/>
      <c r="I396" s="89">
        <f t="shared" si="53"/>
        <v>10</v>
      </c>
      <c r="J396" s="284">
        <f ca="1">OFFSET('Tax value roll forward'!H$67,0,I396-1)-SUM('Tax value roll forward'!H462:OFFSET('Tax value roll forward'!H462,0,Input!$X$7-1))</f>
        <v>0</v>
      </c>
      <c r="K396" s="284">
        <f ca="1">IF(A28taxstdlife="N/A","n/a",IF(J396=0,0,A28taxstdlife+I396-Input!$X$7))</f>
        <v>0</v>
      </c>
      <c r="L396" s="286"/>
      <c r="M396" s="9"/>
      <c r="N396" s="9"/>
      <c r="O396" s="9"/>
      <c r="P396" s="9"/>
      <c r="Q396" s="9"/>
      <c r="R396" s="9"/>
      <c r="S396" s="271"/>
      <c r="T396" s="271"/>
      <c r="U396" s="271"/>
      <c r="V396" s="271"/>
      <c r="W396" s="271"/>
      <c r="X396" s="271"/>
      <c r="Y396" s="271"/>
      <c r="Z396" s="271"/>
    </row>
    <row r="397" spans="1:26" collapsed="1">
      <c r="A397" s="9"/>
      <c r="B397" s="283"/>
      <c r="C397" s="286" t="str">
        <f>B385</f>
        <v>Equity Raising Costs</v>
      </c>
      <c r="D397" s="9"/>
      <c r="E397" s="284">
        <f ca="1">SUM(E386:E396)</f>
        <v>0</v>
      </c>
      <c r="F397" s="284" t="str">
        <f>IF(A28remlife="N/A","n/a",IF(E397=0,0,SUMPRODUCT(E386:E396,F386:F396)/E397))</f>
        <v>n/a</v>
      </c>
      <c r="G397" s="285"/>
      <c r="H397" s="45"/>
      <c r="I397" s="284"/>
      <c r="J397" s="284">
        <f ca="1">SUM(J386:J396)</f>
        <v>0</v>
      </c>
      <c r="K397" s="284">
        <f ca="1">IF(A28taxstdlife="N/A","n/a",IF(J397=0,0,SUMPRODUCT(J386:J396,K386:K396)/J397))</f>
        <v>0</v>
      </c>
      <c r="L397" s="286"/>
      <c r="M397" s="9"/>
      <c r="N397" s="9"/>
      <c r="O397" s="9"/>
      <c r="P397" s="9"/>
      <c r="Q397" s="9"/>
      <c r="R397" s="9"/>
      <c r="S397" s="271"/>
      <c r="T397" s="271"/>
      <c r="U397" s="271"/>
      <c r="V397" s="271"/>
      <c r="W397" s="271"/>
      <c r="X397" s="271"/>
      <c r="Y397" s="271"/>
      <c r="Z397" s="271"/>
    </row>
    <row r="398" spans="1:26" hidden="1" outlineLevel="1">
      <c r="A398" s="9"/>
      <c r="B398" s="281"/>
      <c r="C398" s="298"/>
      <c r="D398" s="298"/>
      <c r="E398" s="296"/>
      <c r="F398" s="296"/>
      <c r="G398" s="285"/>
      <c r="H398" s="284"/>
      <c r="I398" s="284"/>
      <c r="J398" s="293"/>
      <c r="K398" s="289"/>
      <c r="L398" s="286"/>
      <c r="M398" s="9"/>
      <c r="N398" s="9"/>
      <c r="O398" s="9"/>
      <c r="P398" s="9"/>
      <c r="Q398" s="9"/>
      <c r="R398" s="9"/>
      <c r="S398" s="271"/>
      <c r="T398" s="271"/>
      <c r="U398" s="271"/>
      <c r="V398" s="271"/>
      <c r="W398" s="271"/>
      <c r="X398" s="271"/>
      <c r="Y398" s="271"/>
      <c r="Z398" s="271"/>
    </row>
    <row r="399" spans="1:26" hidden="1" outlineLevel="1">
      <c r="A399" s="9"/>
      <c r="B399" s="281" t="str">
        <f>Asset29</f>
        <v>Not Used</v>
      </c>
      <c r="C399" s="298"/>
      <c r="D399" s="298"/>
      <c r="E399" s="296"/>
      <c r="F399" s="296"/>
      <c r="G399" s="285"/>
      <c r="H399" s="284"/>
      <c r="I399" s="284"/>
      <c r="J399" s="293"/>
      <c r="K399" s="289"/>
      <c r="L399" s="286"/>
      <c r="M399" s="9"/>
      <c r="N399" s="9"/>
      <c r="O399" s="9"/>
      <c r="P399" s="9"/>
      <c r="Q399" s="9"/>
      <c r="R399" s="9"/>
      <c r="S399" s="271"/>
      <c r="T399" s="271"/>
      <c r="U399" s="271"/>
      <c r="V399" s="271"/>
      <c r="W399" s="271"/>
      <c r="X399" s="271"/>
      <c r="Y399" s="271"/>
      <c r="Z399" s="271"/>
    </row>
    <row r="400" spans="1:26" ht="12.75" hidden="1" customHeight="1" outlineLevel="1">
      <c r="A400" s="9"/>
      <c r="B400" s="283"/>
      <c r="C400" s="358" t="str">
        <f>C386</f>
        <v>Opening RAB</v>
      </c>
      <c r="D400" s="359"/>
      <c r="E400" s="284">
        <f ca="1">A29value-SUM('Actual RAB roll forward'!H408:OFFSET('Actual RAB roll forward'!H408,0,Input!$X$7-1))</f>
        <v>0</v>
      </c>
      <c r="F400" s="284" t="str">
        <f>IF(A29remlife="N/A","n/a",A29remlife-Input!$X$7)</f>
        <v>n/a</v>
      </c>
      <c r="G400" s="285"/>
      <c r="H400" s="360" t="str">
        <f>H386</f>
        <v>Initial Asset Base</v>
      </c>
      <c r="I400" s="361"/>
      <c r="J400" s="284">
        <f ca="1">(A29taxvalue+'Tax value roll forward'!G68)-SUM('Tax value roll forward'!G464:OFFSET('Tax value roll forward'!G464,2,Input!$X$7))</f>
        <v>0</v>
      </c>
      <c r="K400" s="284" t="str">
        <f>IF(A29taxremlife="N/A","n/a",A29taxremlife-Input!$X$7-1)</f>
        <v>n/a</v>
      </c>
      <c r="L400" s="286"/>
      <c r="M400" s="9"/>
      <c r="N400" s="9"/>
      <c r="O400" s="9"/>
      <c r="P400" s="9"/>
      <c r="Q400" s="9"/>
      <c r="R400" s="9"/>
      <c r="S400" s="271"/>
      <c r="T400" s="271"/>
      <c r="U400" s="271"/>
      <c r="V400" s="271"/>
      <c r="W400" s="271"/>
      <c r="X400" s="271"/>
      <c r="Y400" s="271"/>
      <c r="Z400" s="271"/>
    </row>
    <row r="401" spans="1:26" ht="14.45" hidden="1" customHeight="1" outlineLevel="1">
      <c r="A401" s="9"/>
      <c r="B401" s="283"/>
      <c r="C401" s="352" t="str">
        <f>C387</f>
        <v>Capex in year</v>
      </c>
      <c r="D401" s="287">
        <f>D387</f>
        <v>1</v>
      </c>
      <c r="E401" s="284">
        <f ca="1">OFFSET('Actual RAB roll forward'!H$40,0,D401-1)-SUM('Actual RAB roll forward'!H410:OFFSET('Actual RAB roll forward'!H410,0,Input!$X$7-1))</f>
        <v>0</v>
      </c>
      <c r="F401" s="284" t="str">
        <f>IF(A29stdlife="N/A","n/a",IF(E401=0,0,A29stdlife+D401-Input!$X$7))</f>
        <v>n/a</v>
      </c>
      <c r="G401" s="285"/>
      <c r="H401" s="355" t="str">
        <f>H387</f>
        <v>Capex in year</v>
      </c>
      <c r="I401" s="287">
        <f>I387</f>
        <v>1</v>
      </c>
      <c r="J401" s="284">
        <f ca="1">OFFSET('Tax value roll forward'!H$68,0,I401-1)-SUM('Tax value roll forward'!H467:OFFSET('Tax value roll forward'!H467,0,Input!$X$7-1))</f>
        <v>0</v>
      </c>
      <c r="K401" s="284">
        <f ca="1">IF(A29taxstdlife="N/A","n/a",IF(J401=0,0,A29taxstdlife+I401-Input!$X$7))</f>
        <v>0</v>
      </c>
      <c r="L401" s="286"/>
      <c r="M401" s="9"/>
      <c r="N401" s="9"/>
      <c r="O401" s="9"/>
      <c r="P401" s="9"/>
      <c r="Q401" s="9"/>
      <c r="R401" s="9"/>
      <c r="S401" s="271"/>
      <c r="T401" s="271"/>
      <c r="U401" s="271"/>
      <c r="V401" s="271"/>
      <c r="W401" s="271"/>
      <c r="X401" s="271"/>
      <c r="Y401" s="271"/>
      <c r="Z401" s="271"/>
    </row>
    <row r="402" spans="1:26" ht="14.45" hidden="1" customHeight="1" outlineLevel="1">
      <c r="A402" s="9"/>
      <c r="B402" s="283"/>
      <c r="C402" s="353"/>
      <c r="D402" s="287">
        <f t="shared" ref="D402:D410" si="54">D388</f>
        <v>2</v>
      </c>
      <c r="E402" s="284">
        <f ca="1">OFFSET('Actual RAB roll forward'!H$40,0,D402-1)-SUM('Actual RAB roll forward'!H411:OFFSET('Actual RAB roll forward'!H411,0,Input!$X$7-1))</f>
        <v>0</v>
      </c>
      <c r="F402" s="284" t="str">
        <f>IF(A29stdlife="N/A","n/a",IF(E402=0,0,A29stdlife+D402-Input!$X$7))</f>
        <v>n/a</v>
      </c>
      <c r="G402" s="285"/>
      <c r="H402" s="356"/>
      <c r="I402" s="287">
        <f t="shared" ref="I402:I410" si="55">I388</f>
        <v>2</v>
      </c>
      <c r="J402" s="284">
        <f ca="1">OFFSET('Tax value roll forward'!H$68,0,I402-1)-SUM('Tax value roll forward'!H468:OFFSET('Tax value roll forward'!H468,0,Input!$X$7-1))</f>
        <v>0</v>
      </c>
      <c r="K402" s="284">
        <f ca="1">IF(A29taxstdlife="N/A","n/a",IF(J402=0,0,A29taxstdlife+I402-Input!$X$7))</f>
        <v>0</v>
      </c>
      <c r="L402" s="286"/>
      <c r="M402" s="9"/>
      <c r="N402" s="9"/>
      <c r="O402" s="9"/>
      <c r="P402" s="9"/>
      <c r="Q402" s="9"/>
      <c r="R402" s="9"/>
      <c r="S402" s="271"/>
      <c r="T402" s="271"/>
      <c r="U402" s="271"/>
      <c r="V402" s="271"/>
      <c r="W402" s="271"/>
      <c r="X402" s="271"/>
      <c r="Y402" s="271"/>
      <c r="Z402" s="271"/>
    </row>
    <row r="403" spans="1:26" ht="14.45" hidden="1" customHeight="1" outlineLevel="1">
      <c r="A403" s="9"/>
      <c r="B403" s="283"/>
      <c r="C403" s="353"/>
      <c r="D403" s="287">
        <f t="shared" si="54"/>
        <v>3</v>
      </c>
      <c r="E403" s="284">
        <f ca="1">OFFSET('Actual RAB roll forward'!H$40,0,D403-1)-SUM('Actual RAB roll forward'!H412:OFFSET('Actual RAB roll forward'!H412,0,Input!$X$7-1))</f>
        <v>0</v>
      </c>
      <c r="F403" s="284" t="str">
        <f>IF(A29stdlife="N/A","n/a",IF(E403=0,0,A29stdlife+D403-Input!$X$7))</f>
        <v>n/a</v>
      </c>
      <c r="G403" s="285"/>
      <c r="H403" s="356"/>
      <c r="I403" s="287">
        <f t="shared" si="55"/>
        <v>3</v>
      </c>
      <c r="J403" s="284">
        <f ca="1">OFFSET('Tax value roll forward'!H$68,0,I403-1)-SUM('Tax value roll forward'!H469:OFFSET('Tax value roll forward'!H469,0,Input!$X$7-1))</f>
        <v>0</v>
      </c>
      <c r="K403" s="284">
        <f ca="1">IF(A29taxstdlife="N/A","n/a",IF(J403=0,0,A29taxstdlife+I403-Input!$X$7))</f>
        <v>0</v>
      </c>
      <c r="L403" s="286"/>
      <c r="M403" s="9"/>
      <c r="N403" s="9"/>
      <c r="O403" s="9"/>
      <c r="P403" s="9"/>
      <c r="Q403" s="9"/>
      <c r="R403" s="9"/>
      <c r="S403" s="271"/>
      <c r="T403" s="271"/>
      <c r="U403" s="271"/>
      <c r="V403" s="271"/>
      <c r="W403" s="271"/>
      <c r="X403" s="271"/>
      <c r="Y403" s="271"/>
      <c r="Z403" s="271"/>
    </row>
    <row r="404" spans="1:26" ht="14.45" hidden="1" customHeight="1" outlineLevel="1">
      <c r="A404" s="9"/>
      <c r="B404" s="283"/>
      <c r="C404" s="353"/>
      <c r="D404" s="287">
        <f t="shared" si="54"/>
        <v>4</v>
      </c>
      <c r="E404" s="284">
        <f ca="1">OFFSET('Actual RAB roll forward'!H$40,0,D404-1)-SUM('Actual RAB roll forward'!H413:OFFSET('Actual RAB roll forward'!H413,0,Input!$X$7-1))</f>
        <v>0</v>
      </c>
      <c r="F404" s="284" t="str">
        <f>IF(A29stdlife="N/A","n/a",IF(E404=0,0,A29stdlife+D404-Input!$X$7))</f>
        <v>n/a</v>
      </c>
      <c r="G404" s="285"/>
      <c r="H404" s="356"/>
      <c r="I404" s="287">
        <f t="shared" si="55"/>
        <v>4</v>
      </c>
      <c r="J404" s="284">
        <f ca="1">OFFSET('Tax value roll forward'!H$68,0,I404-1)-SUM('Tax value roll forward'!H470:OFFSET('Tax value roll forward'!H470,0,Input!$X$7-1))</f>
        <v>0</v>
      </c>
      <c r="K404" s="284">
        <f ca="1">IF(A29taxstdlife="N/A","n/a",IF(J404=0,0,A29taxstdlife+I404-Input!$X$7))</f>
        <v>0</v>
      </c>
      <c r="L404" s="286"/>
      <c r="M404" s="9"/>
      <c r="N404" s="9"/>
      <c r="O404" s="9"/>
      <c r="P404" s="9"/>
      <c r="Q404" s="9"/>
      <c r="R404" s="9"/>
      <c r="S404" s="271"/>
      <c r="T404" s="271"/>
      <c r="U404" s="271"/>
      <c r="V404" s="271"/>
      <c r="W404" s="271"/>
      <c r="X404" s="271"/>
      <c r="Y404" s="271"/>
      <c r="Z404" s="271"/>
    </row>
    <row r="405" spans="1:26" ht="14.45" hidden="1" customHeight="1" outlineLevel="1">
      <c r="A405" s="9"/>
      <c r="B405" s="283"/>
      <c r="C405" s="353"/>
      <c r="D405" s="287">
        <f t="shared" si="54"/>
        <v>5</v>
      </c>
      <c r="E405" s="284">
        <f ca="1">OFFSET('Actual RAB roll forward'!H$40,0,D405-1)-SUM('Actual RAB roll forward'!H414:OFFSET('Actual RAB roll forward'!H414,0,Input!$X$7-1))</f>
        <v>0</v>
      </c>
      <c r="F405" s="284" t="str">
        <f>IF(A29stdlife="N/A","n/a",IF(E405=0,0,A29stdlife+D405-Input!$X$7))</f>
        <v>n/a</v>
      </c>
      <c r="G405" s="285"/>
      <c r="H405" s="356"/>
      <c r="I405" s="287">
        <f t="shared" si="55"/>
        <v>5</v>
      </c>
      <c r="J405" s="284">
        <f ca="1">OFFSET('Tax value roll forward'!H$68,0,I405-1)-SUM('Tax value roll forward'!H471:OFFSET('Tax value roll forward'!H471,0,Input!$X$7-1))</f>
        <v>0</v>
      </c>
      <c r="K405" s="284">
        <f ca="1">IF(A29taxstdlife="N/A","n/a",IF(J405=0,0,A29taxstdlife+I405-Input!$X$7))</f>
        <v>0</v>
      </c>
      <c r="L405" s="286"/>
      <c r="M405" s="9"/>
      <c r="N405" s="9"/>
      <c r="O405" s="9"/>
      <c r="P405" s="9"/>
      <c r="Q405" s="9"/>
      <c r="R405" s="9"/>
      <c r="S405" s="271"/>
      <c r="T405" s="271"/>
      <c r="U405" s="271"/>
      <c r="V405" s="271"/>
      <c r="W405" s="271"/>
      <c r="X405" s="271"/>
      <c r="Y405" s="271"/>
      <c r="Z405" s="271"/>
    </row>
    <row r="406" spans="1:26" ht="14.45" hidden="1" customHeight="1" outlineLevel="1">
      <c r="A406" s="9"/>
      <c r="B406" s="283"/>
      <c r="C406" s="353"/>
      <c r="D406" s="287">
        <f t="shared" si="54"/>
        <v>6</v>
      </c>
      <c r="E406" s="284">
        <f ca="1">OFFSET('Actual RAB roll forward'!H$40,0,D406-1)-SUM('Actual RAB roll forward'!H415:OFFSET('Actual RAB roll forward'!H415,0,Input!$X$7-1))</f>
        <v>0</v>
      </c>
      <c r="F406" s="284" t="str">
        <f>IF(A29stdlife="N/A","n/a",IF(E406=0,0,A29stdlife+D406-Input!$X$7))</f>
        <v>n/a</v>
      </c>
      <c r="G406" s="285"/>
      <c r="H406" s="356"/>
      <c r="I406" s="287">
        <f t="shared" si="55"/>
        <v>6</v>
      </c>
      <c r="J406" s="284">
        <f ca="1">OFFSET('Tax value roll forward'!H$68,0,I406-1)-SUM('Tax value roll forward'!H472:OFFSET('Tax value roll forward'!H472,0,Input!$X$7-1))</f>
        <v>0</v>
      </c>
      <c r="K406" s="284">
        <f ca="1">IF(A29taxstdlife="N/A","n/a",IF(J406=0,0,A29taxstdlife+I406-Input!$X$7))</f>
        <v>0</v>
      </c>
      <c r="L406" s="286"/>
      <c r="M406" s="9"/>
      <c r="N406" s="9"/>
      <c r="O406" s="9"/>
      <c r="P406" s="9"/>
      <c r="Q406" s="9"/>
      <c r="R406" s="9"/>
      <c r="S406" s="271"/>
      <c r="T406" s="271"/>
      <c r="U406" s="271"/>
      <c r="V406" s="271"/>
      <c r="W406" s="271"/>
      <c r="X406" s="271"/>
      <c r="Y406" s="271"/>
      <c r="Z406" s="271"/>
    </row>
    <row r="407" spans="1:26" ht="14.45" hidden="1" customHeight="1" outlineLevel="1">
      <c r="A407" s="9"/>
      <c r="B407" s="283"/>
      <c r="C407" s="353"/>
      <c r="D407" s="287">
        <f t="shared" si="54"/>
        <v>7</v>
      </c>
      <c r="E407" s="284">
        <f ca="1">OFFSET('Actual RAB roll forward'!H$40,0,D407-1)-SUM('Actual RAB roll forward'!H416:OFFSET('Actual RAB roll forward'!H416,0,Input!$X$7-1))</f>
        <v>0</v>
      </c>
      <c r="F407" s="284" t="str">
        <f>IF(A29stdlife="N/A","n/a",IF(E407=0,0,A29stdlife+D407-Input!$X$7))</f>
        <v>n/a</v>
      </c>
      <c r="G407" s="285"/>
      <c r="H407" s="356"/>
      <c r="I407" s="287">
        <f t="shared" si="55"/>
        <v>7</v>
      </c>
      <c r="J407" s="284">
        <f ca="1">OFFSET('Tax value roll forward'!H$68,0,I407-1)-SUM('Tax value roll forward'!H473:OFFSET('Tax value roll forward'!H473,0,Input!$X$7-1))</f>
        <v>0</v>
      </c>
      <c r="K407" s="284">
        <f ca="1">IF(A29taxstdlife="N/A","n/a",IF(J407=0,0,A29taxstdlife+I407-Input!$X$7))</f>
        <v>0</v>
      </c>
      <c r="L407" s="286"/>
      <c r="M407" s="9"/>
      <c r="N407" s="9"/>
      <c r="O407" s="9"/>
      <c r="P407" s="9"/>
      <c r="Q407" s="9"/>
      <c r="R407" s="9"/>
      <c r="S407" s="271"/>
      <c r="T407" s="271"/>
      <c r="U407" s="271"/>
      <c r="V407" s="271"/>
      <c r="W407" s="271"/>
      <c r="X407" s="271"/>
      <c r="Y407" s="271"/>
      <c r="Z407" s="271"/>
    </row>
    <row r="408" spans="1:26" ht="14.45" hidden="1" customHeight="1" outlineLevel="1">
      <c r="A408" s="9"/>
      <c r="B408" s="283"/>
      <c r="C408" s="353"/>
      <c r="D408" s="287">
        <f t="shared" si="54"/>
        <v>8</v>
      </c>
      <c r="E408" s="284">
        <f ca="1">OFFSET('Actual RAB roll forward'!H$40,0,D408-1)-SUM('Actual RAB roll forward'!H417:OFFSET('Actual RAB roll forward'!H417,0,Input!$X$7-1))</f>
        <v>0</v>
      </c>
      <c r="F408" s="284" t="str">
        <f>IF(A29stdlife="N/A","n/a",IF(E408=0,0,A29stdlife+D408-Input!$X$7))</f>
        <v>n/a</v>
      </c>
      <c r="G408" s="285"/>
      <c r="H408" s="356"/>
      <c r="I408" s="287">
        <f t="shared" si="55"/>
        <v>8</v>
      </c>
      <c r="J408" s="284">
        <f ca="1">OFFSET('Tax value roll forward'!H$68,0,I408-1)-SUM('Tax value roll forward'!H474:OFFSET('Tax value roll forward'!H474,0,Input!$X$7-1))</f>
        <v>0</v>
      </c>
      <c r="K408" s="284">
        <f ca="1">IF(A29taxstdlife="N/A","n/a",IF(J408=0,0,A29taxstdlife+I408-Input!$X$7))</f>
        <v>0</v>
      </c>
      <c r="L408" s="286"/>
      <c r="M408" s="9"/>
      <c r="N408" s="9"/>
      <c r="O408" s="9"/>
      <c r="P408" s="9"/>
      <c r="Q408" s="9"/>
      <c r="R408" s="9"/>
      <c r="S408" s="271"/>
      <c r="T408" s="271"/>
      <c r="U408" s="271"/>
      <c r="V408" s="271"/>
      <c r="W408" s="271"/>
      <c r="X408" s="271"/>
      <c r="Y408" s="271"/>
      <c r="Z408" s="271"/>
    </row>
    <row r="409" spans="1:26" ht="14.45" hidden="1" customHeight="1" outlineLevel="1">
      <c r="A409" s="9"/>
      <c r="B409" s="283"/>
      <c r="C409" s="353"/>
      <c r="D409" s="287">
        <f t="shared" si="54"/>
        <v>9</v>
      </c>
      <c r="E409" s="284">
        <f ca="1">OFFSET('Actual RAB roll forward'!H$40,0,D409-1)-SUM('Actual RAB roll forward'!H418:OFFSET('Actual RAB roll forward'!H418,0,Input!$X$7-1))</f>
        <v>0</v>
      </c>
      <c r="F409" s="284" t="str">
        <f>IF(A29stdlife="N/A","n/a",IF(E409=0,0,A29stdlife+D409-Input!$X$7))</f>
        <v>n/a</v>
      </c>
      <c r="G409" s="285"/>
      <c r="H409" s="356"/>
      <c r="I409" s="287">
        <f t="shared" si="55"/>
        <v>9</v>
      </c>
      <c r="J409" s="284">
        <f ca="1">OFFSET('Tax value roll forward'!H$68,0,I409-1)-SUM('Tax value roll forward'!H475:OFFSET('Tax value roll forward'!H475,0,Input!$X$7-1))</f>
        <v>0</v>
      </c>
      <c r="K409" s="284">
        <f ca="1">IF(A29taxstdlife="N/A","n/a",IF(J409=0,0,A29taxstdlife+I409-Input!$X$7))</f>
        <v>0</v>
      </c>
      <c r="L409" s="286"/>
      <c r="M409" s="9"/>
      <c r="N409" s="9"/>
      <c r="O409" s="9"/>
      <c r="P409" s="9"/>
      <c r="Q409" s="9"/>
      <c r="R409" s="9"/>
      <c r="S409" s="271"/>
      <c r="T409" s="271"/>
      <c r="U409" s="271"/>
      <c r="V409" s="271"/>
      <c r="W409" s="271"/>
      <c r="X409" s="271"/>
      <c r="Y409" s="271"/>
      <c r="Z409" s="271"/>
    </row>
    <row r="410" spans="1:26" ht="14.45" hidden="1" customHeight="1" outlineLevel="1">
      <c r="A410" s="9"/>
      <c r="B410" s="283"/>
      <c r="C410" s="354"/>
      <c r="D410" s="89">
        <f t="shared" si="54"/>
        <v>10</v>
      </c>
      <c r="E410" s="284">
        <f ca="1">OFFSET('Actual RAB roll forward'!H$40,0,D410-1)-SUM('Actual RAB roll forward'!H419:OFFSET('Actual RAB roll forward'!H419,0,Input!$X$7-1))</f>
        <v>0</v>
      </c>
      <c r="F410" s="284" t="str">
        <f>IF(A29stdlife="N/A","n/a",IF(E410=0,0,A29stdlife+D410-Input!$X$7))</f>
        <v>n/a</v>
      </c>
      <c r="G410" s="285"/>
      <c r="H410" s="357"/>
      <c r="I410" s="89">
        <f t="shared" si="55"/>
        <v>10</v>
      </c>
      <c r="J410" s="284">
        <f ca="1">OFFSET('Tax value roll forward'!H$68,0,I410-1)-SUM('Tax value roll forward'!H476:OFFSET('Tax value roll forward'!H476,0,Input!$X$7-1))</f>
        <v>0</v>
      </c>
      <c r="K410" s="284">
        <f ca="1">IF(A29taxstdlife="N/A","n/a",IF(J410=0,0,A29taxstdlife+I410-Input!$X$7))</f>
        <v>0</v>
      </c>
      <c r="L410" s="286"/>
      <c r="M410" s="9"/>
      <c r="N410" s="9"/>
      <c r="O410" s="9"/>
      <c r="P410" s="9"/>
      <c r="Q410" s="9"/>
      <c r="R410" s="9"/>
      <c r="S410" s="271"/>
      <c r="T410" s="271"/>
      <c r="U410" s="271"/>
      <c r="V410" s="271"/>
      <c r="W410" s="271"/>
      <c r="X410" s="271"/>
      <c r="Y410" s="271"/>
      <c r="Z410" s="271"/>
    </row>
    <row r="411" spans="1:26" collapsed="1">
      <c r="A411" s="9"/>
      <c r="B411" s="283"/>
      <c r="C411" s="286" t="str">
        <f>B399</f>
        <v>Not Used</v>
      </c>
      <c r="D411" s="9"/>
      <c r="E411" s="284">
        <f ca="1">SUM(E400:E410)</f>
        <v>0</v>
      </c>
      <c r="F411" s="284" t="str">
        <f>IF(A29remlife="N/A","n/a",IF(E411=0,0,SUMPRODUCT(E400:E410,F400:F410)/E411))</f>
        <v>n/a</v>
      </c>
      <c r="G411" s="285"/>
      <c r="H411" s="45"/>
      <c r="I411" s="284"/>
      <c r="J411" s="284">
        <f ca="1">SUM(J400:J410)</f>
        <v>0</v>
      </c>
      <c r="K411" s="284">
        <f ca="1">IF(A29taxstdlife="N/A","n/a",IF(J411=0,0,SUMPRODUCT(J400:J410,K400:K410)/J411))</f>
        <v>0</v>
      </c>
      <c r="L411" s="286"/>
      <c r="M411" s="9"/>
      <c r="N411" s="9"/>
      <c r="O411" s="9"/>
      <c r="P411" s="9"/>
      <c r="Q411" s="9"/>
      <c r="R411" s="9"/>
      <c r="S411" s="271"/>
      <c r="T411" s="271"/>
      <c r="U411" s="271"/>
      <c r="V411" s="271"/>
      <c r="W411" s="271"/>
      <c r="X411" s="271"/>
      <c r="Y411" s="271"/>
      <c r="Z411" s="271"/>
    </row>
    <row r="412" spans="1:26" hidden="1" outlineLevel="1">
      <c r="A412" s="9"/>
      <c r="B412" s="281"/>
      <c r="C412" s="298"/>
      <c r="D412" s="298"/>
      <c r="E412" s="296"/>
      <c r="F412" s="296"/>
      <c r="G412" s="285"/>
      <c r="H412" s="284"/>
      <c r="I412" s="284"/>
      <c r="J412" s="293"/>
      <c r="K412" s="289"/>
      <c r="L412" s="286"/>
      <c r="M412" s="9"/>
      <c r="N412" s="9"/>
      <c r="O412" s="9"/>
      <c r="P412" s="9"/>
      <c r="Q412" s="9"/>
      <c r="R412" s="9"/>
      <c r="S412" s="271"/>
      <c r="T412" s="271"/>
      <c r="U412" s="271"/>
      <c r="V412" s="271"/>
      <c r="W412" s="271"/>
      <c r="X412" s="271"/>
      <c r="Y412" s="271"/>
      <c r="Z412" s="271"/>
    </row>
    <row r="413" spans="1:26" hidden="1" outlineLevel="1">
      <c r="A413" s="9"/>
      <c r="B413" s="281" t="str">
        <f>Asset29</f>
        <v>Not Used</v>
      </c>
      <c r="C413" s="298"/>
      <c r="D413" s="298"/>
      <c r="E413" s="296"/>
      <c r="F413" s="296"/>
      <c r="G413" s="285"/>
      <c r="H413" s="284"/>
      <c r="I413" s="284"/>
      <c r="J413" s="293"/>
      <c r="K413" s="289"/>
      <c r="L413" s="286"/>
      <c r="M413" s="9"/>
      <c r="N413" s="9"/>
      <c r="O413" s="9"/>
      <c r="P413" s="9"/>
      <c r="Q413" s="9"/>
      <c r="R413" s="9"/>
      <c r="S413" s="271"/>
      <c r="T413" s="271"/>
      <c r="U413" s="271"/>
      <c r="V413" s="271"/>
      <c r="W413" s="271"/>
      <c r="X413" s="271"/>
      <c r="Y413" s="271"/>
      <c r="Z413" s="271"/>
    </row>
    <row r="414" spans="1:26" ht="12.75" hidden="1" customHeight="1" outlineLevel="1">
      <c r="A414" s="9"/>
      <c r="B414" s="283"/>
      <c r="C414" s="358" t="str">
        <f>C400</f>
        <v>Opening RAB</v>
      </c>
      <c r="D414" s="359"/>
      <c r="E414" s="284">
        <f ca="1">A30value-SUM('Actual RAB roll forward'!H421:OFFSET('Actual RAB roll forward'!H421,0,Input!$X$7-1))</f>
        <v>0</v>
      </c>
      <c r="F414" s="284" t="str">
        <f>IF(A30remlife="N/A","n/a",A30remlife-Input!$X$7)</f>
        <v>n/a</v>
      </c>
      <c r="G414" s="285"/>
      <c r="H414" s="360" t="str">
        <f>H400</f>
        <v>Initial Asset Base</v>
      </c>
      <c r="I414" s="361"/>
      <c r="J414" s="284">
        <f ca="1">(A30taxvalue+'Tax value roll forward'!G69)-SUM('Tax value roll forward'!G478:OFFSET('Tax value roll forward'!G478,2,Input!$X$7))</f>
        <v>0</v>
      </c>
      <c r="K414" s="284" t="str">
        <f>IF(A30taxremlife="N/A","n/a",A30taxremlife-Input!$X$7-1)</f>
        <v>n/a</v>
      </c>
      <c r="L414" s="286"/>
      <c r="M414" s="9"/>
      <c r="N414" s="9"/>
      <c r="O414" s="9"/>
      <c r="P414" s="9"/>
      <c r="Q414" s="9"/>
      <c r="R414" s="9"/>
      <c r="S414" s="271"/>
      <c r="T414" s="271"/>
      <c r="U414" s="271"/>
      <c r="V414" s="271"/>
      <c r="W414" s="271"/>
      <c r="X414" s="271"/>
      <c r="Y414" s="271"/>
      <c r="Z414" s="271"/>
    </row>
    <row r="415" spans="1:26" ht="14.45" hidden="1" customHeight="1" outlineLevel="1">
      <c r="A415" s="9"/>
      <c r="B415" s="283"/>
      <c r="C415" s="352" t="str">
        <f>C401</f>
        <v>Capex in year</v>
      </c>
      <c r="D415" s="287">
        <f>D401</f>
        <v>1</v>
      </c>
      <c r="E415" s="284">
        <f ca="1">OFFSET('Actual RAB roll forward'!H$41,0,D415-1)-SUM('Actual RAB roll forward'!H423:OFFSET('Actual RAB roll forward'!H423,0,Input!$X$7-1))</f>
        <v>0</v>
      </c>
      <c r="F415" s="284" t="str">
        <f>IF(A30stdlife="N/A","n/a",IF(E415=0,0,A30stdlife+D415-Input!$X$7))</f>
        <v>n/a</v>
      </c>
      <c r="G415" s="285"/>
      <c r="H415" s="355" t="str">
        <f>H401</f>
        <v>Capex in year</v>
      </c>
      <c r="I415" s="287">
        <f>I401</f>
        <v>1</v>
      </c>
      <c r="J415" s="284">
        <f ca="1">OFFSET('Tax value roll forward'!H$69,0,I415-1)-SUM('Tax value roll forward'!H481:OFFSET('Tax value roll forward'!H481,0,Input!$X$7-1))</f>
        <v>0</v>
      </c>
      <c r="K415" s="284">
        <f ca="1">IF(A30taxstdlife="N/A","n/a",IF(J415=0,0,A30taxstdlife+I415-Input!$X$7))</f>
        <v>0</v>
      </c>
      <c r="L415" s="286"/>
      <c r="M415" s="9"/>
      <c r="N415" s="9"/>
      <c r="O415" s="9"/>
      <c r="P415" s="9"/>
      <c r="Q415" s="9"/>
      <c r="R415" s="9"/>
      <c r="S415" s="271"/>
      <c r="T415" s="271"/>
      <c r="U415" s="271"/>
      <c r="V415" s="271"/>
      <c r="W415" s="271"/>
      <c r="X415" s="271"/>
      <c r="Y415" s="271"/>
      <c r="Z415" s="271"/>
    </row>
    <row r="416" spans="1:26" ht="14.45" hidden="1" customHeight="1" outlineLevel="1">
      <c r="A416" s="9"/>
      <c r="B416" s="283"/>
      <c r="C416" s="353"/>
      <c r="D416" s="287">
        <f t="shared" ref="D416:D424" si="56">D402</f>
        <v>2</v>
      </c>
      <c r="E416" s="284">
        <f ca="1">OFFSET('Actual RAB roll forward'!H$41,0,D416-1)-SUM('Actual RAB roll forward'!H424:OFFSET('Actual RAB roll forward'!H424,0,Input!$X$7-1))</f>
        <v>0</v>
      </c>
      <c r="F416" s="284" t="str">
        <f>IF(A30stdlife="N/A","n/a",IF(E416=0,0,A30stdlife+D416-Input!$X$7))</f>
        <v>n/a</v>
      </c>
      <c r="G416" s="285"/>
      <c r="H416" s="356"/>
      <c r="I416" s="287">
        <f t="shared" ref="I416:I424" si="57">I402</f>
        <v>2</v>
      </c>
      <c r="J416" s="284">
        <f ca="1">OFFSET('Tax value roll forward'!H$69,0,I416-1)-SUM('Tax value roll forward'!H482:OFFSET('Tax value roll forward'!H482,0,Input!$X$7-1))</f>
        <v>0</v>
      </c>
      <c r="K416" s="284">
        <f ca="1">IF(A30taxstdlife="N/A","n/a",IF(J416=0,0,A30taxstdlife+I416-Input!$X$7))</f>
        <v>0</v>
      </c>
      <c r="L416" s="286"/>
      <c r="M416" s="9"/>
      <c r="N416" s="9"/>
      <c r="O416" s="9"/>
      <c r="P416" s="9"/>
      <c r="Q416" s="9"/>
      <c r="R416" s="9"/>
      <c r="S416" s="271"/>
      <c r="T416" s="271"/>
      <c r="U416" s="271"/>
      <c r="V416" s="271"/>
      <c r="W416" s="271"/>
      <c r="X416" s="271"/>
      <c r="Y416" s="271"/>
      <c r="Z416" s="271"/>
    </row>
    <row r="417" spans="1:26" ht="14.45" hidden="1" customHeight="1" outlineLevel="1">
      <c r="A417" s="9"/>
      <c r="B417" s="283"/>
      <c r="C417" s="353"/>
      <c r="D417" s="287">
        <f t="shared" si="56"/>
        <v>3</v>
      </c>
      <c r="E417" s="284">
        <f ca="1">OFFSET('Actual RAB roll forward'!H$41,0,D417-1)-SUM('Actual RAB roll forward'!H425:OFFSET('Actual RAB roll forward'!H425,0,Input!$X$7-1))</f>
        <v>0</v>
      </c>
      <c r="F417" s="284" t="str">
        <f>IF(A30stdlife="N/A","n/a",IF(E417=0,0,A30stdlife+D417-Input!$X$7))</f>
        <v>n/a</v>
      </c>
      <c r="G417" s="285"/>
      <c r="H417" s="356"/>
      <c r="I417" s="287">
        <f t="shared" si="57"/>
        <v>3</v>
      </c>
      <c r="J417" s="284">
        <f ca="1">OFFSET('Tax value roll forward'!H$69,0,I417-1)-SUM('Tax value roll forward'!H483:OFFSET('Tax value roll forward'!H483,0,Input!$X$7-1))</f>
        <v>0</v>
      </c>
      <c r="K417" s="284">
        <f ca="1">IF(A30taxstdlife="N/A","n/a",IF(J417=0,0,A30taxstdlife+I417-Input!$X$7))</f>
        <v>0</v>
      </c>
      <c r="L417" s="286"/>
      <c r="M417" s="9"/>
      <c r="N417" s="9"/>
      <c r="O417" s="9"/>
      <c r="P417" s="9"/>
      <c r="Q417" s="9"/>
      <c r="R417" s="9"/>
      <c r="S417" s="271"/>
      <c r="T417" s="271"/>
      <c r="U417" s="271"/>
      <c r="V417" s="271"/>
      <c r="W417" s="271"/>
      <c r="X417" s="271"/>
      <c r="Y417" s="271"/>
      <c r="Z417" s="271"/>
    </row>
    <row r="418" spans="1:26" ht="14.45" hidden="1" customHeight="1" outlineLevel="1">
      <c r="A418" s="9"/>
      <c r="B418" s="283"/>
      <c r="C418" s="353"/>
      <c r="D418" s="287">
        <f t="shared" si="56"/>
        <v>4</v>
      </c>
      <c r="E418" s="284">
        <f ca="1">OFFSET('Actual RAB roll forward'!H$41,0,D418-1)-SUM('Actual RAB roll forward'!H426:OFFSET('Actual RAB roll forward'!H426,0,Input!$X$7-1))</f>
        <v>0</v>
      </c>
      <c r="F418" s="284" t="str">
        <f>IF(A30stdlife="N/A","n/a",IF(E418=0,0,A30stdlife+D418-Input!$X$7))</f>
        <v>n/a</v>
      </c>
      <c r="G418" s="285"/>
      <c r="H418" s="356"/>
      <c r="I418" s="287">
        <f t="shared" si="57"/>
        <v>4</v>
      </c>
      <c r="J418" s="284">
        <f ca="1">OFFSET('Tax value roll forward'!H$69,0,I418-1)-SUM('Tax value roll forward'!H484:OFFSET('Tax value roll forward'!H484,0,Input!$X$7-1))</f>
        <v>0</v>
      </c>
      <c r="K418" s="284">
        <f ca="1">IF(A30taxstdlife="N/A","n/a",IF(J418=0,0,A30taxstdlife+I418-Input!$X$7))</f>
        <v>0</v>
      </c>
      <c r="L418" s="286"/>
      <c r="M418" s="9"/>
      <c r="N418" s="9"/>
      <c r="O418" s="9"/>
      <c r="P418" s="9"/>
      <c r="Q418" s="9"/>
      <c r="R418" s="9"/>
      <c r="S418" s="271"/>
      <c r="T418" s="271"/>
      <c r="U418" s="271"/>
      <c r="V418" s="271"/>
      <c r="W418" s="271"/>
      <c r="X418" s="271"/>
      <c r="Y418" s="271"/>
      <c r="Z418" s="271"/>
    </row>
    <row r="419" spans="1:26" ht="14.45" hidden="1" customHeight="1" outlineLevel="1">
      <c r="A419" s="9"/>
      <c r="B419" s="283"/>
      <c r="C419" s="353"/>
      <c r="D419" s="287">
        <f t="shared" si="56"/>
        <v>5</v>
      </c>
      <c r="E419" s="284">
        <f ca="1">OFFSET('Actual RAB roll forward'!H$41,0,D419-1)-SUM('Actual RAB roll forward'!H427:OFFSET('Actual RAB roll forward'!H427,0,Input!$X$7-1))</f>
        <v>0</v>
      </c>
      <c r="F419" s="284" t="str">
        <f>IF(A30stdlife="N/A","n/a",IF(E419=0,0,A30stdlife+D419-Input!$X$7))</f>
        <v>n/a</v>
      </c>
      <c r="G419" s="285"/>
      <c r="H419" s="356"/>
      <c r="I419" s="287">
        <f t="shared" si="57"/>
        <v>5</v>
      </c>
      <c r="J419" s="284">
        <f ca="1">OFFSET('Tax value roll forward'!H$69,0,I419-1)-SUM('Tax value roll forward'!H485:OFFSET('Tax value roll forward'!H485,0,Input!$X$7-1))</f>
        <v>0</v>
      </c>
      <c r="K419" s="284">
        <f ca="1">IF(A30taxstdlife="N/A","n/a",IF(J419=0,0,A30taxstdlife+I419-Input!$X$7))</f>
        <v>0</v>
      </c>
      <c r="L419" s="286"/>
      <c r="M419" s="9"/>
      <c r="N419" s="9"/>
      <c r="O419" s="9"/>
      <c r="P419" s="9"/>
      <c r="Q419" s="9"/>
      <c r="R419" s="9"/>
      <c r="S419" s="271"/>
      <c r="T419" s="271"/>
      <c r="U419" s="271"/>
      <c r="V419" s="271"/>
      <c r="W419" s="271"/>
      <c r="X419" s="271"/>
      <c r="Y419" s="271"/>
      <c r="Z419" s="271"/>
    </row>
    <row r="420" spans="1:26" ht="14.45" hidden="1" customHeight="1" outlineLevel="1">
      <c r="A420" s="9"/>
      <c r="B420" s="283"/>
      <c r="C420" s="353"/>
      <c r="D420" s="287">
        <f t="shared" si="56"/>
        <v>6</v>
      </c>
      <c r="E420" s="284">
        <f ca="1">OFFSET('Actual RAB roll forward'!H$41,0,D420-1)-SUM('Actual RAB roll forward'!H428:OFFSET('Actual RAB roll forward'!H428,0,Input!$X$7-1))</f>
        <v>0</v>
      </c>
      <c r="F420" s="284" t="str">
        <f>IF(A30stdlife="N/A","n/a",IF(E420=0,0,A30stdlife+D420-Input!$X$7))</f>
        <v>n/a</v>
      </c>
      <c r="G420" s="285"/>
      <c r="H420" s="356"/>
      <c r="I420" s="287">
        <f t="shared" si="57"/>
        <v>6</v>
      </c>
      <c r="J420" s="284">
        <f ca="1">OFFSET('Tax value roll forward'!H$69,0,I420-1)-SUM('Tax value roll forward'!H486:OFFSET('Tax value roll forward'!H486,0,Input!$X$7-1))</f>
        <v>0</v>
      </c>
      <c r="K420" s="284">
        <f ca="1">IF(A30taxstdlife="N/A","n/a",IF(J420=0,0,A30taxstdlife+I420-Input!$X$7))</f>
        <v>0</v>
      </c>
      <c r="L420" s="286"/>
      <c r="M420" s="9"/>
      <c r="N420" s="9"/>
      <c r="O420" s="9"/>
      <c r="P420" s="9"/>
      <c r="Q420" s="9"/>
      <c r="R420" s="9"/>
      <c r="S420" s="271"/>
      <c r="T420" s="271"/>
      <c r="U420" s="271"/>
      <c r="V420" s="271"/>
      <c r="W420" s="271"/>
      <c r="X420" s="271"/>
      <c r="Y420" s="271"/>
      <c r="Z420" s="271"/>
    </row>
    <row r="421" spans="1:26" ht="14.45" hidden="1" customHeight="1" outlineLevel="1">
      <c r="A421" s="9"/>
      <c r="B421" s="283"/>
      <c r="C421" s="353"/>
      <c r="D421" s="287">
        <f t="shared" si="56"/>
        <v>7</v>
      </c>
      <c r="E421" s="284">
        <f ca="1">OFFSET('Actual RAB roll forward'!H$41,0,D421-1)-SUM('Actual RAB roll forward'!H429:OFFSET('Actual RAB roll forward'!H429,0,Input!$X$7-1))</f>
        <v>0</v>
      </c>
      <c r="F421" s="284" t="str">
        <f>IF(A30stdlife="N/A","n/a",IF(E421=0,0,A30stdlife+D421-Input!$X$7))</f>
        <v>n/a</v>
      </c>
      <c r="G421" s="285"/>
      <c r="H421" s="356"/>
      <c r="I421" s="287">
        <f t="shared" si="57"/>
        <v>7</v>
      </c>
      <c r="J421" s="284">
        <f ca="1">OFFSET('Tax value roll forward'!H$69,0,I421-1)-SUM('Tax value roll forward'!H487:OFFSET('Tax value roll forward'!H487,0,Input!$X$7-1))</f>
        <v>0</v>
      </c>
      <c r="K421" s="284">
        <f ca="1">IF(A30taxstdlife="N/A","n/a",IF(J421=0,0,A30taxstdlife+I421-Input!$X$7))</f>
        <v>0</v>
      </c>
      <c r="L421" s="286"/>
      <c r="M421" s="9"/>
      <c r="N421" s="9"/>
      <c r="O421" s="9"/>
      <c r="P421" s="9"/>
      <c r="Q421" s="9"/>
      <c r="R421" s="9"/>
      <c r="S421" s="271"/>
      <c r="T421" s="271"/>
      <c r="U421" s="271"/>
      <c r="V421" s="271"/>
      <c r="W421" s="271"/>
      <c r="X421" s="271"/>
      <c r="Y421" s="271"/>
      <c r="Z421" s="271"/>
    </row>
    <row r="422" spans="1:26" ht="14.45" hidden="1" customHeight="1" outlineLevel="1">
      <c r="A422" s="9"/>
      <c r="B422" s="283"/>
      <c r="C422" s="353"/>
      <c r="D422" s="287">
        <f t="shared" si="56"/>
        <v>8</v>
      </c>
      <c r="E422" s="284">
        <f ca="1">OFFSET('Actual RAB roll forward'!H$41,0,D422-1)-SUM('Actual RAB roll forward'!H430:OFFSET('Actual RAB roll forward'!H430,0,Input!$X$7-1))</f>
        <v>0</v>
      </c>
      <c r="F422" s="284" t="str">
        <f>IF(A30stdlife="N/A","n/a",IF(E422=0,0,A30stdlife+D422-Input!$X$7))</f>
        <v>n/a</v>
      </c>
      <c r="G422" s="285"/>
      <c r="H422" s="356"/>
      <c r="I422" s="287">
        <f t="shared" si="57"/>
        <v>8</v>
      </c>
      <c r="J422" s="284">
        <f ca="1">OFFSET('Tax value roll forward'!H$69,0,I422-1)-SUM('Tax value roll forward'!H488:OFFSET('Tax value roll forward'!H488,0,Input!$X$7-1))</f>
        <v>0</v>
      </c>
      <c r="K422" s="284">
        <f ca="1">IF(A30taxstdlife="N/A","n/a",IF(J422=0,0,A30taxstdlife+I422-Input!$X$7))</f>
        <v>0</v>
      </c>
      <c r="L422" s="286"/>
      <c r="M422" s="9"/>
      <c r="N422" s="9"/>
      <c r="O422" s="9"/>
      <c r="P422" s="9"/>
      <c r="Q422" s="9"/>
      <c r="R422" s="9"/>
      <c r="S422" s="271"/>
      <c r="T422" s="271"/>
      <c r="U422" s="271"/>
      <c r="V422" s="271"/>
      <c r="W422" s="271"/>
      <c r="X422" s="271"/>
      <c r="Y422" s="271"/>
      <c r="Z422" s="271"/>
    </row>
    <row r="423" spans="1:26" ht="14.45" hidden="1" customHeight="1" outlineLevel="1">
      <c r="A423" s="9"/>
      <c r="B423" s="283"/>
      <c r="C423" s="353"/>
      <c r="D423" s="287">
        <f t="shared" si="56"/>
        <v>9</v>
      </c>
      <c r="E423" s="284">
        <f ca="1">OFFSET('Actual RAB roll forward'!H$41,0,D423-1)-SUM('Actual RAB roll forward'!H431:OFFSET('Actual RAB roll forward'!H431,0,Input!$X$7-1))</f>
        <v>0</v>
      </c>
      <c r="F423" s="284" t="str">
        <f>IF(A30stdlife="N/A","n/a",IF(E423=0,0,A30stdlife+D423-Input!$X$7))</f>
        <v>n/a</v>
      </c>
      <c r="G423" s="285"/>
      <c r="H423" s="356"/>
      <c r="I423" s="287">
        <f t="shared" si="57"/>
        <v>9</v>
      </c>
      <c r="J423" s="284">
        <f ca="1">OFFSET('Tax value roll forward'!H$69,0,I423-1)-SUM('Tax value roll forward'!H489:OFFSET('Tax value roll forward'!H489,0,Input!$X$7-1))</f>
        <v>0</v>
      </c>
      <c r="K423" s="284">
        <f ca="1">IF(A30taxstdlife="N/A","n/a",IF(J423=0,0,A30taxstdlife+I423-Input!$X$7))</f>
        <v>0</v>
      </c>
      <c r="L423" s="286"/>
      <c r="M423" s="9"/>
      <c r="N423" s="9"/>
      <c r="O423" s="9"/>
      <c r="P423" s="9"/>
      <c r="Q423" s="9"/>
      <c r="R423" s="9"/>
      <c r="S423" s="271"/>
      <c r="T423" s="271"/>
      <c r="U423" s="271"/>
      <c r="V423" s="271"/>
      <c r="W423" s="271"/>
      <c r="X423" s="271"/>
      <c r="Y423" s="271"/>
      <c r="Z423" s="271"/>
    </row>
    <row r="424" spans="1:26" ht="14.45" hidden="1" customHeight="1" outlineLevel="1">
      <c r="A424" s="9"/>
      <c r="B424" s="283"/>
      <c r="C424" s="354"/>
      <c r="D424" s="89">
        <f t="shared" si="56"/>
        <v>10</v>
      </c>
      <c r="E424" s="284">
        <f ca="1">OFFSET('Actual RAB roll forward'!H$41,0,D424-1)-SUM('Actual RAB roll forward'!H432:OFFSET('Actual RAB roll forward'!H432,0,Input!$X$7-1))</f>
        <v>0</v>
      </c>
      <c r="F424" s="284" t="str">
        <f>IF(A30stdlife="N/A","n/a",IF(E424=0,0,A30stdlife+D424-Input!$X$7))</f>
        <v>n/a</v>
      </c>
      <c r="G424" s="285"/>
      <c r="H424" s="357"/>
      <c r="I424" s="89">
        <f t="shared" si="57"/>
        <v>10</v>
      </c>
      <c r="J424" s="284">
        <f ca="1">OFFSET('Tax value roll forward'!H$69,0,I424-1)-SUM('Tax value roll forward'!H490:OFFSET('Tax value roll forward'!H490,0,Input!$X$7-1))</f>
        <v>0</v>
      </c>
      <c r="K424" s="284">
        <f ca="1">IF(A30taxstdlife="N/A","n/a",IF(J424=0,0,A30taxstdlife+I424-Input!$X$7))</f>
        <v>0</v>
      </c>
      <c r="L424" s="286"/>
      <c r="M424" s="9"/>
      <c r="N424" s="9"/>
      <c r="O424" s="9"/>
      <c r="P424" s="9"/>
      <c r="Q424" s="9"/>
      <c r="R424" s="9"/>
      <c r="S424" s="271"/>
      <c r="T424" s="271"/>
      <c r="U424" s="271"/>
      <c r="V424" s="271"/>
      <c r="W424" s="271"/>
      <c r="X424" s="271"/>
      <c r="Y424" s="271"/>
      <c r="Z424" s="271"/>
    </row>
    <row r="425" spans="1:26" collapsed="1">
      <c r="A425" s="9"/>
      <c r="B425" s="283"/>
      <c r="C425" s="286" t="str">
        <f>B413</f>
        <v>Not Used</v>
      </c>
      <c r="D425" s="9"/>
      <c r="E425" s="284">
        <f ca="1">SUM(E414:E424)</f>
        <v>0</v>
      </c>
      <c r="F425" s="284" t="str">
        <f>IF(A30remlife="N/A","n/a",IF(E425=0,0,SUMPRODUCT(E414:E424,F414:F424)/E425))</f>
        <v>n/a</v>
      </c>
      <c r="G425" s="285"/>
      <c r="H425" s="45"/>
      <c r="I425" s="284"/>
      <c r="J425" s="284">
        <f ca="1">SUM(J414:J424)</f>
        <v>0</v>
      </c>
      <c r="K425" s="284">
        <f ca="1">IF(A30taxstdlife="N/A","n/a",IF(J425=0,0,SUMPRODUCT(J414:J424,K414:K424)/J425))</f>
        <v>0</v>
      </c>
      <c r="L425" s="286"/>
      <c r="M425" s="9"/>
      <c r="N425" s="9"/>
      <c r="O425" s="9"/>
      <c r="P425" s="9"/>
      <c r="Q425" s="9"/>
      <c r="R425" s="9"/>
      <c r="S425" s="271"/>
      <c r="T425" s="271"/>
      <c r="U425" s="271"/>
      <c r="V425" s="271"/>
      <c r="W425" s="271"/>
      <c r="X425" s="271"/>
      <c r="Y425" s="271"/>
      <c r="Z425" s="271"/>
    </row>
    <row r="426" spans="1:26">
      <c r="A426" s="9"/>
      <c r="B426" s="283"/>
      <c r="C426" s="9"/>
      <c r="D426" s="9"/>
      <c r="E426" s="296"/>
      <c r="F426" s="296"/>
      <c r="G426" s="285"/>
      <c r="H426" s="293"/>
      <c r="I426" s="284"/>
      <c r="J426" s="293"/>
      <c r="K426" s="284"/>
      <c r="L426" s="286"/>
      <c r="M426" s="9"/>
      <c r="N426" s="9"/>
      <c r="O426" s="9"/>
      <c r="P426" s="9"/>
      <c r="Q426" s="9"/>
      <c r="R426" s="9"/>
      <c r="S426" s="271"/>
      <c r="T426" s="271"/>
      <c r="U426" s="271"/>
      <c r="V426" s="271"/>
      <c r="W426" s="271"/>
      <c r="X426" s="271"/>
      <c r="Y426" s="271"/>
      <c r="Z426" s="271"/>
    </row>
    <row r="427" spans="1:26">
      <c r="A427" s="9"/>
      <c r="B427" s="283"/>
      <c r="C427" s="9"/>
      <c r="D427" s="9"/>
      <c r="E427" s="296"/>
      <c r="F427" s="296"/>
      <c r="G427" s="285"/>
      <c r="H427" s="293"/>
      <c r="I427" s="284"/>
      <c r="J427" s="293"/>
      <c r="K427" s="284"/>
      <c r="L427" s="286"/>
      <c r="M427" s="9"/>
      <c r="N427" s="9"/>
      <c r="O427" s="9"/>
      <c r="P427" s="9"/>
      <c r="Q427" s="9"/>
      <c r="R427" s="9"/>
      <c r="S427" s="271"/>
      <c r="T427" s="271"/>
      <c r="U427" s="271"/>
      <c r="V427" s="271"/>
      <c r="W427" s="271"/>
      <c r="X427" s="271"/>
      <c r="Y427" s="271"/>
      <c r="Z427" s="271"/>
    </row>
    <row r="428" spans="1:26">
      <c r="A428" s="9"/>
      <c r="B428" s="283"/>
      <c r="C428" s="9"/>
      <c r="D428" s="9"/>
      <c r="E428" s="296"/>
      <c r="F428" s="296"/>
      <c r="G428" s="285"/>
      <c r="H428" s="293"/>
      <c r="I428" s="284"/>
      <c r="J428" s="293"/>
      <c r="K428" s="284"/>
      <c r="L428" s="286"/>
      <c r="M428" s="9"/>
      <c r="N428" s="9"/>
      <c r="O428" s="9"/>
      <c r="P428" s="9"/>
      <c r="Q428" s="9"/>
      <c r="R428" s="9"/>
      <c r="S428" s="271"/>
      <c r="T428" s="271"/>
      <c r="U428" s="271"/>
      <c r="V428" s="271"/>
      <c r="W428" s="271"/>
      <c r="X428" s="271"/>
      <c r="Y428" s="271"/>
      <c r="Z428" s="271"/>
    </row>
    <row r="429" spans="1:26">
      <c r="A429" s="9"/>
      <c r="B429" s="283"/>
      <c r="C429" s="9"/>
      <c r="D429" s="9"/>
      <c r="E429" s="323">
        <v>0</v>
      </c>
      <c r="F429" s="323">
        <f ca="1">OFFSET($F$19,$E429,0)</f>
        <v>30.140073709034695</v>
      </c>
      <c r="G429" s="328"/>
      <c r="H429" s="329"/>
      <c r="I429" s="330"/>
      <c r="J429" s="329"/>
      <c r="K429" s="323">
        <f ca="1">OFFSET($K$19,$E429,0)</f>
        <v>8.9017599578553082</v>
      </c>
      <c r="L429" s="286"/>
      <c r="M429" s="9"/>
      <c r="N429" s="9"/>
      <c r="O429" s="9"/>
      <c r="P429" s="9"/>
      <c r="Q429" s="9"/>
      <c r="R429" s="9"/>
      <c r="S429" s="271"/>
      <c r="T429" s="271"/>
      <c r="U429" s="271"/>
      <c r="V429" s="271"/>
      <c r="W429" s="271"/>
      <c r="X429" s="271"/>
      <c r="Y429" s="271"/>
      <c r="Z429" s="271"/>
    </row>
    <row r="430" spans="1:26">
      <c r="A430" s="9"/>
      <c r="B430" s="283"/>
      <c r="C430" s="9"/>
      <c r="D430" s="9"/>
      <c r="E430" s="323">
        <v>14</v>
      </c>
      <c r="F430" s="323">
        <f t="shared" ref="F430:F455" ca="1" si="58">OFFSET($F$19,$E430,0)</f>
        <v>18.215795037755502</v>
      </c>
      <c r="G430" s="328"/>
      <c r="H430" s="329"/>
      <c r="I430" s="330"/>
      <c r="J430" s="329"/>
      <c r="K430" s="323">
        <f t="shared" ref="K430:K455" ca="1" si="59">OFFSET($K$19,$E430,0)</f>
        <v>27.768860799120525</v>
      </c>
      <c r="L430" s="286"/>
      <c r="M430" s="9"/>
      <c r="N430" s="9"/>
      <c r="O430" s="9"/>
      <c r="P430" s="9"/>
      <c r="Q430" s="9"/>
      <c r="R430" s="9"/>
      <c r="S430" s="271"/>
      <c r="T430" s="271"/>
      <c r="U430" s="271"/>
      <c r="V430" s="271"/>
      <c r="W430" s="271"/>
      <c r="X430" s="271"/>
      <c r="Y430" s="271"/>
      <c r="Z430" s="271"/>
    </row>
    <row r="431" spans="1:26">
      <c r="A431" s="9"/>
      <c r="B431" s="283"/>
      <c r="C431" s="9"/>
      <c r="D431" s="9"/>
      <c r="E431" s="323">
        <v>28</v>
      </c>
      <c r="F431" s="323">
        <f t="shared" ca="1" si="58"/>
        <v>29.865864159487863</v>
      </c>
      <c r="G431" s="328"/>
      <c r="H431" s="329"/>
      <c r="I431" s="330"/>
      <c r="J431" s="329"/>
      <c r="K431" s="323">
        <f t="shared" ca="1" si="59"/>
        <v>17.116774827258503</v>
      </c>
      <c r="L431" s="286"/>
      <c r="M431" s="9"/>
      <c r="N431" s="9"/>
      <c r="O431" s="9"/>
      <c r="P431" s="9"/>
      <c r="Q431" s="9"/>
      <c r="R431" s="9"/>
      <c r="S431" s="271"/>
      <c r="T431" s="271"/>
      <c r="U431" s="271"/>
      <c r="V431" s="271"/>
      <c r="W431" s="271"/>
      <c r="X431" s="271"/>
      <c r="Y431" s="271"/>
      <c r="Z431" s="271"/>
    </row>
    <row r="432" spans="1:26">
      <c r="A432" s="9"/>
      <c r="B432" s="283"/>
      <c r="C432" s="9"/>
      <c r="D432" s="9"/>
      <c r="E432" s="323">
        <v>42</v>
      </c>
      <c r="F432" s="323">
        <f t="shared" ca="1" si="58"/>
        <v>42.058447495443779</v>
      </c>
      <c r="G432" s="328"/>
      <c r="H432" s="329"/>
      <c r="I432" s="330"/>
      <c r="J432" s="329"/>
      <c r="K432" s="323">
        <f t="shared" ca="1" si="59"/>
        <v>25.608991338405463</v>
      </c>
      <c r="L432" s="286"/>
      <c r="M432" s="9"/>
      <c r="N432" s="9"/>
      <c r="O432" s="9"/>
      <c r="P432" s="9"/>
      <c r="Q432" s="9"/>
      <c r="R432" s="9"/>
      <c r="S432" s="271"/>
      <c r="T432" s="271"/>
      <c r="U432" s="271"/>
      <c r="V432" s="271"/>
      <c r="W432" s="271"/>
      <c r="X432" s="271"/>
      <c r="Y432" s="271"/>
      <c r="Z432" s="271"/>
    </row>
    <row r="433" spans="1:26">
      <c r="A433" s="9"/>
      <c r="B433" s="283"/>
      <c r="C433" s="9"/>
      <c r="D433" s="9"/>
      <c r="E433" s="323">
        <v>56</v>
      </c>
      <c r="F433" s="323">
        <f t="shared" ca="1" si="58"/>
        <v>14.068616143307125</v>
      </c>
      <c r="G433" s="328"/>
      <c r="H433" s="329"/>
      <c r="I433" s="330"/>
      <c r="J433" s="329"/>
      <c r="K433" s="323">
        <f t="shared" ca="1" si="59"/>
        <v>38.309327025609797</v>
      </c>
      <c r="L433" s="286"/>
      <c r="M433" s="9"/>
      <c r="N433" s="9"/>
      <c r="O433" s="9"/>
      <c r="P433" s="9"/>
      <c r="Q433" s="9"/>
      <c r="R433" s="9"/>
      <c r="S433" s="271"/>
      <c r="T433" s="271"/>
      <c r="U433" s="271"/>
      <c r="V433" s="271"/>
      <c r="W433" s="271"/>
      <c r="X433" s="271"/>
      <c r="Y433" s="271"/>
      <c r="Z433" s="271"/>
    </row>
    <row r="434" spans="1:26">
      <c r="A434" s="9"/>
      <c r="B434" s="283"/>
      <c r="C434" s="9"/>
      <c r="D434" s="9"/>
      <c r="E434" s="323">
        <v>70</v>
      </c>
      <c r="F434" s="323">
        <f t="shared" ca="1" si="58"/>
        <v>27.667281167131492</v>
      </c>
      <c r="G434" s="328"/>
      <c r="H434" s="329"/>
      <c r="I434" s="330"/>
      <c r="J434" s="329"/>
      <c r="K434" s="323">
        <f t="shared" ca="1" si="59"/>
        <v>33.397557097209067</v>
      </c>
      <c r="L434" s="286"/>
      <c r="M434" s="9"/>
      <c r="N434" s="9"/>
      <c r="O434" s="9"/>
      <c r="P434" s="9"/>
      <c r="Q434" s="9"/>
      <c r="R434" s="9"/>
      <c r="S434" s="271"/>
      <c r="T434" s="271"/>
      <c r="U434" s="271"/>
      <c r="V434" s="271"/>
      <c r="W434" s="271"/>
      <c r="X434" s="271"/>
      <c r="Y434" s="271"/>
      <c r="Z434" s="271"/>
    </row>
    <row r="435" spans="1:26">
      <c r="A435" s="9"/>
      <c r="B435" s="283"/>
      <c r="C435" s="9"/>
      <c r="D435" s="9"/>
      <c r="E435" s="323">
        <v>84</v>
      </c>
      <c r="F435" s="323">
        <f t="shared" ca="1" si="58"/>
        <v>26.225398435985589</v>
      </c>
      <c r="G435" s="328"/>
      <c r="H435" s="329"/>
      <c r="I435" s="330"/>
      <c r="J435" s="329"/>
      <c r="K435" s="323">
        <f t="shared" ca="1" si="59"/>
        <v>30.118911663386399</v>
      </c>
      <c r="L435" s="286"/>
      <c r="M435" s="9"/>
      <c r="N435" s="9"/>
      <c r="O435" s="9"/>
      <c r="P435" s="9"/>
      <c r="Q435" s="9"/>
      <c r="R435" s="9"/>
      <c r="S435" s="271"/>
      <c r="T435" s="271"/>
      <c r="U435" s="271"/>
      <c r="V435" s="271"/>
      <c r="W435" s="271"/>
      <c r="X435" s="271"/>
      <c r="Y435" s="271"/>
      <c r="Z435" s="271"/>
    </row>
    <row r="436" spans="1:26">
      <c r="A436" s="9"/>
      <c r="B436" s="283"/>
      <c r="C436" s="9"/>
      <c r="D436" s="9"/>
      <c r="E436" s="323">
        <v>98</v>
      </c>
      <c r="F436" s="323">
        <f t="shared" ca="1" si="58"/>
        <v>30.354565163753971</v>
      </c>
      <c r="G436" s="328"/>
      <c r="H436" s="329"/>
      <c r="I436" s="330"/>
      <c r="J436" s="329"/>
      <c r="K436" s="323">
        <f t="shared" ca="1" si="59"/>
        <v>27.38664736425315</v>
      </c>
      <c r="L436" s="286"/>
      <c r="M436" s="9"/>
      <c r="N436" s="9"/>
      <c r="O436" s="9"/>
      <c r="P436" s="9"/>
      <c r="Q436" s="9"/>
      <c r="R436" s="9"/>
      <c r="S436" s="271"/>
      <c r="T436" s="271"/>
      <c r="U436" s="271"/>
      <c r="V436" s="271"/>
      <c r="W436" s="271"/>
      <c r="X436" s="271"/>
      <c r="Y436" s="271"/>
      <c r="Z436" s="271"/>
    </row>
    <row r="437" spans="1:26">
      <c r="A437" s="9"/>
      <c r="B437" s="283"/>
      <c r="C437" s="9"/>
      <c r="D437" s="9"/>
      <c r="E437" s="323">
        <v>112</v>
      </c>
      <c r="F437" s="323">
        <f t="shared" ca="1" si="58"/>
        <v>22.544457688637667</v>
      </c>
      <c r="G437" s="328"/>
      <c r="H437" s="329"/>
      <c r="I437" s="330"/>
      <c r="J437" s="329"/>
      <c r="K437" s="323">
        <f t="shared" ca="1" si="59"/>
        <v>12.165921029619412</v>
      </c>
      <c r="L437" s="286"/>
      <c r="M437" s="9"/>
      <c r="N437" s="9"/>
      <c r="O437" s="9"/>
      <c r="P437" s="9"/>
      <c r="Q437" s="9"/>
      <c r="R437" s="9"/>
      <c r="S437" s="271"/>
      <c r="T437" s="271"/>
      <c r="U437" s="271"/>
      <c r="V437" s="271"/>
      <c r="W437" s="271"/>
      <c r="X437" s="271"/>
      <c r="Y437" s="271"/>
      <c r="Z437" s="271"/>
    </row>
    <row r="438" spans="1:26">
      <c r="A438" s="9"/>
      <c r="B438" s="283"/>
      <c r="C438" s="9"/>
      <c r="D438" s="9"/>
      <c r="E438" s="323">
        <v>126</v>
      </c>
      <c r="F438" s="323">
        <f t="shared" ca="1" si="58"/>
        <v>17.268322155415376</v>
      </c>
      <c r="G438" s="328"/>
      <c r="H438" s="329"/>
      <c r="I438" s="330"/>
      <c r="J438" s="329"/>
      <c r="K438" s="323">
        <f t="shared" ca="1" si="59"/>
        <v>12.419871570314282</v>
      </c>
      <c r="L438" s="286"/>
      <c r="M438" s="9"/>
      <c r="N438" s="9"/>
      <c r="O438" s="9"/>
      <c r="P438" s="9"/>
      <c r="Q438" s="9"/>
      <c r="R438" s="9"/>
      <c r="S438" s="271"/>
      <c r="T438" s="271"/>
      <c r="U438" s="271"/>
      <c r="V438" s="271"/>
      <c r="W438" s="271"/>
      <c r="X438" s="271"/>
      <c r="Y438" s="271"/>
      <c r="Z438" s="271"/>
    </row>
    <row r="439" spans="1:26">
      <c r="A439" s="9"/>
      <c r="B439" s="283"/>
      <c r="C439" s="9"/>
      <c r="D439" s="9"/>
      <c r="E439" s="323">
        <v>140</v>
      </c>
      <c r="F439" s="323">
        <f t="shared" ca="1" si="58"/>
        <v>0</v>
      </c>
      <c r="G439" s="328"/>
      <c r="H439" s="329"/>
      <c r="I439" s="330"/>
      <c r="J439" s="329"/>
      <c r="K439" s="323">
        <f t="shared" ca="1" si="59"/>
        <v>3.4824614619781986</v>
      </c>
      <c r="L439" s="286"/>
      <c r="M439" s="9"/>
      <c r="N439" s="9"/>
      <c r="O439" s="9"/>
      <c r="P439" s="9"/>
      <c r="Q439" s="9"/>
      <c r="R439" s="9"/>
      <c r="S439" s="271"/>
      <c r="T439" s="271"/>
      <c r="U439" s="271"/>
      <c r="V439" s="271"/>
      <c r="W439" s="271"/>
      <c r="X439" s="271"/>
      <c r="Y439" s="271"/>
      <c r="Z439" s="271"/>
    </row>
    <row r="440" spans="1:26">
      <c r="A440" s="9"/>
      <c r="B440" s="283"/>
      <c r="C440" s="9"/>
      <c r="D440" s="9"/>
      <c r="E440" s="323">
        <v>154</v>
      </c>
      <c r="F440" s="323">
        <f t="shared" ca="1" si="58"/>
        <v>1.0815436699544101E-2</v>
      </c>
      <c r="G440" s="328"/>
      <c r="H440" s="329"/>
      <c r="I440" s="330"/>
      <c r="J440" s="329"/>
      <c r="K440" s="323">
        <f t="shared" ca="1" si="59"/>
        <v>18.264772218594437</v>
      </c>
      <c r="L440" s="286"/>
      <c r="M440" s="9"/>
      <c r="N440" s="9"/>
      <c r="O440" s="9"/>
      <c r="P440" s="9"/>
      <c r="Q440" s="9"/>
      <c r="R440" s="9"/>
      <c r="S440" s="271"/>
      <c r="T440" s="271"/>
      <c r="U440" s="271"/>
      <c r="V440" s="271"/>
      <c r="W440" s="271"/>
      <c r="X440" s="271"/>
      <c r="Y440" s="271"/>
      <c r="Z440" s="271"/>
    </row>
    <row r="441" spans="1:26">
      <c r="A441" s="9"/>
      <c r="B441" s="283"/>
      <c r="C441" s="9"/>
      <c r="D441" s="9"/>
      <c r="E441" s="323">
        <v>168</v>
      </c>
      <c r="F441" s="323">
        <f t="shared" ca="1" si="58"/>
        <v>14.950180364112827</v>
      </c>
      <c r="G441" s="328"/>
      <c r="H441" s="329"/>
      <c r="I441" s="330"/>
      <c r="J441" s="329"/>
      <c r="K441" s="323">
        <f t="shared" ca="1" si="59"/>
        <v>3.6555581765901941</v>
      </c>
      <c r="L441" s="286"/>
      <c r="M441" s="9"/>
      <c r="N441" s="9"/>
      <c r="O441" s="9"/>
      <c r="P441" s="9"/>
      <c r="Q441" s="9"/>
      <c r="R441" s="9"/>
      <c r="S441" s="271"/>
      <c r="T441" s="271"/>
      <c r="U441" s="271"/>
      <c r="V441" s="271"/>
      <c r="W441" s="271"/>
      <c r="X441" s="271"/>
      <c r="Y441" s="271"/>
      <c r="Z441" s="271"/>
    </row>
    <row r="442" spans="1:26">
      <c r="A442" s="9"/>
      <c r="B442" s="283"/>
      <c r="C442" s="9"/>
      <c r="D442" s="9"/>
      <c r="E442" s="323">
        <v>182</v>
      </c>
      <c r="F442" s="323">
        <f t="shared" ca="1" si="58"/>
        <v>0.60892754577580721</v>
      </c>
      <c r="G442" s="328"/>
      <c r="H442" s="329"/>
      <c r="I442" s="330"/>
      <c r="J442" s="329"/>
      <c r="K442" s="323">
        <f t="shared" ca="1" si="59"/>
        <v>0.59930745115103523</v>
      </c>
      <c r="L442" s="286"/>
      <c r="M442" s="9"/>
      <c r="N442" s="9"/>
      <c r="O442" s="9"/>
      <c r="P442" s="9"/>
      <c r="Q442" s="9"/>
      <c r="R442" s="9"/>
      <c r="S442" s="271"/>
      <c r="T442" s="271"/>
      <c r="U442" s="271"/>
      <c r="V442" s="271"/>
      <c r="W442" s="271"/>
      <c r="X442" s="271"/>
      <c r="Y442" s="271"/>
      <c r="Z442" s="271"/>
    </row>
    <row r="443" spans="1:26">
      <c r="A443" s="9"/>
      <c r="B443" s="283"/>
      <c r="C443" s="9"/>
      <c r="D443" s="9"/>
      <c r="E443" s="323">
        <v>196</v>
      </c>
      <c r="F443" s="323">
        <f t="shared" ca="1" si="58"/>
        <v>0</v>
      </c>
      <c r="G443" s="328"/>
      <c r="H443" s="329"/>
      <c r="I443" s="330"/>
      <c r="J443" s="329"/>
      <c r="K443" s="323">
        <f t="shared" ca="1" si="59"/>
        <v>0</v>
      </c>
      <c r="L443" s="286"/>
      <c r="M443" s="9"/>
      <c r="N443" s="9"/>
      <c r="O443" s="9"/>
      <c r="P443" s="9"/>
      <c r="Q443" s="9"/>
      <c r="R443" s="9"/>
      <c r="S443" s="271"/>
      <c r="T443" s="271"/>
      <c r="U443" s="271"/>
      <c r="V443" s="271"/>
      <c r="W443" s="271"/>
      <c r="X443" s="271"/>
      <c r="Y443" s="271"/>
      <c r="Z443" s="271"/>
    </row>
    <row r="444" spans="1:26">
      <c r="A444" s="9"/>
      <c r="B444" s="283"/>
      <c r="C444" s="9"/>
      <c r="D444" s="9"/>
      <c r="E444" s="323">
        <v>210</v>
      </c>
      <c r="F444" s="323">
        <f t="shared" ca="1" si="58"/>
        <v>31.785407606725194</v>
      </c>
      <c r="G444" s="328"/>
      <c r="H444" s="329"/>
      <c r="I444" s="330"/>
      <c r="J444" s="329"/>
      <c r="K444" s="323">
        <f t="shared" ca="1" si="59"/>
        <v>31.769387900381989</v>
      </c>
      <c r="L444" s="286"/>
      <c r="M444" s="9"/>
      <c r="N444" s="9"/>
      <c r="O444" s="9"/>
      <c r="P444" s="9"/>
      <c r="Q444" s="9"/>
      <c r="R444" s="9"/>
      <c r="S444" s="271"/>
      <c r="T444" s="271"/>
      <c r="U444" s="271"/>
      <c r="V444" s="271"/>
      <c r="W444" s="271"/>
      <c r="X444" s="271"/>
      <c r="Y444" s="271"/>
      <c r="Z444" s="271"/>
    </row>
    <row r="445" spans="1:26">
      <c r="A445" s="9"/>
      <c r="B445" s="283"/>
      <c r="C445" s="9"/>
      <c r="D445" s="9"/>
      <c r="E445" s="323">
        <v>224</v>
      </c>
      <c r="F445" s="323">
        <f t="shared" ca="1" si="58"/>
        <v>0</v>
      </c>
      <c r="G445" s="328"/>
      <c r="H445" s="329"/>
      <c r="I445" s="330"/>
      <c r="J445" s="329"/>
      <c r="K445" s="323">
        <f t="shared" ca="1" si="59"/>
        <v>3.0807120909960766</v>
      </c>
      <c r="L445" s="286"/>
      <c r="M445" s="9"/>
      <c r="N445" s="9"/>
      <c r="O445" s="9"/>
      <c r="P445" s="9"/>
      <c r="Q445" s="9"/>
      <c r="R445" s="9"/>
      <c r="S445" s="271"/>
      <c r="T445" s="271"/>
      <c r="U445" s="271"/>
      <c r="V445" s="271"/>
      <c r="W445" s="271"/>
      <c r="X445" s="271"/>
      <c r="Y445" s="271"/>
      <c r="Z445" s="271"/>
    </row>
    <row r="446" spans="1:26">
      <c r="A446" s="9"/>
      <c r="B446" s="283"/>
      <c r="C446" s="9"/>
      <c r="D446" s="9"/>
      <c r="E446" s="323">
        <v>238</v>
      </c>
      <c r="F446" s="323" t="str">
        <f t="shared" ca="1" si="58"/>
        <v>n/a</v>
      </c>
      <c r="G446" s="328"/>
      <c r="H446" s="329"/>
      <c r="I446" s="330"/>
      <c r="J446" s="329"/>
      <c r="K446" s="323" t="str">
        <f t="shared" ca="1" si="59"/>
        <v>n/a</v>
      </c>
      <c r="L446" s="286"/>
      <c r="M446" s="9"/>
      <c r="N446" s="9"/>
      <c r="O446" s="9"/>
      <c r="P446" s="9"/>
      <c r="Q446" s="9"/>
      <c r="R446" s="9"/>
      <c r="S446" s="271"/>
      <c r="T446" s="271"/>
      <c r="U446" s="271"/>
      <c r="V446" s="271"/>
      <c r="W446" s="271"/>
      <c r="X446" s="271"/>
      <c r="Y446" s="271"/>
      <c r="Z446" s="271"/>
    </row>
    <row r="447" spans="1:26">
      <c r="A447" s="9"/>
      <c r="B447" s="283"/>
      <c r="C447" s="9"/>
      <c r="D447" s="9"/>
      <c r="E447" s="323">
        <v>252</v>
      </c>
      <c r="F447" s="323" t="str">
        <f t="shared" ca="1" si="58"/>
        <v>n/a</v>
      </c>
      <c r="G447" s="328"/>
      <c r="H447" s="329"/>
      <c r="I447" s="330"/>
      <c r="J447" s="329"/>
      <c r="K447" s="323">
        <f t="shared" ca="1" si="59"/>
        <v>0</v>
      </c>
      <c r="L447" s="286"/>
      <c r="M447" s="9"/>
      <c r="N447" s="9"/>
      <c r="O447" s="9"/>
      <c r="P447" s="9"/>
      <c r="Q447" s="9"/>
      <c r="R447" s="9"/>
      <c r="S447" s="271"/>
      <c r="T447" s="271"/>
      <c r="U447" s="271"/>
      <c r="V447" s="271"/>
      <c r="W447" s="271"/>
      <c r="X447" s="271"/>
      <c r="Y447" s="271"/>
      <c r="Z447" s="271"/>
    </row>
    <row r="448" spans="1:26">
      <c r="A448" s="9"/>
      <c r="B448" s="283"/>
      <c r="C448" s="9"/>
      <c r="D448" s="9"/>
      <c r="E448" s="323">
        <v>266</v>
      </c>
      <c r="F448" s="323">
        <f t="shared" ca="1" si="58"/>
        <v>1.5989055631524938</v>
      </c>
      <c r="G448" s="328"/>
      <c r="H448" s="329"/>
      <c r="I448" s="330"/>
      <c r="J448" s="329"/>
      <c r="K448" s="323">
        <f t="shared" ca="1" si="59"/>
        <v>2.1479217603911991</v>
      </c>
      <c r="L448" s="286"/>
      <c r="M448" s="9"/>
      <c r="N448" s="9"/>
      <c r="O448" s="9"/>
      <c r="P448" s="9"/>
      <c r="Q448" s="9"/>
      <c r="R448" s="9"/>
      <c r="S448" s="271"/>
      <c r="T448" s="271"/>
      <c r="U448" s="271"/>
      <c r="V448" s="271"/>
      <c r="W448" s="271"/>
      <c r="X448" s="271"/>
      <c r="Y448" s="271"/>
      <c r="Z448" s="271"/>
    </row>
    <row r="449" spans="1:26">
      <c r="A449" s="9"/>
      <c r="B449" s="283"/>
      <c r="C449" s="9"/>
      <c r="D449" s="9"/>
      <c r="E449" s="323">
        <v>280</v>
      </c>
      <c r="F449" s="323">
        <f t="shared" ca="1" si="58"/>
        <v>0</v>
      </c>
      <c r="G449" s="328"/>
      <c r="H449" s="329"/>
      <c r="I449" s="330"/>
      <c r="J449" s="329"/>
      <c r="K449" s="323">
        <f t="shared" ca="1" si="59"/>
        <v>0</v>
      </c>
      <c r="L449" s="286"/>
      <c r="M449" s="9"/>
      <c r="N449" s="9"/>
      <c r="O449" s="9"/>
      <c r="P449" s="9"/>
      <c r="Q449" s="9"/>
      <c r="R449" s="9"/>
      <c r="S449" s="271"/>
      <c r="T449" s="271"/>
      <c r="U449" s="271"/>
      <c r="V449" s="271"/>
      <c r="W449" s="271"/>
      <c r="X449" s="271"/>
      <c r="Y449" s="271"/>
      <c r="Z449" s="271"/>
    </row>
    <row r="450" spans="1:26">
      <c r="A450" s="9"/>
      <c r="B450" s="283"/>
      <c r="C450" s="9"/>
      <c r="D450" s="9"/>
      <c r="E450" s="323">
        <v>294</v>
      </c>
      <c r="F450" s="323">
        <f t="shared" ca="1" si="58"/>
        <v>0.23426243164590144</v>
      </c>
      <c r="G450" s="328"/>
      <c r="H450" s="329"/>
      <c r="I450" s="330"/>
      <c r="J450" s="329"/>
      <c r="K450" s="323">
        <f t="shared" ca="1" si="59"/>
        <v>2.9048982493208655</v>
      </c>
      <c r="L450" s="286"/>
      <c r="M450" s="9"/>
      <c r="N450" s="9"/>
      <c r="O450" s="9"/>
      <c r="P450" s="9"/>
      <c r="Q450" s="9"/>
      <c r="R450" s="9"/>
      <c r="S450" s="271"/>
      <c r="T450" s="271"/>
      <c r="U450" s="271"/>
      <c r="V450" s="271"/>
      <c r="W450" s="271"/>
      <c r="X450" s="271"/>
      <c r="Y450" s="271"/>
      <c r="Z450" s="271"/>
    </row>
    <row r="451" spans="1:26">
      <c r="A451" s="9"/>
      <c r="B451" s="283"/>
      <c r="C451" s="9"/>
      <c r="D451" s="9"/>
      <c r="E451" s="323">
        <v>308</v>
      </c>
      <c r="F451" s="323">
        <f t="shared" ca="1" si="58"/>
        <v>2.0090671436773055</v>
      </c>
      <c r="G451" s="328"/>
      <c r="H451" s="329"/>
      <c r="I451" s="330"/>
      <c r="J451" s="329"/>
      <c r="K451" s="323">
        <f t="shared" ca="1" si="59"/>
        <v>6.2672356445704969</v>
      </c>
      <c r="L451" s="286"/>
      <c r="M451" s="9"/>
      <c r="N451" s="9"/>
      <c r="O451" s="9"/>
      <c r="P451" s="9"/>
      <c r="Q451" s="9"/>
      <c r="R451" s="9"/>
      <c r="S451" s="271"/>
      <c r="T451" s="271"/>
      <c r="U451" s="271"/>
      <c r="V451" s="271"/>
      <c r="W451" s="271"/>
      <c r="X451" s="271"/>
      <c r="Y451" s="271"/>
      <c r="Z451" s="271"/>
    </row>
    <row r="452" spans="1:26">
      <c r="A452" s="9"/>
      <c r="B452" s="283"/>
      <c r="C452" s="9"/>
      <c r="D452" s="9"/>
      <c r="E452" s="323">
        <v>322</v>
      </c>
      <c r="F452" s="323">
        <f t="shared" ca="1" si="58"/>
        <v>2.3879177799290172</v>
      </c>
      <c r="G452" s="328"/>
      <c r="H452" s="329"/>
      <c r="I452" s="330"/>
      <c r="J452" s="329"/>
      <c r="K452" s="323">
        <f t="shared" ca="1" si="59"/>
        <v>0</v>
      </c>
      <c r="L452" s="286"/>
      <c r="M452" s="9"/>
      <c r="N452" s="9"/>
      <c r="O452" s="9"/>
      <c r="P452" s="9"/>
      <c r="Q452" s="9"/>
      <c r="R452" s="9"/>
      <c r="S452" s="271"/>
      <c r="T452" s="271"/>
      <c r="U452" s="271"/>
      <c r="V452" s="271"/>
      <c r="W452" s="271"/>
      <c r="X452" s="271"/>
      <c r="Y452" s="271"/>
      <c r="Z452" s="271"/>
    </row>
    <row r="453" spans="1:26">
      <c r="A453" s="9"/>
      <c r="B453" s="283"/>
      <c r="C453" s="9"/>
      <c r="D453" s="9"/>
      <c r="E453" s="323">
        <v>336</v>
      </c>
      <c r="F453" s="323">
        <f t="shared" ca="1" si="58"/>
        <v>3.8699771529350162</v>
      </c>
      <c r="G453" s="328"/>
      <c r="H453" s="329"/>
      <c r="I453" s="330"/>
      <c r="J453" s="329"/>
      <c r="K453" s="323">
        <f t="shared" ca="1" si="59"/>
        <v>20.212999958157823</v>
      </c>
      <c r="L453" s="286"/>
      <c r="M453" s="9"/>
      <c r="N453" s="9"/>
      <c r="O453" s="9"/>
      <c r="P453" s="9"/>
      <c r="Q453" s="9"/>
      <c r="R453" s="9"/>
      <c r="S453" s="271"/>
      <c r="T453" s="271"/>
      <c r="U453" s="271"/>
      <c r="V453" s="271"/>
      <c r="W453" s="271"/>
      <c r="X453" s="271"/>
      <c r="Y453" s="271"/>
      <c r="Z453" s="271"/>
    </row>
    <row r="454" spans="1:26">
      <c r="A454" s="9"/>
      <c r="B454" s="283"/>
      <c r="C454" s="9"/>
      <c r="D454" s="9"/>
      <c r="E454" s="323">
        <v>350</v>
      </c>
      <c r="F454" s="323" t="str">
        <f t="shared" ca="1" si="58"/>
        <v>n/a</v>
      </c>
      <c r="G454" s="328"/>
      <c r="H454" s="329"/>
      <c r="I454" s="330"/>
      <c r="J454" s="329"/>
      <c r="K454" s="323" t="str">
        <f t="shared" ca="1" si="59"/>
        <v>n/a</v>
      </c>
      <c r="L454" s="286"/>
      <c r="M454" s="9"/>
      <c r="N454" s="9"/>
      <c r="O454" s="9"/>
      <c r="P454" s="9"/>
      <c r="Q454" s="9"/>
      <c r="R454" s="9"/>
      <c r="S454" s="271"/>
      <c r="T454" s="271"/>
      <c r="U454" s="271"/>
      <c r="V454" s="271"/>
      <c r="W454" s="271"/>
      <c r="X454" s="271"/>
      <c r="Y454" s="271"/>
      <c r="Z454" s="271"/>
    </row>
    <row r="455" spans="1:26">
      <c r="A455" s="9"/>
      <c r="B455" s="283"/>
      <c r="C455" s="9"/>
      <c r="D455" s="9"/>
      <c r="E455" s="323">
        <v>364</v>
      </c>
      <c r="F455" s="323">
        <f t="shared" ca="1" si="58"/>
        <v>32.314677953787225</v>
      </c>
      <c r="G455" s="328"/>
      <c r="H455" s="329"/>
      <c r="I455" s="330"/>
      <c r="J455" s="329"/>
      <c r="K455" s="323">
        <f t="shared" ca="1" si="59"/>
        <v>33.451697355790216</v>
      </c>
      <c r="L455" s="286"/>
      <c r="M455" s="9"/>
      <c r="N455" s="9"/>
      <c r="O455" s="9"/>
      <c r="P455" s="9"/>
      <c r="Q455" s="9"/>
      <c r="R455" s="9"/>
      <c r="S455" s="271"/>
      <c r="T455" s="271"/>
      <c r="U455" s="271"/>
      <c r="V455" s="271"/>
      <c r="W455" s="271"/>
      <c r="X455" s="271"/>
      <c r="Y455" s="271"/>
      <c r="Z455" s="271"/>
    </row>
    <row r="456" spans="1:26">
      <c r="A456" s="9"/>
      <c r="B456" s="283"/>
      <c r="C456" s="9"/>
      <c r="D456" s="9"/>
      <c r="E456" s="296"/>
      <c r="F456" s="296"/>
      <c r="G456" s="285"/>
      <c r="H456" s="293"/>
      <c r="I456" s="284"/>
      <c r="J456" s="293"/>
      <c r="K456" s="284"/>
      <c r="L456" s="286"/>
      <c r="M456" s="9"/>
      <c r="N456" s="9"/>
      <c r="O456" s="9"/>
      <c r="P456" s="9"/>
      <c r="Q456" s="9"/>
      <c r="R456" s="9"/>
      <c r="S456" s="271"/>
      <c r="T456" s="271"/>
      <c r="U456" s="271"/>
      <c r="V456" s="271"/>
      <c r="W456" s="271"/>
      <c r="X456" s="271"/>
      <c r="Y456" s="271"/>
      <c r="Z456" s="271"/>
    </row>
    <row r="457" spans="1:26">
      <c r="A457" s="9"/>
      <c r="B457" s="283"/>
      <c r="C457" s="9"/>
      <c r="D457" s="9"/>
      <c r="E457" s="296"/>
      <c r="F457" s="296"/>
      <c r="G457" s="285"/>
      <c r="H457" s="293"/>
      <c r="I457" s="284"/>
      <c r="J457" s="293"/>
      <c r="K457" s="284"/>
      <c r="L457" s="286"/>
      <c r="M457" s="9"/>
      <c r="N457" s="9"/>
      <c r="O457" s="9"/>
      <c r="P457" s="9"/>
      <c r="Q457" s="9"/>
      <c r="R457" s="9"/>
      <c r="S457" s="271"/>
      <c r="T457" s="271"/>
      <c r="U457" s="271"/>
      <c r="V457" s="271"/>
      <c r="W457" s="271"/>
      <c r="X457" s="271"/>
      <c r="Y457" s="271"/>
      <c r="Z457" s="271"/>
    </row>
    <row r="458" spans="1:26">
      <c r="A458" s="9"/>
      <c r="B458" s="283"/>
      <c r="C458" s="9"/>
      <c r="D458" s="9"/>
      <c r="E458" s="296"/>
      <c r="F458" s="296"/>
      <c r="G458" s="285"/>
      <c r="H458" s="293"/>
      <c r="I458" s="284"/>
      <c r="J458" s="293"/>
      <c r="K458" s="284"/>
      <c r="L458" s="286"/>
      <c r="M458" s="9"/>
      <c r="N458" s="9"/>
      <c r="O458" s="9"/>
      <c r="P458" s="9"/>
      <c r="Q458" s="9"/>
      <c r="R458" s="9"/>
      <c r="S458" s="271"/>
      <c r="T458" s="271"/>
      <c r="U458" s="271"/>
      <c r="V458" s="271"/>
      <c r="W458" s="271"/>
      <c r="X458" s="271"/>
      <c r="Y458" s="271"/>
      <c r="Z458" s="271"/>
    </row>
    <row r="459" spans="1:26">
      <c r="A459" s="9"/>
      <c r="B459" s="283"/>
      <c r="C459" s="9"/>
      <c r="D459" s="9"/>
      <c r="E459" s="296"/>
      <c r="F459" s="296"/>
      <c r="G459" s="285"/>
      <c r="H459" s="293"/>
      <c r="I459" s="284"/>
      <c r="J459" s="293"/>
      <c r="K459" s="284"/>
      <c r="L459" s="286"/>
      <c r="M459" s="9"/>
      <c r="N459" s="9"/>
      <c r="O459" s="9"/>
      <c r="P459" s="9"/>
      <c r="Q459" s="9"/>
      <c r="R459" s="9"/>
      <c r="S459" s="271"/>
      <c r="T459" s="271"/>
      <c r="U459" s="271"/>
      <c r="V459" s="271"/>
      <c r="W459" s="271"/>
      <c r="X459" s="271"/>
      <c r="Y459" s="271"/>
      <c r="Z459" s="271"/>
    </row>
    <row r="460" spans="1:26">
      <c r="A460" s="9"/>
      <c r="B460" s="283"/>
      <c r="C460" s="9"/>
      <c r="D460" s="9"/>
      <c r="E460" s="296"/>
      <c r="F460" s="296"/>
      <c r="G460" s="285"/>
      <c r="H460" s="293"/>
      <c r="I460" s="284"/>
      <c r="J460" s="293"/>
      <c r="K460" s="284"/>
      <c r="L460" s="286"/>
      <c r="M460" s="9"/>
      <c r="N460" s="9"/>
      <c r="O460" s="9"/>
      <c r="P460" s="9"/>
      <c r="Q460" s="9"/>
      <c r="R460" s="9"/>
      <c r="S460" s="271"/>
      <c r="T460" s="271"/>
      <c r="U460" s="271"/>
      <c r="V460" s="271"/>
      <c r="W460" s="271"/>
      <c r="X460" s="271"/>
      <c r="Y460" s="271"/>
      <c r="Z460" s="271"/>
    </row>
    <row r="461" spans="1:26">
      <c r="A461" s="9"/>
      <c r="B461" s="283"/>
      <c r="C461" s="9"/>
      <c r="D461" s="9"/>
      <c r="E461" s="296"/>
      <c r="F461" s="296"/>
      <c r="G461" s="285"/>
      <c r="H461" s="293"/>
      <c r="I461" s="284"/>
      <c r="J461" s="293"/>
      <c r="K461" s="284"/>
      <c r="L461" s="286"/>
      <c r="M461" s="9"/>
      <c r="N461" s="9"/>
      <c r="O461" s="9"/>
      <c r="P461" s="9"/>
      <c r="Q461" s="9"/>
      <c r="R461" s="9"/>
      <c r="S461" s="271"/>
      <c r="T461" s="271"/>
      <c r="U461" s="271"/>
      <c r="V461" s="271"/>
      <c r="W461" s="271"/>
      <c r="X461" s="271"/>
      <c r="Y461" s="271"/>
      <c r="Z461" s="271"/>
    </row>
    <row r="462" spans="1:26">
      <c r="A462" s="9"/>
      <c r="B462" s="283"/>
      <c r="C462" s="9"/>
      <c r="D462" s="9"/>
      <c r="E462" s="296"/>
      <c r="F462" s="296"/>
      <c r="G462" s="285"/>
      <c r="H462" s="293"/>
      <c r="I462" s="284"/>
      <c r="J462" s="293"/>
      <c r="K462" s="284"/>
      <c r="L462" s="286"/>
      <c r="M462" s="9"/>
      <c r="N462" s="9"/>
      <c r="O462" s="9"/>
      <c r="P462" s="9"/>
      <c r="Q462" s="9"/>
      <c r="R462" s="9"/>
      <c r="S462" s="271"/>
      <c r="T462" s="271"/>
      <c r="U462" s="271"/>
      <c r="V462" s="271"/>
      <c r="W462" s="271"/>
      <c r="X462" s="271"/>
      <c r="Y462" s="271"/>
      <c r="Z462" s="271"/>
    </row>
    <row r="463" spans="1:26">
      <c r="A463" s="9"/>
      <c r="B463" s="283"/>
      <c r="C463" s="9"/>
      <c r="D463" s="9"/>
      <c r="E463" s="296"/>
      <c r="F463" s="296"/>
      <c r="G463" s="285"/>
      <c r="H463" s="293"/>
      <c r="I463" s="284"/>
      <c r="J463" s="293"/>
      <c r="K463" s="284"/>
      <c r="L463" s="286"/>
      <c r="M463" s="9"/>
      <c r="N463" s="9"/>
      <c r="O463" s="9"/>
      <c r="P463" s="9"/>
      <c r="Q463" s="9"/>
      <c r="R463" s="9"/>
      <c r="S463" s="271"/>
      <c r="T463" s="271"/>
      <c r="U463" s="271"/>
      <c r="V463" s="271"/>
      <c r="W463" s="271"/>
      <c r="X463" s="271"/>
      <c r="Y463" s="271"/>
      <c r="Z463" s="271"/>
    </row>
    <row r="464" spans="1:26">
      <c r="A464" s="9"/>
      <c r="B464" s="283"/>
      <c r="C464" s="9"/>
      <c r="D464" s="9"/>
      <c r="E464" s="296"/>
      <c r="F464" s="296"/>
      <c r="G464" s="285"/>
      <c r="H464" s="293"/>
      <c r="I464" s="284"/>
      <c r="J464" s="293"/>
      <c r="K464" s="284"/>
      <c r="L464" s="286"/>
      <c r="M464" s="9"/>
      <c r="N464" s="9"/>
      <c r="O464" s="9"/>
      <c r="P464" s="9"/>
      <c r="Q464" s="9"/>
      <c r="R464" s="9"/>
      <c r="S464" s="271"/>
      <c r="T464" s="271"/>
      <c r="U464" s="271"/>
      <c r="V464" s="271"/>
      <c r="W464" s="271"/>
      <c r="X464" s="271"/>
      <c r="Y464" s="271"/>
      <c r="Z464" s="271"/>
    </row>
    <row r="465" spans="1:26">
      <c r="A465" s="9"/>
      <c r="B465" s="283"/>
      <c r="C465" s="9"/>
      <c r="D465" s="9"/>
      <c r="E465" s="296"/>
      <c r="F465" s="296"/>
      <c r="G465" s="285"/>
      <c r="H465" s="293"/>
      <c r="I465" s="284"/>
      <c r="J465" s="293"/>
      <c r="K465" s="284"/>
      <c r="L465" s="286"/>
      <c r="M465" s="9"/>
      <c r="N465" s="9"/>
      <c r="O465" s="9"/>
      <c r="P465" s="9"/>
      <c r="Q465" s="9"/>
      <c r="R465" s="9"/>
      <c r="S465" s="271"/>
      <c r="T465" s="271"/>
      <c r="U465" s="271"/>
      <c r="V465" s="271"/>
      <c r="W465" s="271"/>
      <c r="X465" s="271"/>
      <c r="Y465" s="271"/>
      <c r="Z465" s="271"/>
    </row>
    <row r="466" spans="1:26">
      <c r="A466" s="9"/>
      <c r="B466" s="283"/>
      <c r="C466" s="9"/>
      <c r="D466" s="9"/>
      <c r="E466" s="296"/>
      <c r="F466" s="296"/>
      <c r="G466" s="285"/>
      <c r="H466" s="293"/>
      <c r="I466" s="284"/>
      <c r="J466" s="293"/>
      <c r="K466" s="284"/>
      <c r="L466" s="286"/>
      <c r="M466" s="9"/>
      <c r="N466" s="9"/>
      <c r="O466" s="9"/>
      <c r="P466" s="9"/>
      <c r="Q466" s="9"/>
      <c r="R466" s="9"/>
      <c r="S466" s="271"/>
      <c r="T466" s="271"/>
      <c r="U466" s="271"/>
      <c r="V466" s="271"/>
      <c r="W466" s="271"/>
      <c r="X466" s="271"/>
      <c r="Y466" s="271"/>
      <c r="Z466" s="271"/>
    </row>
    <row r="467" spans="1:26">
      <c r="A467" s="9"/>
      <c r="B467" s="283"/>
      <c r="C467" s="9"/>
      <c r="D467" s="9"/>
      <c r="E467" s="296"/>
      <c r="F467" s="296"/>
      <c r="G467" s="285"/>
      <c r="H467" s="293"/>
      <c r="I467" s="284"/>
      <c r="J467" s="293"/>
      <c r="K467" s="284"/>
      <c r="L467" s="286"/>
      <c r="M467" s="9"/>
      <c r="N467" s="9"/>
      <c r="O467" s="9"/>
      <c r="P467" s="9"/>
      <c r="Q467" s="9"/>
      <c r="R467" s="9"/>
      <c r="S467" s="271"/>
      <c r="T467" s="271"/>
      <c r="U467" s="271"/>
      <c r="V467" s="271"/>
      <c r="W467" s="271"/>
      <c r="X467" s="271"/>
      <c r="Y467" s="271"/>
      <c r="Z467" s="271"/>
    </row>
    <row r="468" spans="1:26">
      <c r="A468" s="9"/>
      <c r="B468" s="283"/>
      <c r="C468" s="9"/>
      <c r="D468" s="9"/>
      <c r="E468" s="296"/>
      <c r="F468" s="296"/>
      <c r="G468" s="285"/>
      <c r="H468" s="293"/>
      <c r="I468" s="284"/>
      <c r="J468" s="293"/>
      <c r="K468" s="284"/>
      <c r="L468" s="286"/>
      <c r="M468" s="9"/>
      <c r="N468" s="9"/>
      <c r="O468" s="9"/>
      <c r="P468" s="9"/>
      <c r="Q468" s="9"/>
      <c r="R468" s="9"/>
      <c r="S468" s="271"/>
      <c r="T468" s="271"/>
      <c r="U468" s="271"/>
      <c r="V468" s="271"/>
      <c r="W468" s="271"/>
      <c r="X468" s="271"/>
      <c r="Y468" s="271"/>
      <c r="Z468" s="271"/>
    </row>
    <row r="469" spans="1:26">
      <c r="A469" s="9"/>
      <c r="B469" s="283"/>
      <c r="C469" s="9"/>
      <c r="D469" s="9"/>
      <c r="E469" s="296"/>
      <c r="F469" s="296"/>
      <c r="G469" s="285"/>
      <c r="H469" s="293"/>
      <c r="I469" s="284"/>
      <c r="J469" s="293"/>
      <c r="K469" s="284"/>
      <c r="L469" s="286"/>
      <c r="M469" s="9"/>
      <c r="N469" s="9"/>
      <c r="O469" s="9"/>
      <c r="P469" s="9"/>
      <c r="Q469" s="9"/>
      <c r="R469" s="9"/>
      <c r="S469" s="271"/>
      <c r="T469" s="271"/>
      <c r="U469" s="271"/>
      <c r="V469" s="271"/>
      <c r="W469" s="271"/>
      <c r="X469" s="271"/>
      <c r="Y469" s="271"/>
      <c r="Z469" s="271"/>
    </row>
    <row r="470" spans="1:26">
      <c r="A470" s="9"/>
      <c r="B470" s="283"/>
      <c r="C470" s="9"/>
      <c r="D470" s="9"/>
      <c r="E470" s="296"/>
      <c r="F470" s="296"/>
      <c r="G470" s="285"/>
      <c r="H470" s="293"/>
      <c r="I470" s="284"/>
      <c r="J470" s="293"/>
      <c r="K470" s="284"/>
      <c r="L470" s="286"/>
      <c r="M470" s="9"/>
      <c r="N470" s="9"/>
      <c r="O470" s="9"/>
      <c r="P470" s="9"/>
      <c r="Q470" s="9"/>
      <c r="R470" s="9"/>
      <c r="S470" s="271"/>
      <c r="T470" s="271"/>
      <c r="U470" s="271"/>
      <c r="V470" s="271"/>
      <c r="W470" s="271"/>
      <c r="X470" s="271"/>
      <c r="Y470" s="271"/>
      <c r="Z470" s="271"/>
    </row>
    <row r="471" spans="1:26">
      <c r="A471" s="9"/>
      <c r="B471" s="283"/>
      <c r="C471" s="9"/>
      <c r="D471" s="9"/>
      <c r="E471" s="296"/>
      <c r="F471" s="296"/>
      <c r="G471" s="285"/>
      <c r="H471" s="293"/>
      <c r="I471" s="284"/>
      <c r="J471" s="293"/>
      <c r="K471" s="284"/>
      <c r="L471" s="286"/>
      <c r="M471" s="9"/>
      <c r="N471" s="9"/>
      <c r="O471" s="9"/>
      <c r="P471" s="9"/>
      <c r="Q471" s="9"/>
      <c r="R471" s="9"/>
      <c r="S471" s="271"/>
      <c r="T471" s="271"/>
      <c r="U471" s="271"/>
      <c r="V471" s="271"/>
      <c r="W471" s="271"/>
      <c r="X471" s="271"/>
      <c r="Y471" s="271"/>
      <c r="Z471" s="271"/>
    </row>
    <row r="472" spans="1:26">
      <c r="A472" s="9"/>
      <c r="B472" s="283"/>
      <c r="C472" s="9"/>
      <c r="D472" s="9"/>
      <c r="E472" s="296"/>
      <c r="F472" s="296"/>
      <c r="G472" s="285"/>
      <c r="H472" s="293"/>
      <c r="I472" s="284"/>
      <c r="J472" s="293"/>
      <c r="K472" s="284"/>
      <c r="L472" s="286"/>
      <c r="M472" s="9"/>
      <c r="N472" s="9"/>
      <c r="O472" s="9"/>
      <c r="P472" s="9"/>
      <c r="Q472" s="9"/>
      <c r="R472" s="9"/>
      <c r="S472" s="271"/>
      <c r="T472" s="271"/>
      <c r="U472" s="271"/>
      <c r="V472" s="271"/>
      <c r="W472" s="271"/>
      <c r="X472" s="271"/>
      <c r="Y472" s="271"/>
      <c r="Z472" s="271"/>
    </row>
    <row r="473" spans="1:26">
      <c r="A473" s="9"/>
      <c r="B473" s="283"/>
      <c r="C473" s="9"/>
      <c r="D473" s="9"/>
      <c r="E473" s="296"/>
      <c r="F473" s="296"/>
      <c r="G473" s="285"/>
      <c r="H473" s="293"/>
      <c r="I473" s="284"/>
      <c r="J473" s="293"/>
      <c r="K473" s="284"/>
      <c r="L473" s="286"/>
      <c r="M473" s="9"/>
      <c r="N473" s="9"/>
      <c r="O473" s="9"/>
      <c r="P473" s="9"/>
      <c r="Q473" s="9"/>
      <c r="R473" s="9"/>
      <c r="S473" s="271"/>
      <c r="T473" s="271"/>
      <c r="U473" s="271"/>
      <c r="V473" s="271"/>
      <c r="W473" s="271"/>
      <c r="X473" s="271"/>
      <c r="Y473" s="271"/>
      <c r="Z473" s="271"/>
    </row>
    <row r="474" spans="1:26">
      <c r="A474" s="9"/>
      <c r="B474" s="283"/>
      <c r="C474" s="9"/>
      <c r="D474" s="9"/>
      <c r="E474" s="296"/>
      <c r="F474" s="296"/>
      <c r="G474" s="285"/>
      <c r="H474" s="293"/>
      <c r="I474" s="284"/>
      <c r="J474" s="293"/>
      <c r="K474" s="284"/>
      <c r="L474" s="286"/>
      <c r="M474" s="9"/>
      <c r="N474" s="9"/>
      <c r="O474" s="9"/>
      <c r="P474" s="9"/>
      <c r="Q474" s="9"/>
      <c r="R474" s="9"/>
      <c r="S474" s="271"/>
      <c r="T474" s="271"/>
      <c r="U474" s="271"/>
      <c r="V474" s="271"/>
      <c r="W474" s="271"/>
      <c r="X474" s="271"/>
      <c r="Y474" s="271"/>
      <c r="Z474" s="271"/>
    </row>
    <row r="475" spans="1:26">
      <c r="A475" s="9"/>
      <c r="B475" s="283"/>
      <c r="C475" s="9"/>
      <c r="D475" s="9"/>
      <c r="E475" s="296"/>
      <c r="F475" s="296"/>
      <c r="G475" s="285"/>
      <c r="H475" s="293"/>
      <c r="I475" s="284"/>
      <c r="J475" s="293"/>
      <c r="K475" s="284"/>
      <c r="L475" s="286"/>
      <c r="M475" s="9"/>
      <c r="N475" s="9"/>
      <c r="O475" s="9"/>
      <c r="P475" s="9"/>
      <c r="Q475" s="9"/>
      <c r="R475" s="9"/>
      <c r="S475" s="271"/>
      <c r="T475" s="271"/>
      <c r="U475" s="271"/>
      <c r="V475" s="271"/>
      <c r="W475" s="271"/>
      <c r="X475" s="271"/>
      <c r="Y475" s="271"/>
      <c r="Z475" s="271"/>
    </row>
    <row r="476" spans="1:26">
      <c r="A476" s="9"/>
      <c r="B476" s="283"/>
      <c r="C476" s="9"/>
      <c r="D476" s="9"/>
      <c r="E476" s="296"/>
      <c r="F476" s="296"/>
      <c r="G476" s="285"/>
      <c r="H476" s="293"/>
      <c r="I476" s="284"/>
      <c r="J476" s="293"/>
      <c r="K476" s="284"/>
      <c r="L476" s="286"/>
      <c r="M476" s="9"/>
      <c r="N476" s="9"/>
      <c r="O476" s="9"/>
      <c r="P476" s="9"/>
      <c r="Q476" s="9"/>
      <c r="R476" s="9"/>
      <c r="S476" s="271"/>
      <c r="T476" s="271"/>
      <c r="U476" s="271"/>
      <c r="V476" s="271"/>
      <c r="W476" s="271"/>
      <c r="X476" s="271"/>
      <c r="Y476" s="271"/>
      <c r="Z476" s="271"/>
    </row>
    <row r="477" spans="1:26">
      <c r="A477" s="9"/>
      <c r="B477" s="283"/>
      <c r="C477" s="9"/>
      <c r="D477" s="9"/>
      <c r="E477" s="296"/>
      <c r="F477" s="296"/>
      <c r="G477" s="285"/>
      <c r="H477" s="293"/>
      <c r="I477" s="284"/>
      <c r="J477" s="293"/>
      <c r="K477" s="284"/>
      <c r="L477" s="286"/>
      <c r="M477" s="9"/>
      <c r="N477" s="9"/>
      <c r="O477" s="9"/>
      <c r="P477" s="9"/>
      <c r="Q477" s="9"/>
      <c r="R477" s="9"/>
      <c r="S477" s="271"/>
      <c r="T477" s="271"/>
      <c r="U477" s="271"/>
      <c r="V477" s="271"/>
      <c r="W477" s="271"/>
      <c r="X477" s="271"/>
      <c r="Y477" s="271"/>
      <c r="Z477" s="271"/>
    </row>
    <row r="478" spans="1:26">
      <c r="A478" s="9"/>
      <c r="B478" s="283"/>
      <c r="C478" s="9"/>
      <c r="D478" s="9"/>
      <c r="E478" s="296"/>
      <c r="F478" s="296"/>
      <c r="G478" s="285"/>
      <c r="H478" s="293"/>
      <c r="I478" s="284"/>
      <c r="J478" s="293"/>
      <c r="K478" s="284"/>
      <c r="L478" s="286"/>
      <c r="M478" s="9"/>
      <c r="N478" s="9"/>
      <c r="O478" s="9"/>
      <c r="P478" s="9"/>
      <c r="Q478" s="9"/>
      <c r="R478" s="9"/>
      <c r="S478" s="271"/>
      <c r="T478" s="271"/>
      <c r="U478" s="271"/>
      <c r="V478" s="271"/>
      <c r="W478" s="271"/>
      <c r="X478" s="271"/>
      <c r="Y478" s="271"/>
      <c r="Z478" s="271"/>
    </row>
    <row r="479" spans="1:26">
      <c r="A479" s="9"/>
      <c r="B479" s="283"/>
      <c r="C479" s="9"/>
      <c r="D479" s="9"/>
      <c r="E479" s="296"/>
      <c r="F479" s="296"/>
      <c r="G479" s="285"/>
      <c r="H479" s="293"/>
      <c r="I479" s="284"/>
      <c r="J479" s="293"/>
      <c r="K479" s="284"/>
      <c r="L479" s="286"/>
      <c r="M479" s="9"/>
      <c r="N479" s="9"/>
      <c r="O479" s="9"/>
      <c r="P479" s="9"/>
      <c r="Q479" s="9"/>
      <c r="R479" s="9"/>
      <c r="S479" s="271"/>
      <c r="T479" s="271"/>
      <c r="U479" s="271"/>
      <c r="V479" s="271"/>
      <c r="W479" s="271"/>
      <c r="X479" s="271"/>
      <c r="Y479" s="271"/>
      <c r="Z479" s="271"/>
    </row>
    <row r="480" spans="1:26">
      <c r="A480" s="9"/>
      <c r="B480" s="283"/>
      <c r="C480" s="9"/>
      <c r="D480" s="9"/>
      <c r="E480" s="296"/>
      <c r="F480" s="296"/>
      <c r="G480" s="285"/>
      <c r="H480" s="293"/>
      <c r="I480" s="284"/>
      <c r="J480" s="293"/>
      <c r="K480" s="284"/>
      <c r="L480" s="286"/>
      <c r="M480" s="9"/>
      <c r="N480" s="9"/>
      <c r="O480" s="9"/>
      <c r="P480" s="9"/>
      <c r="Q480" s="9"/>
      <c r="R480" s="9"/>
      <c r="S480" s="271"/>
      <c r="T480" s="271"/>
      <c r="U480" s="271"/>
      <c r="V480" s="271"/>
      <c r="W480" s="271"/>
      <c r="X480" s="271"/>
      <c r="Y480" s="271"/>
      <c r="Z480" s="271"/>
    </row>
    <row r="481" spans="1:26">
      <c r="A481" s="9"/>
      <c r="B481" s="283"/>
      <c r="C481" s="9"/>
      <c r="D481" s="9"/>
      <c r="E481" s="296"/>
      <c r="F481" s="296"/>
      <c r="G481" s="285"/>
      <c r="H481" s="293"/>
      <c r="I481" s="284"/>
      <c r="J481" s="293"/>
      <c r="K481" s="284"/>
      <c r="L481" s="286"/>
      <c r="M481" s="9"/>
      <c r="N481" s="9"/>
      <c r="O481" s="9"/>
      <c r="P481" s="9"/>
      <c r="Q481" s="9"/>
      <c r="R481" s="9"/>
      <c r="S481" s="271"/>
      <c r="T481" s="271"/>
      <c r="U481" s="271"/>
      <c r="V481" s="271"/>
      <c r="W481" s="271"/>
      <c r="X481" s="271"/>
      <c r="Y481" s="271"/>
      <c r="Z481" s="271"/>
    </row>
    <row r="482" spans="1:26">
      <c r="A482" s="9"/>
      <c r="B482" s="283"/>
      <c r="C482" s="9"/>
      <c r="D482" s="9"/>
      <c r="E482" s="296"/>
      <c r="F482" s="296"/>
      <c r="G482" s="285"/>
      <c r="H482" s="293"/>
      <c r="I482" s="284"/>
      <c r="J482" s="293"/>
      <c r="K482" s="284"/>
      <c r="L482" s="286"/>
      <c r="M482" s="9"/>
      <c r="N482" s="9"/>
      <c r="O482" s="9"/>
      <c r="P482" s="9"/>
      <c r="Q482" s="9"/>
      <c r="R482" s="9"/>
      <c r="S482" s="271"/>
      <c r="T482" s="271"/>
      <c r="U482" s="271"/>
      <c r="V482" s="271"/>
      <c r="W482" s="271"/>
      <c r="X482" s="271"/>
      <c r="Y482" s="271"/>
      <c r="Z482" s="271"/>
    </row>
    <row r="483" spans="1:26">
      <c r="A483" s="9"/>
      <c r="B483" s="283"/>
      <c r="C483" s="9"/>
      <c r="D483" s="9"/>
      <c r="E483" s="296"/>
      <c r="F483" s="296"/>
      <c r="G483" s="285"/>
      <c r="H483" s="293"/>
      <c r="I483" s="284"/>
      <c r="J483" s="293"/>
      <c r="K483" s="284"/>
      <c r="L483" s="286"/>
      <c r="M483" s="9"/>
      <c r="N483" s="9"/>
      <c r="O483" s="9"/>
      <c r="P483" s="9"/>
      <c r="Q483" s="9"/>
      <c r="R483" s="9"/>
      <c r="S483" s="271"/>
      <c r="T483" s="271"/>
      <c r="U483" s="271"/>
      <c r="V483" s="271"/>
      <c r="W483" s="271"/>
      <c r="X483" s="271"/>
      <c r="Y483" s="271"/>
      <c r="Z483" s="271"/>
    </row>
    <row r="484" spans="1:26">
      <c r="A484" s="9"/>
      <c r="B484" s="283"/>
      <c r="C484" s="9"/>
      <c r="D484" s="9"/>
      <c r="E484" s="296"/>
      <c r="F484" s="296"/>
      <c r="G484" s="285"/>
      <c r="H484" s="293"/>
      <c r="I484" s="284"/>
      <c r="J484" s="293"/>
      <c r="K484" s="284"/>
      <c r="L484" s="286"/>
      <c r="M484" s="9"/>
      <c r="N484" s="9"/>
      <c r="O484" s="9"/>
      <c r="P484" s="9"/>
      <c r="Q484" s="9"/>
      <c r="R484" s="9"/>
      <c r="S484" s="271"/>
      <c r="T484" s="271"/>
      <c r="U484" s="271"/>
      <c r="V484" s="271"/>
      <c r="W484" s="271"/>
      <c r="X484" s="271"/>
      <c r="Y484" s="271"/>
      <c r="Z484" s="271"/>
    </row>
    <row r="485" spans="1:26">
      <c r="A485" s="9"/>
      <c r="B485" s="283"/>
      <c r="C485" s="9"/>
      <c r="D485" s="9"/>
      <c r="E485" s="296"/>
      <c r="F485" s="296"/>
      <c r="G485" s="285"/>
      <c r="H485" s="293"/>
      <c r="I485" s="284"/>
      <c r="J485" s="293"/>
      <c r="K485" s="284"/>
      <c r="L485" s="286"/>
      <c r="M485" s="9"/>
      <c r="N485" s="9"/>
      <c r="O485" s="9"/>
      <c r="P485" s="9"/>
      <c r="Q485" s="9"/>
      <c r="R485" s="9"/>
      <c r="S485" s="271"/>
      <c r="T485" s="271"/>
      <c r="U485" s="271"/>
      <c r="V485" s="271"/>
      <c r="W485" s="271"/>
      <c r="X485" s="271"/>
      <c r="Y485" s="271"/>
      <c r="Z485" s="271"/>
    </row>
    <row r="486" spans="1:26">
      <c r="A486" s="9"/>
      <c r="B486" s="283"/>
      <c r="C486" s="9"/>
      <c r="D486" s="9"/>
      <c r="E486" s="296"/>
      <c r="F486" s="296"/>
      <c r="G486" s="285"/>
      <c r="H486" s="293"/>
      <c r="I486" s="284"/>
      <c r="J486" s="293"/>
      <c r="K486" s="284"/>
      <c r="L486" s="286"/>
      <c r="M486" s="9"/>
      <c r="N486" s="9"/>
      <c r="O486" s="9"/>
      <c r="P486" s="9"/>
      <c r="Q486" s="9"/>
      <c r="R486" s="9"/>
      <c r="S486" s="271"/>
      <c r="T486" s="271"/>
      <c r="U486" s="271"/>
      <c r="V486" s="271"/>
      <c r="W486" s="271"/>
      <c r="X486" s="271"/>
      <c r="Y486" s="271"/>
      <c r="Z486" s="271"/>
    </row>
    <row r="487" spans="1:26">
      <c r="A487" s="9"/>
      <c r="B487" s="283"/>
      <c r="C487" s="9"/>
      <c r="D487" s="9"/>
      <c r="E487" s="296"/>
      <c r="F487" s="296"/>
      <c r="G487" s="285"/>
      <c r="H487" s="293"/>
      <c r="I487" s="284"/>
      <c r="J487" s="293"/>
      <c r="K487" s="284"/>
      <c r="L487" s="286"/>
      <c r="M487" s="9"/>
      <c r="N487" s="9"/>
      <c r="O487" s="9"/>
      <c r="P487" s="9"/>
      <c r="Q487" s="9"/>
      <c r="R487" s="9"/>
      <c r="S487" s="271"/>
      <c r="T487" s="271"/>
      <c r="U487" s="271"/>
      <c r="V487" s="271"/>
      <c r="W487" s="271"/>
      <c r="X487" s="271"/>
      <c r="Y487" s="271"/>
      <c r="Z487" s="271"/>
    </row>
    <row r="488" spans="1:26">
      <c r="A488" s="9"/>
      <c r="B488" s="283"/>
      <c r="C488" s="9"/>
      <c r="D488" s="9"/>
      <c r="E488" s="296"/>
      <c r="F488" s="296"/>
      <c r="G488" s="285"/>
      <c r="H488" s="293"/>
      <c r="I488" s="284"/>
      <c r="J488" s="293"/>
      <c r="K488" s="284"/>
      <c r="L488" s="286"/>
      <c r="M488" s="9"/>
      <c r="N488" s="9"/>
      <c r="O488" s="9"/>
      <c r="P488" s="9"/>
      <c r="Q488" s="9"/>
      <c r="R488" s="9"/>
      <c r="S488" s="271"/>
      <c r="T488" s="271"/>
      <c r="U488" s="271"/>
      <c r="V488" s="271"/>
      <c r="W488" s="271"/>
      <c r="X488" s="271"/>
      <c r="Y488" s="271"/>
      <c r="Z488" s="271"/>
    </row>
    <row r="489" spans="1:26">
      <c r="A489" s="9"/>
      <c r="B489" s="283"/>
      <c r="C489" s="9"/>
      <c r="D489" s="9"/>
      <c r="E489" s="296"/>
      <c r="F489" s="296"/>
      <c r="G489" s="285"/>
      <c r="H489" s="293"/>
      <c r="I489" s="284"/>
      <c r="J489" s="293"/>
      <c r="K489" s="284"/>
      <c r="L489" s="286"/>
      <c r="M489" s="9"/>
      <c r="N489" s="9"/>
      <c r="O489" s="9"/>
      <c r="P489" s="9"/>
      <c r="Q489" s="9"/>
      <c r="R489" s="9"/>
      <c r="S489" s="271"/>
      <c r="T489" s="271"/>
      <c r="U489" s="271"/>
      <c r="V489" s="271"/>
      <c r="W489" s="271"/>
      <c r="X489" s="271"/>
      <c r="Y489" s="271"/>
      <c r="Z489" s="271"/>
    </row>
    <row r="490" spans="1:26">
      <c r="A490" s="9"/>
      <c r="B490" s="283"/>
      <c r="C490" s="9"/>
      <c r="D490" s="9"/>
      <c r="E490" s="296"/>
      <c r="F490" s="296"/>
      <c r="G490" s="285"/>
      <c r="H490" s="293"/>
      <c r="I490" s="284"/>
      <c r="J490" s="293"/>
      <c r="K490" s="284"/>
      <c r="L490" s="286"/>
      <c r="M490" s="9"/>
      <c r="N490" s="9"/>
      <c r="O490" s="9"/>
      <c r="P490" s="9"/>
      <c r="Q490" s="9"/>
      <c r="R490" s="9"/>
      <c r="S490" s="271"/>
      <c r="T490" s="271"/>
      <c r="U490" s="271"/>
      <c r="V490" s="271"/>
      <c r="W490" s="271"/>
      <c r="X490" s="271"/>
      <c r="Y490" s="271"/>
      <c r="Z490" s="271"/>
    </row>
    <row r="491" spans="1:26">
      <c r="A491" s="9"/>
      <c r="B491" s="283"/>
      <c r="C491" s="9"/>
      <c r="D491" s="9"/>
      <c r="E491" s="296"/>
      <c r="F491" s="296"/>
      <c r="G491" s="285"/>
      <c r="H491" s="293"/>
      <c r="I491" s="284"/>
      <c r="J491" s="293"/>
      <c r="K491" s="284"/>
      <c r="L491" s="286"/>
      <c r="M491" s="9"/>
      <c r="N491" s="9"/>
      <c r="O491" s="9"/>
      <c r="P491" s="9"/>
      <c r="Q491" s="9"/>
      <c r="R491" s="9"/>
      <c r="S491" s="271"/>
      <c r="T491" s="271"/>
      <c r="U491" s="271"/>
      <c r="V491" s="271"/>
      <c r="W491" s="271"/>
      <c r="X491" s="271"/>
      <c r="Y491" s="271"/>
      <c r="Z491" s="271"/>
    </row>
    <row r="492" spans="1:26">
      <c r="A492" s="9"/>
      <c r="B492" s="283"/>
      <c r="C492" s="9"/>
      <c r="D492" s="9"/>
      <c r="E492" s="296"/>
      <c r="F492" s="296"/>
      <c r="G492" s="285"/>
      <c r="H492" s="293"/>
      <c r="I492" s="284"/>
      <c r="J492" s="293"/>
      <c r="K492" s="284"/>
      <c r="L492" s="286"/>
      <c r="M492" s="9"/>
      <c r="N492" s="9"/>
      <c r="O492" s="9"/>
      <c r="P492" s="9"/>
      <c r="Q492" s="9"/>
      <c r="R492" s="9"/>
      <c r="S492" s="271"/>
      <c r="T492" s="271"/>
      <c r="U492" s="271"/>
      <c r="V492" s="271"/>
      <c r="W492" s="271"/>
      <c r="X492" s="271"/>
      <c r="Y492" s="271"/>
      <c r="Z492" s="271"/>
    </row>
    <row r="493" spans="1:26">
      <c r="A493" s="9"/>
      <c r="B493" s="283"/>
      <c r="C493" s="9"/>
      <c r="D493" s="9"/>
      <c r="E493" s="296"/>
      <c r="F493" s="296"/>
      <c r="G493" s="285"/>
      <c r="H493" s="293"/>
      <c r="I493" s="284"/>
      <c r="J493" s="293"/>
      <c r="K493" s="284"/>
      <c r="L493" s="286"/>
      <c r="M493" s="9"/>
      <c r="N493" s="9"/>
      <c r="O493" s="9"/>
      <c r="P493" s="9"/>
      <c r="Q493" s="9"/>
      <c r="R493" s="9"/>
      <c r="S493" s="271"/>
      <c r="T493" s="271"/>
      <c r="U493" s="271"/>
      <c r="V493" s="271"/>
      <c r="W493" s="271"/>
      <c r="X493" s="271"/>
      <c r="Y493" s="271"/>
      <c r="Z493" s="271"/>
    </row>
    <row r="494" spans="1:26">
      <c r="A494" s="9"/>
      <c r="B494" s="283"/>
      <c r="C494" s="9"/>
      <c r="D494" s="9"/>
      <c r="E494" s="296"/>
      <c r="F494" s="296"/>
      <c r="G494" s="285"/>
      <c r="H494" s="293"/>
      <c r="I494" s="284"/>
      <c r="J494" s="293"/>
      <c r="K494" s="284"/>
      <c r="L494" s="286"/>
      <c r="M494" s="9"/>
      <c r="N494" s="9"/>
      <c r="O494" s="9"/>
      <c r="P494" s="9"/>
      <c r="Q494" s="9"/>
      <c r="R494" s="9"/>
      <c r="S494" s="271"/>
      <c r="T494" s="271"/>
      <c r="U494" s="271"/>
      <c r="V494" s="271"/>
      <c r="W494" s="271"/>
      <c r="X494" s="271"/>
      <c r="Y494" s="271"/>
      <c r="Z494" s="271"/>
    </row>
    <row r="495" spans="1:26">
      <c r="A495" s="9"/>
      <c r="B495" s="283"/>
      <c r="C495" s="9"/>
      <c r="D495" s="9"/>
      <c r="E495" s="296"/>
      <c r="F495" s="296"/>
      <c r="G495" s="285"/>
      <c r="H495" s="293"/>
      <c r="I495" s="284"/>
      <c r="J495" s="293"/>
      <c r="K495" s="284"/>
      <c r="L495" s="286"/>
      <c r="M495" s="9"/>
      <c r="N495" s="9"/>
      <c r="O495" s="9"/>
      <c r="P495" s="9"/>
      <c r="Q495" s="9"/>
      <c r="R495" s="9"/>
      <c r="S495" s="271"/>
      <c r="T495" s="271"/>
      <c r="U495" s="271"/>
      <c r="V495" s="271"/>
      <c r="W495" s="271"/>
      <c r="X495" s="271"/>
      <c r="Y495" s="271"/>
      <c r="Z495" s="271"/>
    </row>
    <row r="496" spans="1:26">
      <c r="A496" s="9"/>
      <c r="B496" s="283"/>
      <c r="C496" s="9"/>
      <c r="D496" s="9"/>
      <c r="E496" s="296"/>
      <c r="F496" s="296"/>
      <c r="G496" s="285"/>
      <c r="H496" s="293"/>
      <c r="I496" s="284"/>
      <c r="J496" s="293"/>
      <c r="K496" s="284"/>
      <c r="L496" s="286"/>
      <c r="M496" s="9"/>
      <c r="N496" s="9"/>
      <c r="O496" s="9"/>
      <c r="P496" s="9"/>
      <c r="Q496" s="9"/>
      <c r="R496" s="9"/>
      <c r="S496" s="271"/>
      <c r="T496" s="271"/>
      <c r="U496" s="271"/>
      <c r="V496" s="271"/>
      <c r="W496" s="271"/>
      <c r="X496" s="271"/>
      <c r="Y496" s="271"/>
      <c r="Z496" s="271"/>
    </row>
    <row r="497" spans="1:26">
      <c r="A497" s="9"/>
      <c r="B497" s="283"/>
      <c r="C497" s="9"/>
      <c r="D497" s="9"/>
      <c r="E497" s="296"/>
      <c r="F497" s="296"/>
      <c r="G497" s="285"/>
      <c r="H497" s="293"/>
      <c r="I497" s="284"/>
      <c r="J497" s="293"/>
      <c r="K497" s="284"/>
      <c r="L497" s="286"/>
      <c r="M497" s="9"/>
      <c r="N497" s="9"/>
      <c r="O497" s="9"/>
      <c r="P497" s="9"/>
      <c r="Q497" s="9"/>
      <c r="R497" s="9"/>
      <c r="S497" s="271"/>
      <c r="T497" s="271"/>
      <c r="U497" s="271"/>
      <c r="V497" s="271"/>
      <c r="W497" s="271"/>
      <c r="X497" s="271"/>
      <c r="Y497" s="271"/>
      <c r="Z497" s="271"/>
    </row>
    <row r="498" spans="1:26">
      <c r="A498" s="9"/>
      <c r="B498" s="283"/>
      <c r="C498" s="9"/>
      <c r="D498" s="9"/>
      <c r="E498" s="296"/>
      <c r="F498" s="296"/>
      <c r="G498" s="285"/>
      <c r="H498" s="293"/>
      <c r="I498" s="284"/>
      <c r="J498" s="293"/>
      <c r="K498" s="284"/>
      <c r="L498" s="286"/>
      <c r="M498" s="9"/>
      <c r="N498" s="9"/>
      <c r="O498" s="9"/>
      <c r="P498" s="9"/>
      <c r="Q498" s="9"/>
      <c r="R498" s="9"/>
      <c r="S498" s="271"/>
      <c r="T498" s="271"/>
      <c r="U498" s="271"/>
      <c r="V498" s="271"/>
      <c r="W498" s="271"/>
      <c r="X498" s="271"/>
      <c r="Y498" s="271"/>
      <c r="Z498" s="271"/>
    </row>
    <row r="499" spans="1:26">
      <c r="A499" s="9"/>
      <c r="B499" s="283"/>
      <c r="C499" s="9"/>
      <c r="D499" s="9"/>
      <c r="E499" s="296"/>
      <c r="F499" s="296"/>
      <c r="G499" s="285"/>
      <c r="H499" s="293"/>
      <c r="I499" s="284"/>
      <c r="J499" s="293"/>
      <c r="K499" s="284"/>
      <c r="L499" s="286"/>
      <c r="M499" s="9"/>
      <c r="N499" s="9"/>
      <c r="O499" s="9"/>
      <c r="P499" s="9"/>
      <c r="Q499" s="9"/>
      <c r="R499" s="9"/>
      <c r="S499" s="271"/>
      <c r="T499" s="271"/>
      <c r="U499" s="271"/>
      <c r="V499" s="271"/>
      <c r="W499" s="271"/>
      <c r="X499" s="271"/>
      <c r="Y499" s="271"/>
      <c r="Z499" s="271"/>
    </row>
    <row r="500" spans="1:26">
      <c r="A500" s="9"/>
      <c r="B500" s="283"/>
      <c r="C500" s="9"/>
      <c r="D500" s="9"/>
      <c r="E500" s="296"/>
      <c r="F500" s="296"/>
      <c r="G500" s="285"/>
      <c r="H500" s="293"/>
      <c r="I500" s="284"/>
      <c r="J500" s="293"/>
      <c r="K500" s="284"/>
      <c r="L500" s="286"/>
      <c r="M500" s="9"/>
      <c r="N500" s="9"/>
      <c r="O500" s="9"/>
      <c r="P500" s="9"/>
      <c r="Q500" s="9"/>
      <c r="R500" s="9"/>
      <c r="S500" s="271"/>
      <c r="T500" s="271"/>
      <c r="U500" s="271"/>
      <c r="V500" s="271"/>
      <c r="W500" s="271"/>
      <c r="X500" s="271"/>
      <c r="Y500" s="271"/>
      <c r="Z500" s="271"/>
    </row>
    <row r="501" spans="1:26">
      <c r="A501" s="9"/>
      <c r="B501" s="283"/>
      <c r="C501" s="9"/>
      <c r="D501" s="9"/>
      <c r="E501" s="296"/>
      <c r="F501" s="296"/>
      <c r="G501" s="285"/>
      <c r="H501" s="293"/>
      <c r="I501" s="284"/>
      <c r="J501" s="293"/>
      <c r="K501" s="284"/>
      <c r="L501" s="286"/>
      <c r="M501" s="9"/>
      <c r="N501" s="9"/>
      <c r="O501" s="9"/>
      <c r="P501" s="9"/>
      <c r="Q501" s="9"/>
      <c r="R501" s="9"/>
      <c r="S501" s="271"/>
      <c r="T501" s="271"/>
      <c r="U501" s="271"/>
      <c r="V501" s="271"/>
      <c r="W501" s="271"/>
      <c r="X501" s="271"/>
      <c r="Y501" s="271"/>
      <c r="Z501" s="271"/>
    </row>
    <row r="502" spans="1:26">
      <c r="A502" s="9"/>
      <c r="B502" s="283"/>
      <c r="C502" s="9"/>
      <c r="D502" s="9"/>
      <c r="E502" s="296"/>
      <c r="F502" s="296"/>
      <c r="G502" s="285"/>
      <c r="H502" s="293"/>
      <c r="I502" s="284"/>
      <c r="J502" s="293"/>
      <c r="K502" s="284"/>
      <c r="L502" s="286"/>
      <c r="M502" s="9"/>
      <c r="N502" s="9"/>
      <c r="O502" s="9"/>
      <c r="P502" s="9"/>
      <c r="Q502" s="9"/>
      <c r="R502" s="9"/>
      <c r="S502" s="271"/>
      <c r="T502" s="271"/>
      <c r="U502" s="271"/>
      <c r="V502" s="271"/>
      <c r="W502" s="271"/>
      <c r="X502" s="271"/>
      <c r="Y502" s="271"/>
      <c r="Z502" s="271"/>
    </row>
    <row r="503" spans="1:26">
      <c r="A503" s="9"/>
      <c r="B503" s="283"/>
      <c r="C503" s="9"/>
      <c r="D503" s="9"/>
      <c r="E503" s="296"/>
      <c r="F503" s="296"/>
      <c r="G503" s="285"/>
      <c r="H503" s="293"/>
      <c r="I503" s="284"/>
      <c r="J503" s="293"/>
      <c r="K503" s="284"/>
      <c r="L503" s="286"/>
      <c r="M503" s="9"/>
      <c r="N503" s="9"/>
      <c r="O503" s="9"/>
      <c r="P503" s="9"/>
      <c r="Q503" s="9"/>
      <c r="R503" s="9"/>
      <c r="S503" s="271"/>
      <c r="T503" s="271"/>
      <c r="U503" s="271"/>
      <c r="V503" s="271"/>
      <c r="W503" s="271"/>
      <c r="X503" s="271"/>
      <c r="Y503" s="271"/>
      <c r="Z503" s="271"/>
    </row>
    <row r="504" spans="1:26">
      <c r="A504" s="9"/>
      <c r="B504" s="283"/>
      <c r="C504" s="9"/>
      <c r="D504" s="9"/>
      <c r="E504" s="296"/>
      <c r="F504" s="296"/>
      <c r="G504" s="285"/>
      <c r="H504" s="293"/>
      <c r="I504" s="284"/>
      <c r="J504" s="293"/>
      <c r="K504" s="284"/>
      <c r="L504" s="286"/>
      <c r="M504" s="9"/>
      <c r="N504" s="9"/>
      <c r="O504" s="9"/>
      <c r="P504" s="9"/>
      <c r="Q504" s="9"/>
      <c r="R504" s="9"/>
      <c r="S504" s="271"/>
      <c r="T504" s="271"/>
      <c r="U504" s="271"/>
      <c r="V504" s="271"/>
      <c r="W504" s="271"/>
      <c r="X504" s="271"/>
      <c r="Y504" s="271"/>
      <c r="Z504" s="271"/>
    </row>
    <row r="505" spans="1:26">
      <c r="A505" s="9"/>
      <c r="B505" s="283"/>
      <c r="C505" s="9"/>
      <c r="D505" s="9"/>
      <c r="E505" s="296"/>
      <c r="F505" s="296"/>
      <c r="G505" s="285"/>
      <c r="H505" s="293"/>
      <c r="I505" s="284"/>
      <c r="J505" s="293"/>
      <c r="K505" s="284"/>
      <c r="L505" s="286"/>
      <c r="M505" s="9"/>
      <c r="N505" s="9"/>
      <c r="O505" s="9"/>
      <c r="P505" s="9"/>
      <c r="Q505" s="9"/>
      <c r="R505" s="9"/>
      <c r="S505" s="271"/>
      <c r="T505" s="271"/>
      <c r="U505" s="271"/>
      <c r="V505" s="271"/>
      <c r="W505" s="271"/>
      <c r="X505" s="271"/>
      <c r="Y505" s="271"/>
      <c r="Z505" s="271"/>
    </row>
    <row r="506" spans="1:26">
      <c r="A506" s="9"/>
      <c r="B506" s="283"/>
      <c r="C506" s="9"/>
      <c r="D506" s="9"/>
      <c r="E506" s="296"/>
      <c r="F506" s="296"/>
      <c r="G506" s="285"/>
      <c r="H506" s="293"/>
      <c r="I506" s="284"/>
      <c r="J506" s="293"/>
      <c r="K506" s="284"/>
      <c r="L506" s="286"/>
      <c r="M506" s="9"/>
      <c r="N506" s="9"/>
      <c r="O506" s="9"/>
      <c r="P506" s="9"/>
      <c r="Q506" s="9"/>
      <c r="R506" s="9"/>
      <c r="S506" s="271"/>
      <c r="T506" s="271"/>
      <c r="U506" s="271"/>
      <c r="V506" s="271"/>
      <c r="W506" s="271"/>
      <c r="X506" s="271"/>
      <c r="Y506" s="271"/>
      <c r="Z506" s="271"/>
    </row>
    <row r="507" spans="1:26">
      <c r="A507" s="9"/>
      <c r="B507" s="283"/>
      <c r="C507" s="9"/>
      <c r="D507" s="9"/>
      <c r="E507" s="296"/>
      <c r="F507" s="296"/>
      <c r="G507" s="285"/>
      <c r="H507" s="293"/>
      <c r="I507" s="284"/>
      <c r="J507" s="293"/>
      <c r="K507" s="284"/>
      <c r="L507" s="286"/>
      <c r="M507" s="9"/>
      <c r="N507" s="9"/>
      <c r="O507" s="9"/>
      <c r="P507" s="9"/>
      <c r="Q507" s="9"/>
      <c r="R507" s="9"/>
      <c r="S507" s="271"/>
      <c r="T507" s="271"/>
      <c r="U507" s="271"/>
      <c r="V507" s="271"/>
      <c r="W507" s="271"/>
      <c r="X507" s="271"/>
      <c r="Y507" s="271"/>
      <c r="Z507" s="271"/>
    </row>
    <row r="508" spans="1:26">
      <c r="A508" s="9"/>
      <c r="B508" s="283"/>
      <c r="C508" s="9"/>
      <c r="D508" s="9"/>
      <c r="E508" s="296"/>
      <c r="F508" s="296"/>
      <c r="G508" s="285"/>
      <c r="H508" s="293"/>
      <c r="I508" s="284"/>
      <c r="J508" s="293"/>
      <c r="K508" s="284"/>
      <c r="L508" s="286"/>
      <c r="M508" s="9"/>
      <c r="N508" s="9"/>
      <c r="O508" s="9"/>
      <c r="P508" s="9"/>
      <c r="Q508" s="9"/>
      <c r="R508" s="9"/>
      <c r="S508" s="271"/>
      <c r="T508" s="271"/>
      <c r="U508" s="271"/>
      <c r="V508" s="271"/>
      <c r="W508" s="271"/>
      <c r="X508" s="271"/>
      <c r="Y508" s="271"/>
      <c r="Z508" s="271"/>
    </row>
    <row r="509" spans="1:26">
      <c r="A509" s="9"/>
      <c r="B509" s="283"/>
      <c r="C509" s="9"/>
      <c r="D509" s="9"/>
      <c r="E509" s="296"/>
      <c r="F509" s="296"/>
      <c r="G509" s="285"/>
      <c r="H509" s="293"/>
      <c r="I509" s="284"/>
      <c r="J509" s="293"/>
      <c r="K509" s="284"/>
      <c r="L509" s="286"/>
      <c r="M509" s="9"/>
      <c r="N509" s="9"/>
      <c r="O509" s="9"/>
      <c r="P509" s="9"/>
      <c r="Q509" s="9"/>
      <c r="R509" s="9"/>
      <c r="S509" s="271"/>
      <c r="T509" s="271"/>
      <c r="U509" s="271"/>
      <c r="V509" s="271"/>
      <c r="W509" s="271"/>
      <c r="X509" s="271"/>
      <c r="Y509" s="271"/>
      <c r="Z509" s="271"/>
    </row>
    <row r="510" spans="1:26">
      <c r="A510" s="9"/>
      <c r="B510" s="283"/>
      <c r="C510" s="9"/>
      <c r="D510" s="9"/>
      <c r="E510" s="296"/>
      <c r="F510" s="296"/>
      <c r="G510" s="285"/>
      <c r="H510" s="293"/>
      <c r="I510" s="284"/>
      <c r="J510" s="293"/>
      <c r="K510" s="284"/>
      <c r="L510" s="286"/>
      <c r="M510" s="9"/>
      <c r="N510" s="9"/>
      <c r="O510" s="9"/>
      <c r="P510" s="9"/>
      <c r="Q510" s="9"/>
      <c r="R510" s="9"/>
      <c r="S510" s="271"/>
      <c r="T510" s="271"/>
      <c r="U510" s="271"/>
      <c r="V510" s="271"/>
      <c r="W510" s="271"/>
      <c r="X510" s="271"/>
      <c r="Y510" s="271"/>
      <c r="Z510" s="271"/>
    </row>
    <row r="511" spans="1:26">
      <c r="A511" s="9"/>
      <c r="B511" s="283"/>
      <c r="C511" s="9"/>
      <c r="D511" s="9"/>
      <c r="E511" s="296"/>
      <c r="F511" s="296"/>
      <c r="G511" s="285"/>
      <c r="H511" s="293"/>
      <c r="I511" s="284"/>
      <c r="J511" s="293"/>
      <c r="K511" s="284"/>
      <c r="L511" s="286"/>
      <c r="M511" s="9"/>
      <c r="N511" s="9"/>
      <c r="O511" s="9"/>
      <c r="P511" s="9"/>
      <c r="Q511" s="9"/>
      <c r="R511" s="9"/>
      <c r="S511" s="271"/>
      <c r="T511" s="271"/>
      <c r="U511" s="271"/>
      <c r="V511" s="271"/>
      <c r="W511" s="271"/>
      <c r="X511" s="271"/>
      <c r="Y511" s="271"/>
      <c r="Z511" s="271"/>
    </row>
    <row r="512" spans="1:26">
      <c r="A512" s="9"/>
      <c r="B512" s="283"/>
      <c r="C512" s="9"/>
      <c r="D512" s="9"/>
      <c r="E512" s="296"/>
      <c r="F512" s="296"/>
      <c r="G512" s="285"/>
      <c r="H512" s="293"/>
      <c r="I512" s="284"/>
      <c r="J512" s="293"/>
      <c r="K512" s="284"/>
      <c r="L512" s="286"/>
      <c r="M512" s="9"/>
      <c r="N512" s="9"/>
      <c r="O512" s="9"/>
      <c r="P512" s="9"/>
      <c r="Q512" s="9"/>
      <c r="R512" s="9"/>
      <c r="S512" s="271"/>
      <c r="T512" s="271"/>
      <c r="U512" s="271"/>
      <c r="V512" s="271"/>
      <c r="W512" s="271"/>
      <c r="X512" s="271"/>
      <c r="Y512" s="271"/>
      <c r="Z512" s="271"/>
    </row>
    <row r="513" spans="1:26">
      <c r="A513" s="9"/>
      <c r="B513" s="283"/>
      <c r="C513" s="9"/>
      <c r="D513" s="9"/>
      <c r="E513" s="296"/>
      <c r="F513" s="296"/>
      <c r="G513" s="285"/>
      <c r="H513" s="293"/>
      <c r="I513" s="284"/>
      <c r="J513" s="293"/>
      <c r="K513" s="284"/>
      <c r="L513" s="286"/>
      <c r="M513" s="9"/>
      <c r="N513" s="9"/>
      <c r="O513" s="9"/>
      <c r="P513" s="9"/>
      <c r="Q513" s="9"/>
      <c r="R513" s="9"/>
      <c r="S513" s="271"/>
      <c r="T513" s="271"/>
      <c r="U513" s="271"/>
      <c r="V513" s="271"/>
      <c r="W513" s="271"/>
      <c r="X513" s="271"/>
      <c r="Y513" s="271"/>
      <c r="Z513" s="271"/>
    </row>
    <row r="514" spans="1:26">
      <c r="A514" s="9"/>
      <c r="B514" s="283"/>
      <c r="C514" s="9"/>
      <c r="D514" s="9"/>
      <c r="E514" s="296"/>
      <c r="F514" s="296"/>
      <c r="G514" s="285"/>
      <c r="H514" s="293"/>
      <c r="I514" s="284"/>
      <c r="J514" s="293"/>
      <c r="K514" s="284"/>
      <c r="L514" s="286"/>
      <c r="M514" s="9"/>
      <c r="N514" s="9"/>
      <c r="O514" s="9"/>
      <c r="P514" s="9"/>
      <c r="Q514" s="9"/>
      <c r="R514" s="9"/>
      <c r="S514" s="271"/>
      <c r="T514" s="271"/>
      <c r="U514" s="271"/>
      <c r="V514" s="271"/>
      <c r="W514" s="271"/>
      <c r="X514" s="271"/>
      <c r="Y514" s="271"/>
      <c r="Z514" s="271"/>
    </row>
    <row r="515" spans="1:26">
      <c r="A515" s="9"/>
      <c r="B515" s="283"/>
      <c r="C515" s="9"/>
      <c r="D515" s="9"/>
      <c r="E515" s="296"/>
      <c r="F515" s="296"/>
      <c r="G515" s="285"/>
      <c r="H515" s="293"/>
      <c r="I515" s="284"/>
      <c r="J515" s="293"/>
      <c r="K515" s="284"/>
      <c r="L515" s="286"/>
      <c r="M515" s="9"/>
      <c r="N515" s="9"/>
      <c r="O515" s="9"/>
      <c r="P515" s="9"/>
      <c r="Q515" s="9"/>
      <c r="R515" s="9"/>
      <c r="S515" s="271"/>
      <c r="T515" s="271"/>
      <c r="U515" s="271"/>
      <c r="V515" s="271"/>
      <c r="W515" s="271"/>
      <c r="X515" s="271"/>
      <c r="Y515" s="271"/>
      <c r="Z515" s="271"/>
    </row>
    <row r="516" spans="1:26">
      <c r="A516" s="9"/>
      <c r="B516" s="283"/>
      <c r="C516" s="9"/>
      <c r="D516" s="9"/>
      <c r="E516" s="296"/>
      <c r="F516" s="296"/>
      <c r="G516" s="285"/>
      <c r="H516" s="293"/>
      <c r="I516" s="284"/>
      <c r="J516" s="293"/>
      <c r="K516" s="284"/>
      <c r="L516" s="286"/>
      <c r="M516" s="9"/>
      <c r="N516" s="9"/>
      <c r="O516" s="9"/>
      <c r="P516" s="9"/>
      <c r="Q516" s="9"/>
      <c r="R516" s="9"/>
      <c r="S516" s="271"/>
      <c r="T516" s="271"/>
      <c r="U516" s="271"/>
      <c r="V516" s="271"/>
      <c r="W516" s="271"/>
      <c r="X516" s="271"/>
      <c r="Y516" s="271"/>
      <c r="Z516" s="271"/>
    </row>
    <row r="517" spans="1:26">
      <c r="A517" s="9"/>
      <c r="B517" s="283"/>
      <c r="C517" s="9"/>
      <c r="D517" s="9"/>
      <c r="E517" s="296"/>
      <c r="F517" s="296"/>
      <c r="G517" s="285"/>
      <c r="H517" s="293"/>
      <c r="I517" s="284"/>
      <c r="J517" s="293"/>
      <c r="K517" s="284"/>
      <c r="L517" s="286"/>
      <c r="M517" s="9"/>
      <c r="N517" s="9"/>
      <c r="O517" s="9"/>
      <c r="P517" s="9"/>
      <c r="Q517" s="9"/>
      <c r="R517" s="9"/>
      <c r="S517" s="271"/>
      <c r="T517" s="271"/>
      <c r="U517" s="271"/>
      <c r="V517" s="271"/>
      <c r="W517" s="271"/>
      <c r="X517" s="271"/>
      <c r="Y517" s="271"/>
      <c r="Z517" s="271"/>
    </row>
    <row r="518" spans="1:26">
      <c r="A518" s="9"/>
      <c r="B518" s="283"/>
      <c r="C518" s="9"/>
      <c r="D518" s="9"/>
      <c r="E518" s="296"/>
      <c r="F518" s="296"/>
      <c r="G518" s="285"/>
      <c r="H518" s="293"/>
      <c r="I518" s="284"/>
      <c r="J518" s="293"/>
      <c r="K518" s="284"/>
      <c r="L518" s="286"/>
      <c r="M518" s="9"/>
      <c r="N518" s="9"/>
      <c r="O518" s="9"/>
      <c r="P518" s="9"/>
      <c r="Q518" s="9"/>
      <c r="R518" s="9"/>
      <c r="S518" s="271"/>
      <c r="T518" s="271"/>
      <c r="U518" s="271"/>
      <c r="V518" s="271"/>
      <c r="W518" s="271"/>
      <c r="X518" s="271"/>
      <c r="Y518" s="271"/>
      <c r="Z518" s="271"/>
    </row>
    <row r="519" spans="1:26">
      <c r="A519" s="9"/>
      <c r="B519" s="283"/>
      <c r="C519" s="9"/>
      <c r="D519" s="9"/>
      <c r="E519" s="296"/>
      <c r="F519" s="296"/>
      <c r="G519" s="285"/>
      <c r="H519" s="293"/>
      <c r="I519" s="284"/>
      <c r="J519" s="293"/>
      <c r="K519" s="284"/>
      <c r="L519" s="286"/>
      <c r="M519" s="9"/>
      <c r="N519" s="9"/>
      <c r="O519" s="9"/>
      <c r="P519" s="9"/>
      <c r="Q519" s="9"/>
      <c r="R519" s="9"/>
      <c r="S519" s="271"/>
      <c r="T519" s="271"/>
      <c r="U519" s="271"/>
      <c r="V519" s="271"/>
      <c r="W519" s="271"/>
      <c r="X519" s="271"/>
      <c r="Y519" s="271"/>
      <c r="Z519" s="271"/>
    </row>
    <row r="520" spans="1:26">
      <c r="A520" s="9"/>
      <c r="B520" s="283"/>
      <c r="C520" s="9"/>
      <c r="D520" s="9"/>
      <c r="E520" s="296"/>
      <c r="F520" s="296"/>
      <c r="G520" s="285"/>
      <c r="H520" s="293"/>
      <c r="I520" s="284"/>
      <c r="J520" s="293"/>
      <c r="K520" s="284"/>
      <c r="L520" s="286"/>
      <c r="M520" s="9"/>
      <c r="N520" s="9"/>
      <c r="O520" s="9"/>
      <c r="P520" s="9"/>
      <c r="Q520" s="9"/>
      <c r="R520" s="9"/>
      <c r="S520" s="271"/>
      <c r="T520" s="271"/>
      <c r="U520" s="271"/>
      <c r="V520" s="271"/>
      <c r="W520" s="271"/>
      <c r="X520" s="271"/>
      <c r="Y520" s="271"/>
      <c r="Z520" s="271"/>
    </row>
    <row r="521" spans="1:26">
      <c r="A521" s="9"/>
      <c r="B521" s="283"/>
      <c r="C521" s="9"/>
      <c r="D521" s="9"/>
      <c r="E521" s="296"/>
      <c r="F521" s="296"/>
      <c r="G521" s="285"/>
      <c r="H521" s="293"/>
      <c r="I521" s="284"/>
      <c r="J521" s="293"/>
      <c r="K521" s="284"/>
      <c r="L521" s="286"/>
      <c r="M521" s="9"/>
      <c r="N521" s="9"/>
      <c r="O521" s="9"/>
      <c r="P521" s="9"/>
      <c r="Q521" s="9"/>
      <c r="R521" s="9"/>
      <c r="S521" s="271"/>
      <c r="T521" s="271"/>
      <c r="U521" s="271"/>
      <c r="V521" s="271"/>
      <c r="W521" s="271"/>
      <c r="X521" s="271"/>
      <c r="Y521" s="271"/>
      <c r="Z521" s="271"/>
    </row>
    <row r="522" spans="1:26">
      <c r="A522" s="9"/>
      <c r="B522" s="283"/>
      <c r="C522" s="9"/>
      <c r="D522" s="9"/>
      <c r="E522" s="296"/>
      <c r="F522" s="296"/>
      <c r="G522" s="285"/>
      <c r="H522" s="293"/>
      <c r="I522" s="284"/>
      <c r="J522" s="293"/>
      <c r="K522" s="284"/>
      <c r="L522" s="286"/>
      <c r="M522" s="9"/>
      <c r="N522" s="9"/>
      <c r="O522" s="9"/>
      <c r="P522" s="9"/>
      <c r="Q522" s="9"/>
      <c r="R522" s="9"/>
      <c r="S522" s="271"/>
      <c r="T522" s="271"/>
      <c r="U522" s="271"/>
      <c r="V522" s="271"/>
      <c r="W522" s="271"/>
      <c r="X522" s="271"/>
      <c r="Y522" s="271"/>
      <c r="Z522" s="271"/>
    </row>
    <row r="523" spans="1:26">
      <c r="A523" s="9"/>
      <c r="B523" s="283"/>
      <c r="C523" s="9"/>
      <c r="D523" s="9"/>
      <c r="E523" s="296"/>
      <c r="F523" s="296"/>
      <c r="G523" s="285"/>
      <c r="H523" s="293"/>
      <c r="I523" s="284"/>
      <c r="J523" s="293"/>
      <c r="K523" s="284"/>
      <c r="L523" s="286"/>
      <c r="M523" s="9"/>
      <c r="N523" s="9"/>
      <c r="O523" s="9"/>
      <c r="P523" s="9"/>
      <c r="Q523" s="9"/>
      <c r="R523" s="9"/>
      <c r="S523" s="271"/>
      <c r="T523" s="271"/>
      <c r="U523" s="271"/>
      <c r="V523" s="271"/>
      <c r="W523" s="271"/>
      <c r="X523" s="271"/>
      <c r="Y523" s="271"/>
      <c r="Z523" s="271"/>
    </row>
    <row r="524" spans="1:26">
      <c r="A524" s="9"/>
      <c r="B524" s="283"/>
      <c r="C524" s="9"/>
      <c r="D524" s="9"/>
      <c r="E524" s="296"/>
      <c r="F524" s="296"/>
      <c r="G524" s="285"/>
      <c r="H524" s="293"/>
      <c r="I524" s="284"/>
      <c r="J524" s="293"/>
      <c r="K524" s="284"/>
      <c r="L524" s="286"/>
      <c r="M524" s="9"/>
      <c r="N524" s="9"/>
      <c r="O524" s="9"/>
      <c r="P524" s="9"/>
      <c r="Q524" s="9"/>
      <c r="R524" s="9"/>
      <c r="S524" s="271"/>
      <c r="T524" s="271"/>
      <c r="U524" s="271"/>
      <c r="V524" s="271"/>
      <c r="W524" s="271"/>
      <c r="X524" s="271"/>
      <c r="Y524" s="271"/>
      <c r="Z524" s="271"/>
    </row>
    <row r="525" spans="1:26">
      <c r="A525" s="9"/>
      <c r="B525" s="283"/>
      <c r="C525" s="9"/>
      <c r="D525" s="9"/>
      <c r="E525" s="296"/>
      <c r="F525" s="296"/>
      <c r="G525" s="285"/>
      <c r="H525" s="293"/>
      <c r="I525" s="284"/>
      <c r="J525" s="293"/>
      <c r="K525" s="284"/>
      <c r="L525" s="286"/>
      <c r="M525" s="9"/>
      <c r="N525" s="9"/>
      <c r="O525" s="9"/>
      <c r="P525" s="9"/>
      <c r="Q525" s="9"/>
      <c r="R525" s="9"/>
      <c r="S525" s="271"/>
      <c r="T525" s="271"/>
      <c r="U525" s="271"/>
      <c r="V525" s="271"/>
      <c r="W525" s="271"/>
      <c r="X525" s="271"/>
      <c r="Y525" s="271"/>
      <c r="Z525" s="271"/>
    </row>
    <row r="526" spans="1:26">
      <c r="A526" s="9"/>
      <c r="B526" s="283"/>
      <c r="C526" s="9"/>
      <c r="D526" s="9"/>
      <c r="E526" s="296"/>
      <c r="F526" s="296"/>
      <c r="G526" s="285"/>
      <c r="H526" s="293"/>
      <c r="I526" s="284"/>
      <c r="J526" s="293"/>
      <c r="K526" s="284"/>
      <c r="L526" s="286"/>
      <c r="M526" s="9"/>
      <c r="N526" s="9"/>
      <c r="O526" s="9"/>
      <c r="P526" s="9"/>
      <c r="Q526" s="9"/>
      <c r="R526" s="9"/>
      <c r="S526" s="271"/>
      <c r="T526" s="271"/>
      <c r="U526" s="271"/>
      <c r="V526" s="271"/>
      <c r="W526" s="271"/>
      <c r="X526" s="271"/>
      <c r="Y526" s="271"/>
      <c r="Z526" s="271"/>
    </row>
    <row r="527" spans="1:26">
      <c r="A527" s="9"/>
      <c r="B527" s="283"/>
      <c r="C527" s="9"/>
      <c r="D527" s="9"/>
      <c r="E527" s="296"/>
      <c r="F527" s="296"/>
      <c r="G527" s="285"/>
      <c r="H527" s="293"/>
      <c r="I527" s="284"/>
      <c r="J527" s="293"/>
      <c r="K527" s="284"/>
      <c r="L527" s="286"/>
      <c r="M527" s="9"/>
      <c r="N527" s="9"/>
      <c r="O527" s="9"/>
      <c r="P527" s="9"/>
      <c r="Q527" s="9"/>
      <c r="R527" s="9"/>
      <c r="S527" s="271"/>
      <c r="T527" s="271"/>
      <c r="U527" s="271"/>
      <c r="V527" s="271"/>
      <c r="W527" s="271"/>
      <c r="X527" s="271"/>
      <c r="Y527" s="271"/>
      <c r="Z527" s="271"/>
    </row>
    <row r="528" spans="1:26">
      <c r="A528" s="9"/>
      <c r="B528" s="283"/>
      <c r="C528" s="9"/>
      <c r="D528" s="9"/>
      <c r="E528" s="296"/>
      <c r="F528" s="296"/>
      <c r="G528" s="285"/>
      <c r="H528" s="293"/>
      <c r="I528" s="284"/>
      <c r="J528" s="293"/>
      <c r="K528" s="284"/>
      <c r="L528" s="286"/>
      <c r="M528" s="9"/>
      <c r="N528" s="9"/>
      <c r="O528" s="9"/>
      <c r="P528" s="9"/>
      <c r="Q528" s="9"/>
      <c r="R528" s="9"/>
      <c r="S528" s="271"/>
      <c r="T528" s="271"/>
      <c r="U528" s="271"/>
      <c r="V528" s="271"/>
      <c r="W528" s="271"/>
      <c r="X528" s="271"/>
      <c r="Y528" s="271"/>
      <c r="Z528" s="271"/>
    </row>
    <row r="529" spans="1:26">
      <c r="A529" s="9"/>
      <c r="B529" s="283"/>
      <c r="C529" s="9"/>
      <c r="D529" s="9"/>
      <c r="E529" s="296"/>
      <c r="F529" s="296"/>
      <c r="G529" s="285"/>
      <c r="H529" s="293"/>
      <c r="I529" s="284"/>
      <c r="J529" s="293"/>
      <c r="K529" s="284"/>
      <c r="L529" s="286"/>
      <c r="M529" s="9"/>
      <c r="N529" s="9"/>
      <c r="O529" s="9"/>
      <c r="P529" s="9"/>
      <c r="Q529" s="9"/>
      <c r="R529" s="9"/>
      <c r="S529" s="271"/>
      <c r="T529" s="271"/>
      <c r="U529" s="271"/>
      <c r="V529" s="271"/>
      <c r="W529" s="271"/>
      <c r="X529" s="271"/>
      <c r="Y529" s="271"/>
      <c r="Z529" s="271"/>
    </row>
    <row r="530" spans="1:26">
      <c r="A530" s="9"/>
      <c r="B530" s="283"/>
      <c r="C530" s="9"/>
      <c r="D530" s="9"/>
      <c r="E530" s="296"/>
      <c r="F530" s="296"/>
      <c r="G530" s="285"/>
      <c r="H530" s="293"/>
      <c r="I530" s="284"/>
      <c r="J530" s="293"/>
      <c r="K530" s="284"/>
      <c r="L530" s="286"/>
      <c r="M530" s="9"/>
      <c r="N530" s="9"/>
      <c r="O530" s="9"/>
      <c r="P530" s="9"/>
      <c r="Q530" s="9"/>
      <c r="R530" s="9"/>
      <c r="S530" s="271"/>
      <c r="T530" s="271"/>
      <c r="U530" s="271"/>
      <c r="V530" s="271"/>
      <c r="W530" s="271"/>
      <c r="X530" s="271"/>
      <c r="Y530" s="271"/>
      <c r="Z530" s="271"/>
    </row>
    <row r="531" spans="1:26">
      <c r="A531" s="9"/>
      <c r="B531" s="283"/>
      <c r="C531" s="9"/>
      <c r="D531" s="9"/>
      <c r="E531" s="296"/>
      <c r="F531" s="296"/>
      <c r="G531" s="285"/>
      <c r="H531" s="293"/>
      <c r="I531" s="284"/>
      <c r="J531" s="293"/>
      <c r="K531" s="284"/>
      <c r="L531" s="286"/>
      <c r="M531" s="9"/>
      <c r="N531" s="9"/>
      <c r="O531" s="9"/>
      <c r="P531" s="9"/>
      <c r="Q531" s="9"/>
      <c r="R531" s="9"/>
      <c r="S531" s="271"/>
      <c r="T531" s="271"/>
      <c r="U531" s="271"/>
      <c r="V531" s="271"/>
      <c r="W531" s="271"/>
      <c r="X531" s="271"/>
      <c r="Y531" s="271"/>
      <c r="Z531" s="271"/>
    </row>
    <row r="532" spans="1:26">
      <c r="A532" s="9"/>
      <c r="B532" s="283"/>
      <c r="C532" s="9"/>
      <c r="D532" s="9"/>
      <c r="E532" s="296"/>
      <c r="F532" s="296"/>
      <c r="G532" s="285"/>
      <c r="H532" s="293"/>
      <c r="I532" s="284"/>
      <c r="J532" s="293"/>
      <c r="K532" s="284"/>
      <c r="L532" s="286"/>
      <c r="M532" s="9"/>
      <c r="N532" s="9"/>
      <c r="O532" s="9"/>
      <c r="P532" s="9"/>
      <c r="Q532" s="9"/>
      <c r="R532" s="9"/>
      <c r="S532" s="271"/>
      <c r="T532" s="271"/>
      <c r="U532" s="271"/>
      <c r="V532" s="271"/>
      <c r="W532" s="271"/>
      <c r="X532" s="271"/>
      <c r="Y532" s="271"/>
      <c r="Z532" s="271"/>
    </row>
    <row r="533" spans="1:26">
      <c r="A533" s="9"/>
      <c r="B533" s="283"/>
      <c r="C533" s="9"/>
      <c r="D533" s="9"/>
      <c r="E533" s="296"/>
      <c r="F533" s="296"/>
      <c r="G533" s="285"/>
      <c r="H533" s="293"/>
      <c r="I533" s="284"/>
      <c r="J533" s="293"/>
      <c r="K533" s="284"/>
      <c r="L533" s="286"/>
      <c r="M533" s="9"/>
      <c r="N533" s="9"/>
      <c r="O533" s="9"/>
      <c r="P533" s="9"/>
      <c r="Q533" s="9"/>
      <c r="R533" s="9"/>
      <c r="S533" s="271"/>
      <c r="T533" s="271"/>
      <c r="U533" s="271"/>
      <c r="V533" s="271"/>
      <c r="W533" s="271"/>
      <c r="X533" s="271"/>
      <c r="Y533" s="271"/>
      <c r="Z533" s="271"/>
    </row>
    <row r="534" spans="1:26">
      <c r="A534" s="9"/>
      <c r="B534" s="283"/>
      <c r="C534" s="9"/>
      <c r="D534" s="9"/>
      <c r="E534" s="296"/>
      <c r="F534" s="296"/>
      <c r="G534" s="285"/>
      <c r="H534" s="293"/>
      <c r="I534" s="284"/>
      <c r="J534" s="293"/>
      <c r="K534" s="284"/>
      <c r="L534" s="286"/>
      <c r="M534" s="9"/>
      <c r="N534" s="9"/>
      <c r="O534" s="9"/>
      <c r="P534" s="9"/>
      <c r="Q534" s="9"/>
      <c r="R534" s="9"/>
      <c r="S534" s="271"/>
      <c r="T534" s="271"/>
      <c r="U534" s="271"/>
      <c r="V534" s="271"/>
      <c r="W534" s="271"/>
      <c r="X534" s="271"/>
      <c r="Y534" s="271"/>
      <c r="Z534" s="271"/>
    </row>
    <row r="535" spans="1:26">
      <c r="A535" s="9"/>
      <c r="B535" s="283"/>
      <c r="C535" s="9"/>
      <c r="D535" s="9"/>
      <c r="E535" s="296"/>
      <c r="F535" s="296"/>
      <c r="G535" s="285"/>
      <c r="H535" s="293"/>
      <c r="I535" s="284"/>
      <c r="J535" s="293"/>
      <c r="K535" s="284"/>
      <c r="L535" s="286"/>
      <c r="M535" s="9"/>
      <c r="N535" s="9"/>
      <c r="O535" s="9"/>
      <c r="P535" s="9"/>
      <c r="Q535" s="9"/>
      <c r="R535" s="9"/>
      <c r="S535" s="271"/>
      <c r="T535" s="271"/>
      <c r="U535" s="271"/>
      <c r="V535" s="271"/>
      <c r="W535" s="271"/>
      <c r="X535" s="271"/>
      <c r="Y535" s="271"/>
      <c r="Z535" s="271"/>
    </row>
    <row r="536" spans="1:26">
      <c r="A536" s="9"/>
      <c r="B536" s="283"/>
      <c r="C536" s="9"/>
      <c r="D536" s="9"/>
      <c r="E536" s="296"/>
      <c r="F536" s="296"/>
      <c r="G536" s="285"/>
      <c r="H536" s="293"/>
      <c r="I536" s="284"/>
      <c r="J536" s="293"/>
      <c r="K536" s="284"/>
      <c r="L536" s="286"/>
      <c r="M536" s="9"/>
      <c r="N536" s="9"/>
      <c r="O536" s="9"/>
      <c r="P536" s="9"/>
      <c r="Q536" s="9"/>
      <c r="R536" s="9"/>
      <c r="S536" s="271"/>
      <c r="T536" s="271"/>
      <c r="U536" s="271"/>
      <c r="V536" s="271"/>
      <c r="W536" s="271"/>
      <c r="X536" s="271"/>
      <c r="Y536" s="271"/>
      <c r="Z536" s="271"/>
    </row>
    <row r="537" spans="1:26">
      <c r="A537" s="9"/>
      <c r="B537" s="283"/>
      <c r="C537" s="9"/>
      <c r="D537" s="9"/>
      <c r="E537" s="296"/>
      <c r="F537" s="296"/>
      <c r="G537" s="285"/>
      <c r="H537" s="293"/>
      <c r="I537" s="284"/>
      <c r="J537" s="293"/>
      <c r="K537" s="284"/>
      <c r="L537" s="286"/>
      <c r="M537" s="9"/>
      <c r="N537" s="9"/>
      <c r="O537" s="9"/>
      <c r="P537" s="9"/>
      <c r="Q537" s="9"/>
      <c r="R537" s="9"/>
      <c r="S537" s="271"/>
      <c r="T537" s="271"/>
      <c r="U537" s="271"/>
      <c r="V537" s="271"/>
      <c r="W537" s="271"/>
      <c r="X537" s="271"/>
      <c r="Y537" s="271"/>
      <c r="Z537" s="271"/>
    </row>
    <row r="538" spans="1:26">
      <c r="A538" s="9"/>
      <c r="B538" s="283"/>
      <c r="C538" s="9"/>
      <c r="D538" s="9"/>
      <c r="E538" s="296"/>
      <c r="F538" s="296"/>
      <c r="G538" s="285"/>
      <c r="H538" s="293"/>
      <c r="I538" s="284"/>
      <c r="J538" s="293"/>
      <c r="K538" s="284"/>
      <c r="L538" s="286"/>
      <c r="M538" s="9"/>
      <c r="N538" s="9"/>
      <c r="O538" s="9"/>
      <c r="P538" s="9"/>
      <c r="Q538" s="9"/>
      <c r="R538" s="9"/>
      <c r="S538" s="271"/>
      <c r="T538" s="271"/>
      <c r="U538" s="271"/>
      <c r="V538" s="271"/>
      <c r="W538" s="271"/>
      <c r="X538" s="271"/>
      <c r="Y538" s="271"/>
      <c r="Z538" s="271"/>
    </row>
    <row r="539" spans="1:26">
      <c r="A539" s="9"/>
      <c r="B539" s="283"/>
      <c r="C539" s="9"/>
      <c r="D539" s="9"/>
      <c r="E539" s="296"/>
      <c r="F539" s="296"/>
      <c r="G539" s="285"/>
      <c r="H539" s="293"/>
      <c r="I539" s="284"/>
      <c r="J539" s="293"/>
      <c r="K539" s="284"/>
      <c r="L539" s="286"/>
      <c r="M539" s="9"/>
      <c r="N539" s="9"/>
      <c r="O539" s="9"/>
      <c r="P539" s="9"/>
      <c r="Q539" s="9"/>
      <c r="R539" s="9"/>
      <c r="S539" s="271"/>
      <c r="T539" s="271"/>
      <c r="U539" s="271"/>
      <c r="V539" s="271"/>
      <c r="W539" s="271"/>
      <c r="X539" s="271"/>
      <c r="Y539" s="271"/>
      <c r="Z539" s="271"/>
    </row>
    <row r="540" spans="1:26">
      <c r="A540" s="9"/>
      <c r="B540" s="283"/>
      <c r="C540" s="9"/>
      <c r="D540" s="9"/>
      <c r="E540" s="296"/>
      <c r="F540" s="296"/>
      <c r="G540" s="285"/>
      <c r="H540" s="293"/>
      <c r="I540" s="284"/>
      <c r="J540" s="293"/>
      <c r="K540" s="284"/>
      <c r="L540" s="286"/>
      <c r="M540" s="9"/>
      <c r="N540" s="9"/>
      <c r="O540" s="9"/>
      <c r="P540" s="9"/>
      <c r="Q540" s="9"/>
      <c r="R540" s="9"/>
      <c r="S540" s="271"/>
      <c r="T540" s="271"/>
      <c r="U540" s="271"/>
      <c r="V540" s="271"/>
      <c r="W540" s="271"/>
      <c r="X540" s="271"/>
      <c r="Y540" s="271"/>
      <c r="Z540" s="271"/>
    </row>
    <row r="541" spans="1:26">
      <c r="A541" s="9"/>
      <c r="B541" s="283"/>
      <c r="C541" s="9"/>
      <c r="D541" s="9"/>
      <c r="E541" s="296"/>
      <c r="F541" s="296"/>
      <c r="G541" s="285"/>
      <c r="H541" s="293"/>
      <c r="I541" s="284"/>
      <c r="J541" s="293"/>
      <c r="K541" s="284"/>
      <c r="L541" s="286"/>
      <c r="M541" s="9"/>
      <c r="N541" s="9"/>
      <c r="O541" s="9"/>
      <c r="P541" s="9"/>
      <c r="Q541" s="9"/>
      <c r="R541" s="9"/>
      <c r="S541" s="271"/>
      <c r="T541" s="271"/>
      <c r="U541" s="271"/>
      <c r="V541" s="271"/>
      <c r="W541" s="271"/>
      <c r="X541" s="271"/>
      <c r="Y541" s="271"/>
      <c r="Z541" s="271"/>
    </row>
    <row r="542" spans="1:26">
      <c r="A542" s="9"/>
      <c r="B542" s="283"/>
      <c r="C542" s="9"/>
      <c r="D542" s="9"/>
      <c r="E542" s="296"/>
      <c r="F542" s="296"/>
      <c r="G542" s="285"/>
      <c r="H542" s="293"/>
      <c r="I542" s="284"/>
      <c r="J542" s="293"/>
      <c r="K542" s="284"/>
      <c r="L542" s="286"/>
      <c r="M542" s="9"/>
      <c r="N542" s="9"/>
      <c r="O542" s="9"/>
      <c r="P542" s="9"/>
      <c r="Q542" s="9"/>
      <c r="R542" s="9"/>
      <c r="S542" s="271"/>
      <c r="T542" s="271"/>
      <c r="U542" s="271"/>
      <c r="V542" s="271"/>
      <c r="W542" s="271"/>
      <c r="X542" s="271"/>
      <c r="Y542" s="271"/>
      <c r="Z542" s="271"/>
    </row>
    <row r="543" spans="1:26">
      <c r="A543" s="9"/>
      <c r="B543" s="283"/>
      <c r="C543" s="9"/>
      <c r="D543" s="9"/>
      <c r="E543" s="296"/>
      <c r="F543" s="296"/>
      <c r="G543" s="285"/>
      <c r="H543" s="293"/>
      <c r="I543" s="284"/>
      <c r="J543" s="293"/>
      <c r="K543" s="284"/>
      <c r="L543" s="286"/>
      <c r="M543" s="9"/>
      <c r="N543" s="9"/>
      <c r="O543" s="9"/>
      <c r="P543" s="9"/>
      <c r="Q543" s="9"/>
      <c r="R543" s="9"/>
      <c r="S543" s="271"/>
      <c r="T543" s="271"/>
      <c r="U543" s="271"/>
      <c r="V543" s="271"/>
      <c r="W543" s="271"/>
      <c r="X543" s="271"/>
      <c r="Y543" s="271"/>
      <c r="Z543" s="271"/>
    </row>
    <row r="544" spans="1:26">
      <c r="A544" s="9"/>
      <c r="B544" s="283"/>
      <c r="C544" s="9"/>
      <c r="D544" s="9"/>
      <c r="E544" s="296"/>
      <c r="F544" s="296"/>
      <c r="G544" s="285"/>
      <c r="H544" s="293"/>
      <c r="I544" s="284"/>
      <c r="J544" s="293"/>
      <c r="K544" s="284"/>
      <c r="L544" s="286"/>
      <c r="M544" s="9"/>
      <c r="N544" s="9"/>
      <c r="O544" s="9"/>
      <c r="P544" s="9"/>
      <c r="Q544" s="9"/>
      <c r="R544" s="9"/>
      <c r="S544" s="271"/>
      <c r="T544" s="271"/>
      <c r="U544" s="271"/>
      <c r="V544" s="271"/>
      <c r="W544" s="271"/>
      <c r="X544" s="271"/>
      <c r="Y544" s="271"/>
      <c r="Z544" s="271"/>
    </row>
    <row r="545" spans="1:26">
      <c r="A545" s="9"/>
      <c r="B545" s="283"/>
      <c r="C545" s="9"/>
      <c r="D545" s="9"/>
      <c r="E545" s="296"/>
      <c r="F545" s="296"/>
      <c r="G545" s="285"/>
      <c r="H545" s="293"/>
      <c r="I545" s="284"/>
      <c r="J545" s="293"/>
      <c r="K545" s="284"/>
      <c r="L545" s="286"/>
      <c r="M545" s="9"/>
      <c r="N545" s="9"/>
      <c r="O545" s="9"/>
      <c r="P545" s="9"/>
      <c r="Q545" s="9"/>
      <c r="R545" s="9"/>
      <c r="S545" s="271"/>
      <c r="T545" s="271"/>
      <c r="U545" s="271"/>
      <c r="V545" s="271"/>
      <c r="W545" s="271"/>
      <c r="X545" s="271"/>
      <c r="Y545" s="271"/>
      <c r="Z545" s="271"/>
    </row>
    <row r="546" spans="1:26">
      <c r="A546" s="9"/>
      <c r="B546" s="283"/>
      <c r="C546" s="9"/>
      <c r="D546" s="9"/>
      <c r="E546" s="296"/>
      <c r="F546" s="296"/>
      <c r="G546" s="285"/>
      <c r="H546" s="293"/>
      <c r="I546" s="284"/>
      <c r="J546" s="293"/>
      <c r="K546" s="284"/>
      <c r="L546" s="286"/>
      <c r="M546" s="9"/>
      <c r="N546" s="9"/>
      <c r="O546" s="9"/>
      <c r="P546" s="9"/>
      <c r="Q546" s="9"/>
      <c r="R546" s="9"/>
      <c r="S546" s="271"/>
      <c r="T546" s="271"/>
      <c r="U546" s="271"/>
      <c r="V546" s="271"/>
      <c r="W546" s="271"/>
      <c r="X546" s="271"/>
      <c r="Y546" s="271"/>
      <c r="Z546" s="271"/>
    </row>
    <row r="547" spans="1:26">
      <c r="A547" s="9"/>
      <c r="B547" s="283"/>
      <c r="C547" s="9"/>
      <c r="D547" s="9"/>
      <c r="E547" s="296"/>
      <c r="F547" s="296"/>
      <c r="G547" s="285"/>
      <c r="H547" s="293"/>
      <c r="I547" s="284"/>
      <c r="J547" s="293"/>
      <c r="K547" s="284"/>
      <c r="L547" s="286"/>
      <c r="M547" s="9"/>
      <c r="N547" s="9"/>
      <c r="O547" s="9"/>
      <c r="P547" s="9"/>
      <c r="Q547" s="9"/>
      <c r="R547" s="9"/>
      <c r="S547" s="271"/>
      <c r="T547" s="271"/>
      <c r="U547" s="271"/>
      <c r="V547" s="271"/>
      <c r="W547" s="271"/>
      <c r="X547" s="271"/>
      <c r="Y547" s="271"/>
      <c r="Z547" s="271"/>
    </row>
    <row r="548" spans="1:26">
      <c r="A548" s="9"/>
      <c r="B548" s="283"/>
      <c r="C548" s="9"/>
      <c r="D548" s="9"/>
      <c r="E548" s="296"/>
      <c r="F548" s="296"/>
      <c r="G548" s="285"/>
      <c r="H548" s="293"/>
      <c r="I548" s="284"/>
      <c r="J548" s="293"/>
      <c r="K548" s="284"/>
      <c r="L548" s="286"/>
      <c r="M548" s="9"/>
      <c r="N548" s="9"/>
      <c r="O548" s="9"/>
      <c r="P548" s="9"/>
      <c r="Q548" s="9"/>
      <c r="R548" s="9"/>
      <c r="S548" s="271"/>
      <c r="T548" s="271"/>
      <c r="U548" s="271"/>
      <c r="V548" s="271"/>
      <c r="W548" s="271"/>
      <c r="X548" s="271"/>
      <c r="Y548" s="271"/>
      <c r="Z548" s="271"/>
    </row>
    <row r="549" spans="1:26">
      <c r="A549" s="9"/>
      <c r="B549" s="283"/>
      <c r="C549" s="9"/>
      <c r="D549" s="9"/>
      <c r="E549" s="296"/>
      <c r="F549" s="296"/>
      <c r="G549" s="285"/>
      <c r="H549" s="293"/>
      <c r="I549" s="284"/>
      <c r="J549" s="293"/>
      <c r="K549" s="284"/>
      <c r="L549" s="286"/>
      <c r="M549" s="9"/>
      <c r="N549" s="9"/>
      <c r="O549" s="9"/>
      <c r="P549" s="9"/>
      <c r="Q549" s="9"/>
      <c r="R549" s="9"/>
      <c r="S549" s="271"/>
      <c r="T549" s="271"/>
      <c r="U549" s="271"/>
      <c r="V549" s="271"/>
      <c r="W549" s="271"/>
      <c r="X549" s="271"/>
      <c r="Y549" s="271"/>
      <c r="Z549" s="271"/>
    </row>
    <row r="550" spans="1:26">
      <c r="A550" s="9"/>
      <c r="B550" s="283"/>
      <c r="C550" s="9"/>
      <c r="D550" s="9"/>
      <c r="E550" s="296"/>
      <c r="F550" s="296"/>
      <c r="G550" s="285"/>
      <c r="H550" s="293"/>
      <c r="I550" s="284"/>
      <c r="J550" s="293"/>
      <c r="K550" s="284"/>
      <c r="L550" s="286"/>
      <c r="M550" s="9"/>
      <c r="N550" s="9"/>
      <c r="O550" s="9"/>
      <c r="P550" s="9"/>
      <c r="Q550" s="9"/>
      <c r="R550" s="9"/>
      <c r="S550" s="271"/>
      <c r="T550" s="271"/>
      <c r="U550" s="271"/>
      <c r="V550" s="271"/>
      <c r="W550" s="271"/>
      <c r="X550" s="271"/>
      <c r="Y550" s="271"/>
      <c r="Z550" s="271"/>
    </row>
    <row r="551" spans="1:26">
      <c r="A551" s="9"/>
      <c r="B551" s="283"/>
      <c r="C551" s="9"/>
      <c r="D551" s="9"/>
      <c r="E551" s="296"/>
      <c r="F551" s="296"/>
      <c r="G551" s="285"/>
      <c r="H551" s="293"/>
      <c r="I551" s="284"/>
      <c r="J551" s="293"/>
      <c r="K551" s="284"/>
      <c r="L551" s="286"/>
      <c r="M551" s="9"/>
      <c r="N551" s="9"/>
      <c r="O551" s="9"/>
      <c r="P551" s="9"/>
      <c r="Q551" s="9"/>
      <c r="R551" s="9"/>
      <c r="S551" s="271"/>
      <c r="T551" s="271"/>
      <c r="U551" s="271"/>
      <c r="V551" s="271"/>
      <c r="W551" s="271"/>
      <c r="X551" s="271"/>
      <c r="Y551" s="271"/>
      <c r="Z551" s="271"/>
    </row>
    <row r="552" spans="1:26">
      <c r="A552" s="9"/>
      <c r="B552" s="283"/>
      <c r="C552" s="9"/>
      <c r="D552" s="9"/>
      <c r="E552" s="296"/>
      <c r="F552" s="296"/>
      <c r="G552" s="285"/>
      <c r="H552" s="293"/>
      <c r="I552" s="284"/>
      <c r="J552" s="293"/>
      <c r="K552" s="284"/>
      <c r="L552" s="286"/>
      <c r="M552" s="9"/>
      <c r="N552" s="9"/>
      <c r="O552" s="9"/>
      <c r="P552" s="9"/>
      <c r="Q552" s="9"/>
      <c r="R552" s="9"/>
      <c r="S552" s="271"/>
      <c r="T552" s="271"/>
      <c r="U552" s="271"/>
      <c r="V552" s="271"/>
      <c r="W552" s="271"/>
      <c r="X552" s="271"/>
      <c r="Y552" s="271"/>
      <c r="Z552" s="271"/>
    </row>
    <row r="553" spans="1:26">
      <c r="A553" s="9"/>
      <c r="B553" s="283"/>
      <c r="C553" s="9"/>
      <c r="D553" s="9"/>
      <c r="E553" s="296"/>
      <c r="F553" s="296"/>
      <c r="G553" s="285"/>
      <c r="H553" s="293"/>
      <c r="I553" s="284"/>
      <c r="J553" s="293"/>
      <c r="K553" s="284"/>
      <c r="L553" s="286"/>
      <c r="M553" s="9"/>
      <c r="N553" s="9"/>
      <c r="O553" s="9"/>
      <c r="P553" s="9"/>
      <c r="Q553" s="9"/>
      <c r="R553" s="9"/>
      <c r="S553" s="271"/>
      <c r="T553" s="271"/>
      <c r="U553" s="271"/>
      <c r="V553" s="271"/>
      <c r="W553" s="271"/>
      <c r="X553" s="271"/>
      <c r="Y553" s="271"/>
      <c r="Z553" s="271"/>
    </row>
    <row r="554" spans="1:26">
      <c r="A554" s="9"/>
      <c r="B554" s="283"/>
      <c r="C554" s="9"/>
      <c r="D554" s="9"/>
      <c r="E554" s="296"/>
      <c r="F554" s="296"/>
      <c r="G554" s="285"/>
      <c r="H554" s="293"/>
      <c r="I554" s="284"/>
      <c r="J554" s="293"/>
      <c r="K554" s="284"/>
      <c r="L554" s="286"/>
      <c r="M554" s="9"/>
      <c r="N554" s="9"/>
      <c r="O554" s="9"/>
      <c r="P554" s="9"/>
      <c r="Q554" s="9"/>
      <c r="R554" s="9"/>
      <c r="S554" s="271"/>
      <c r="T554" s="271"/>
      <c r="U554" s="271"/>
      <c r="V554" s="271"/>
      <c r="W554" s="271"/>
      <c r="X554" s="271"/>
      <c r="Y554" s="271"/>
      <c r="Z554" s="271"/>
    </row>
    <row r="555" spans="1:26">
      <c r="A555" s="9"/>
      <c r="B555" s="283"/>
      <c r="C555" s="9"/>
      <c r="D555" s="9"/>
      <c r="E555" s="296"/>
      <c r="F555" s="296"/>
      <c r="G555" s="285"/>
      <c r="H555" s="293"/>
      <c r="I555" s="284"/>
      <c r="J555" s="293"/>
      <c r="K555" s="284"/>
      <c r="L555" s="286"/>
      <c r="M555" s="9"/>
      <c r="N555" s="9"/>
      <c r="O555" s="9"/>
      <c r="P555" s="9"/>
      <c r="Q555" s="9"/>
      <c r="R555" s="9"/>
      <c r="S555" s="271"/>
      <c r="T555" s="271"/>
      <c r="U555" s="271"/>
      <c r="V555" s="271"/>
      <c r="W555" s="271"/>
      <c r="X555" s="271"/>
      <c r="Y555" s="271"/>
      <c r="Z555" s="271"/>
    </row>
    <row r="556" spans="1:26">
      <c r="A556" s="9"/>
      <c r="B556" s="283"/>
      <c r="C556" s="9"/>
      <c r="D556" s="9"/>
      <c r="E556" s="296"/>
      <c r="F556" s="296"/>
      <c r="G556" s="285"/>
      <c r="H556" s="293"/>
      <c r="I556" s="284"/>
      <c r="J556" s="293"/>
      <c r="K556" s="284"/>
      <c r="L556" s="286"/>
      <c r="M556" s="9"/>
      <c r="N556" s="9"/>
      <c r="O556" s="9"/>
      <c r="P556" s="9"/>
      <c r="Q556" s="9"/>
      <c r="R556" s="9"/>
      <c r="S556" s="271"/>
      <c r="T556" s="271"/>
      <c r="U556" s="271"/>
      <c r="V556" s="271"/>
      <c r="W556" s="271"/>
      <c r="X556" s="271"/>
      <c r="Y556" s="271"/>
      <c r="Z556" s="271"/>
    </row>
    <row r="557" spans="1:26">
      <c r="A557" s="9"/>
      <c r="B557" s="283"/>
      <c r="C557" s="9"/>
      <c r="D557" s="9"/>
      <c r="E557" s="296"/>
      <c r="F557" s="296"/>
      <c r="G557" s="285"/>
      <c r="H557" s="293"/>
      <c r="I557" s="284"/>
      <c r="J557" s="293"/>
      <c r="K557" s="284"/>
      <c r="L557" s="286"/>
      <c r="M557" s="9"/>
      <c r="N557" s="9"/>
      <c r="O557" s="9"/>
      <c r="P557" s="9"/>
      <c r="Q557" s="9"/>
      <c r="R557" s="9"/>
      <c r="S557" s="271"/>
      <c r="T557" s="271"/>
      <c r="U557" s="271"/>
      <c r="V557" s="271"/>
      <c r="W557" s="271"/>
      <c r="X557" s="271"/>
      <c r="Y557" s="271"/>
      <c r="Z557" s="271"/>
    </row>
    <row r="558" spans="1:26">
      <c r="A558" s="9"/>
      <c r="B558" s="283"/>
      <c r="C558" s="9"/>
      <c r="D558" s="9"/>
      <c r="E558" s="296"/>
      <c r="F558" s="296"/>
      <c r="G558" s="285"/>
      <c r="H558" s="293"/>
      <c r="I558" s="284"/>
      <c r="J558" s="293"/>
      <c r="K558" s="284"/>
      <c r="L558" s="286"/>
      <c r="M558" s="9"/>
      <c r="N558" s="9"/>
      <c r="O558" s="9"/>
      <c r="P558" s="9"/>
      <c r="Q558" s="9"/>
      <c r="R558" s="9"/>
      <c r="S558" s="271"/>
      <c r="T558" s="271"/>
      <c r="U558" s="271"/>
      <c r="V558" s="271"/>
      <c r="W558" s="271"/>
      <c r="X558" s="271"/>
      <c r="Y558" s="271"/>
      <c r="Z558" s="271"/>
    </row>
    <row r="559" spans="1:26">
      <c r="A559" s="9"/>
      <c r="B559" s="283"/>
      <c r="C559" s="9"/>
      <c r="D559" s="9"/>
      <c r="E559" s="296"/>
      <c r="F559" s="296"/>
      <c r="G559" s="285"/>
      <c r="H559" s="293"/>
      <c r="I559" s="284"/>
      <c r="J559" s="293"/>
      <c r="K559" s="284"/>
      <c r="L559" s="286"/>
      <c r="M559" s="9"/>
      <c r="N559" s="9"/>
      <c r="O559" s="9"/>
      <c r="P559" s="9"/>
      <c r="Q559" s="9"/>
      <c r="R559" s="9"/>
      <c r="S559" s="271"/>
      <c r="T559" s="271"/>
      <c r="U559" s="271"/>
      <c r="V559" s="271"/>
      <c r="W559" s="271"/>
      <c r="X559" s="271"/>
      <c r="Y559" s="271"/>
      <c r="Z559" s="271"/>
    </row>
    <row r="560" spans="1:26">
      <c r="A560" s="9"/>
      <c r="B560" s="283"/>
      <c r="C560" s="9"/>
      <c r="D560" s="9"/>
      <c r="E560" s="296"/>
      <c r="F560" s="296"/>
      <c r="G560" s="285"/>
      <c r="H560" s="293"/>
      <c r="I560" s="284"/>
      <c r="J560" s="293"/>
      <c r="K560" s="284"/>
      <c r="L560" s="286"/>
      <c r="M560" s="9"/>
      <c r="N560" s="9"/>
      <c r="O560" s="9"/>
      <c r="P560" s="9"/>
      <c r="Q560" s="9"/>
      <c r="R560" s="9"/>
      <c r="S560" s="271"/>
      <c r="T560" s="271"/>
      <c r="U560" s="271"/>
      <c r="V560" s="271"/>
      <c r="W560" s="271"/>
      <c r="X560" s="271"/>
      <c r="Y560" s="271"/>
      <c r="Z560" s="271"/>
    </row>
    <row r="561" spans="1:26">
      <c r="A561" s="9"/>
      <c r="B561" s="283"/>
      <c r="C561" s="9"/>
      <c r="D561" s="9"/>
      <c r="E561" s="296"/>
      <c r="F561" s="296"/>
      <c r="G561" s="285"/>
      <c r="H561" s="293"/>
      <c r="I561" s="284"/>
      <c r="J561" s="293"/>
      <c r="K561" s="284"/>
      <c r="L561" s="286"/>
      <c r="M561" s="9"/>
      <c r="N561" s="9"/>
      <c r="O561" s="9"/>
      <c r="P561" s="9"/>
      <c r="Q561" s="9"/>
      <c r="R561" s="9"/>
      <c r="S561" s="271"/>
      <c r="T561" s="271"/>
      <c r="U561" s="271"/>
      <c r="V561" s="271"/>
      <c r="W561" s="271"/>
      <c r="X561" s="271"/>
      <c r="Y561" s="271"/>
      <c r="Z561" s="271"/>
    </row>
    <row r="562" spans="1:26">
      <c r="A562" s="9"/>
      <c r="B562" s="283"/>
      <c r="C562" s="9"/>
      <c r="D562" s="9"/>
      <c r="E562" s="296"/>
      <c r="F562" s="296"/>
      <c r="G562" s="285"/>
      <c r="H562" s="293"/>
      <c r="I562" s="284"/>
      <c r="J562" s="293"/>
      <c r="K562" s="284"/>
      <c r="L562" s="286"/>
      <c r="M562" s="9"/>
      <c r="N562" s="9"/>
      <c r="O562" s="9"/>
      <c r="P562" s="9"/>
      <c r="Q562" s="9"/>
      <c r="R562" s="9"/>
      <c r="S562" s="271"/>
      <c r="T562" s="271"/>
      <c r="U562" s="271"/>
      <c r="V562" s="271"/>
      <c r="W562" s="271"/>
      <c r="X562" s="271"/>
      <c r="Y562" s="271"/>
      <c r="Z562" s="271"/>
    </row>
    <row r="563" spans="1:26">
      <c r="A563" s="9"/>
      <c r="B563" s="283"/>
      <c r="C563" s="9"/>
      <c r="D563" s="9"/>
      <c r="E563" s="296"/>
      <c r="F563" s="296"/>
      <c r="G563" s="285"/>
      <c r="H563" s="293"/>
      <c r="I563" s="284"/>
      <c r="J563" s="293"/>
      <c r="K563" s="284"/>
      <c r="L563" s="286"/>
      <c r="M563" s="9"/>
      <c r="N563" s="9"/>
      <c r="O563" s="9"/>
      <c r="P563" s="9"/>
      <c r="Q563" s="9"/>
      <c r="R563" s="9"/>
      <c r="S563" s="271"/>
      <c r="T563" s="271"/>
      <c r="U563" s="271"/>
      <c r="V563" s="271"/>
      <c r="W563" s="271"/>
      <c r="X563" s="271"/>
      <c r="Y563" s="271"/>
      <c r="Z563" s="271"/>
    </row>
    <row r="564" spans="1:26">
      <c r="A564" s="9"/>
      <c r="B564" s="283"/>
      <c r="C564" s="9"/>
      <c r="D564" s="9"/>
      <c r="E564" s="296"/>
      <c r="F564" s="296"/>
      <c r="G564" s="285"/>
      <c r="H564" s="293"/>
      <c r="I564" s="284"/>
      <c r="J564" s="293"/>
      <c r="K564" s="284"/>
      <c r="L564" s="286"/>
      <c r="M564" s="9"/>
      <c r="N564" s="9"/>
      <c r="O564" s="9"/>
      <c r="P564" s="9"/>
      <c r="Q564" s="9"/>
      <c r="R564" s="9"/>
      <c r="S564" s="271"/>
      <c r="T564" s="271"/>
      <c r="U564" s="271"/>
      <c r="V564" s="271"/>
      <c r="W564" s="271"/>
      <c r="X564" s="271"/>
      <c r="Y564" s="271"/>
      <c r="Z564" s="271"/>
    </row>
    <row r="565" spans="1:26">
      <c r="A565" s="9"/>
      <c r="B565" s="283"/>
      <c r="C565" s="9"/>
      <c r="D565" s="9"/>
      <c r="E565" s="296"/>
      <c r="F565" s="296"/>
      <c r="G565" s="285"/>
      <c r="H565" s="293"/>
      <c r="I565" s="284"/>
      <c r="J565" s="293"/>
      <c r="K565" s="284"/>
      <c r="L565" s="286"/>
      <c r="M565" s="9"/>
      <c r="N565" s="9"/>
      <c r="O565" s="9"/>
      <c r="P565" s="9"/>
      <c r="Q565" s="9"/>
      <c r="R565" s="9"/>
      <c r="S565" s="271"/>
      <c r="T565" s="271"/>
      <c r="U565" s="271"/>
      <c r="V565" s="271"/>
      <c r="W565" s="271"/>
      <c r="X565" s="271"/>
      <c r="Y565" s="271"/>
      <c r="Z565" s="271"/>
    </row>
    <row r="566" spans="1:26">
      <c r="A566" s="9"/>
      <c r="B566" s="283"/>
      <c r="C566" s="9"/>
      <c r="D566" s="9"/>
      <c r="E566" s="296"/>
      <c r="F566" s="296"/>
      <c r="G566" s="285"/>
      <c r="H566" s="293"/>
      <c r="I566" s="284"/>
      <c r="J566" s="293"/>
      <c r="K566" s="284"/>
      <c r="L566" s="286"/>
      <c r="M566" s="9"/>
      <c r="N566" s="9"/>
      <c r="O566" s="9"/>
      <c r="P566" s="9"/>
      <c r="Q566" s="9"/>
      <c r="R566" s="9"/>
      <c r="S566" s="271"/>
      <c r="T566" s="271"/>
      <c r="U566" s="271"/>
      <c r="V566" s="271"/>
      <c r="W566" s="271"/>
      <c r="X566" s="271"/>
      <c r="Y566" s="271"/>
      <c r="Z566" s="271"/>
    </row>
    <row r="567" spans="1:26">
      <c r="A567" s="9"/>
      <c r="B567" s="283"/>
      <c r="C567" s="9"/>
      <c r="D567" s="9"/>
      <c r="E567" s="296"/>
      <c r="F567" s="296"/>
      <c r="G567" s="285"/>
      <c r="H567" s="293"/>
      <c r="I567" s="284"/>
      <c r="J567" s="293"/>
      <c r="K567" s="284"/>
      <c r="L567" s="286"/>
      <c r="M567" s="9"/>
      <c r="N567" s="9"/>
      <c r="O567" s="9"/>
      <c r="P567" s="9"/>
      <c r="Q567" s="9"/>
      <c r="R567" s="9"/>
      <c r="S567" s="271"/>
      <c r="T567" s="271"/>
      <c r="U567" s="271"/>
      <c r="V567" s="271"/>
      <c r="W567" s="271"/>
      <c r="X567" s="271"/>
      <c r="Y567" s="271"/>
      <c r="Z567" s="271"/>
    </row>
    <row r="568" spans="1:26">
      <c r="A568" s="9"/>
      <c r="B568" s="283"/>
      <c r="C568" s="9"/>
      <c r="D568" s="9"/>
      <c r="E568" s="296"/>
      <c r="F568" s="296"/>
      <c r="G568" s="285"/>
      <c r="H568" s="293"/>
      <c r="I568" s="284"/>
      <c r="J568" s="293"/>
      <c r="K568" s="284"/>
      <c r="L568" s="286"/>
      <c r="M568" s="9"/>
      <c r="N568" s="9"/>
      <c r="O568" s="9"/>
      <c r="P568" s="9"/>
      <c r="Q568" s="9"/>
      <c r="R568" s="9"/>
      <c r="S568" s="271"/>
      <c r="T568" s="271"/>
      <c r="U568" s="271"/>
      <c r="V568" s="271"/>
      <c r="W568" s="271"/>
      <c r="X568" s="271"/>
      <c r="Y568" s="271"/>
      <c r="Z568" s="271"/>
    </row>
    <row r="569" spans="1:26">
      <c r="A569" s="9"/>
      <c r="B569" s="283"/>
      <c r="C569" s="9"/>
      <c r="D569" s="9"/>
      <c r="E569" s="296"/>
      <c r="F569" s="296"/>
      <c r="G569" s="285"/>
      <c r="H569" s="293"/>
      <c r="I569" s="284"/>
      <c r="J569" s="293"/>
      <c r="K569" s="284"/>
      <c r="L569" s="286"/>
      <c r="M569" s="9"/>
      <c r="N569" s="9"/>
      <c r="O569" s="9"/>
      <c r="P569" s="9"/>
      <c r="Q569" s="9"/>
      <c r="R569" s="9"/>
      <c r="S569" s="271"/>
      <c r="T569" s="271"/>
      <c r="U569" s="271"/>
      <c r="V569" s="271"/>
      <c r="W569" s="271"/>
      <c r="X569" s="271"/>
      <c r="Y569" s="271"/>
      <c r="Z569" s="271"/>
    </row>
    <row r="570" spans="1:26">
      <c r="A570" s="9"/>
      <c r="B570" s="283"/>
      <c r="C570" s="9"/>
      <c r="D570" s="9"/>
      <c r="E570" s="296"/>
      <c r="F570" s="296"/>
      <c r="G570" s="285"/>
      <c r="H570" s="293"/>
      <c r="I570" s="284"/>
      <c r="J570" s="293"/>
      <c r="K570" s="284"/>
      <c r="L570" s="286"/>
      <c r="M570" s="9"/>
      <c r="N570" s="9"/>
      <c r="O570" s="9"/>
      <c r="P570" s="9"/>
      <c r="Q570" s="9"/>
      <c r="R570" s="9"/>
      <c r="S570" s="271"/>
      <c r="T570" s="271"/>
      <c r="U570" s="271"/>
      <c r="V570" s="271"/>
      <c r="W570" s="271"/>
      <c r="X570" s="271"/>
      <c r="Y570" s="271"/>
      <c r="Z570" s="271"/>
    </row>
    <row r="571" spans="1:26">
      <c r="A571" s="9"/>
      <c r="B571" s="283"/>
      <c r="C571" s="9"/>
      <c r="D571" s="9"/>
      <c r="E571" s="296"/>
      <c r="F571" s="296"/>
      <c r="G571" s="285"/>
      <c r="H571" s="293"/>
      <c r="I571" s="284"/>
      <c r="J571" s="293"/>
      <c r="K571" s="284"/>
      <c r="L571" s="286"/>
      <c r="M571" s="9"/>
      <c r="N571" s="9"/>
      <c r="O571" s="9"/>
      <c r="P571" s="9"/>
      <c r="Q571" s="9"/>
      <c r="R571" s="9"/>
      <c r="S571" s="271"/>
      <c r="T571" s="271"/>
      <c r="U571" s="271"/>
      <c r="V571" s="271"/>
      <c r="W571" s="271"/>
      <c r="X571" s="271"/>
      <c r="Y571" s="271"/>
      <c r="Z571" s="271"/>
    </row>
    <row r="572" spans="1:26">
      <c r="A572" s="9"/>
      <c r="B572" s="283"/>
      <c r="C572" s="9"/>
      <c r="D572" s="9"/>
      <c r="E572" s="296"/>
      <c r="F572" s="296"/>
      <c r="G572" s="285"/>
      <c r="H572" s="293"/>
      <c r="I572" s="284"/>
      <c r="J572" s="293"/>
      <c r="K572" s="284"/>
      <c r="L572" s="286"/>
      <c r="M572" s="9"/>
      <c r="N572" s="9"/>
      <c r="O572" s="9"/>
      <c r="P572" s="9"/>
      <c r="Q572" s="9"/>
      <c r="R572" s="9"/>
      <c r="S572" s="271"/>
      <c r="T572" s="271"/>
      <c r="U572" s="271"/>
      <c r="V572" s="271"/>
      <c r="W572" s="271"/>
      <c r="X572" s="271"/>
      <c r="Y572" s="271"/>
      <c r="Z572" s="271"/>
    </row>
    <row r="573" spans="1:26">
      <c r="A573" s="9"/>
      <c r="B573" s="283"/>
      <c r="C573" s="9"/>
      <c r="D573" s="9"/>
      <c r="E573" s="296"/>
      <c r="F573" s="296"/>
      <c r="G573" s="285"/>
      <c r="H573" s="293"/>
      <c r="I573" s="284"/>
      <c r="J573" s="293"/>
      <c r="K573" s="284"/>
      <c r="L573" s="286"/>
      <c r="M573" s="9"/>
      <c r="N573" s="9"/>
      <c r="O573" s="9"/>
      <c r="P573" s="9"/>
      <c r="Q573" s="9"/>
      <c r="R573" s="9"/>
      <c r="S573" s="271"/>
      <c r="T573" s="271"/>
      <c r="U573" s="271"/>
      <c r="V573" s="271"/>
      <c r="W573" s="271"/>
      <c r="X573" s="271"/>
      <c r="Y573" s="271"/>
      <c r="Z573" s="271"/>
    </row>
    <row r="574" spans="1:26">
      <c r="A574" s="9"/>
      <c r="B574" s="283"/>
      <c r="C574" s="9"/>
      <c r="D574" s="9"/>
      <c r="E574" s="296"/>
      <c r="F574" s="296"/>
      <c r="G574" s="285"/>
      <c r="H574" s="293"/>
      <c r="I574" s="284"/>
      <c r="J574" s="293"/>
      <c r="K574" s="284"/>
      <c r="L574" s="286"/>
      <c r="M574" s="9"/>
      <c r="N574" s="9"/>
      <c r="O574" s="9"/>
      <c r="P574" s="9"/>
      <c r="Q574" s="9"/>
      <c r="R574" s="9"/>
      <c r="S574" s="271"/>
      <c r="T574" s="271"/>
      <c r="U574" s="271"/>
      <c r="V574" s="271"/>
      <c r="W574" s="271"/>
      <c r="X574" s="271"/>
      <c r="Y574" s="271"/>
      <c r="Z574" s="271"/>
    </row>
    <row r="575" spans="1:26">
      <c r="A575" s="9"/>
      <c r="B575" s="283"/>
      <c r="C575" s="9"/>
      <c r="D575" s="9"/>
      <c r="E575" s="296"/>
      <c r="F575" s="296"/>
      <c r="G575" s="285"/>
      <c r="H575" s="293"/>
      <c r="I575" s="284"/>
      <c r="J575" s="293"/>
      <c r="K575" s="284"/>
      <c r="L575" s="286"/>
      <c r="M575" s="9"/>
      <c r="N575" s="9"/>
      <c r="O575" s="9"/>
      <c r="P575" s="9"/>
      <c r="Q575" s="9"/>
      <c r="R575" s="9"/>
      <c r="S575" s="271"/>
      <c r="T575" s="271"/>
      <c r="U575" s="271"/>
      <c r="V575" s="271"/>
      <c r="W575" s="271"/>
      <c r="X575" s="271"/>
      <c r="Y575" s="271"/>
      <c r="Z575" s="271"/>
    </row>
    <row r="576" spans="1:26">
      <c r="A576" s="9"/>
      <c r="B576" s="283"/>
      <c r="C576" s="9"/>
      <c r="D576" s="9"/>
      <c r="E576" s="296"/>
      <c r="F576" s="296"/>
      <c r="G576" s="285"/>
      <c r="H576" s="293"/>
      <c r="I576" s="284"/>
      <c r="J576" s="293"/>
      <c r="K576" s="284"/>
      <c r="L576" s="286"/>
      <c r="M576" s="9"/>
      <c r="N576" s="9"/>
      <c r="O576" s="9"/>
      <c r="P576" s="9"/>
      <c r="Q576" s="9"/>
      <c r="R576" s="9"/>
      <c r="S576" s="271"/>
      <c r="T576" s="271"/>
      <c r="U576" s="271"/>
      <c r="V576" s="271"/>
      <c r="W576" s="271"/>
      <c r="X576" s="271"/>
      <c r="Y576" s="271"/>
      <c r="Z576" s="271"/>
    </row>
    <row r="577" spans="1:26">
      <c r="A577" s="9"/>
      <c r="B577" s="283"/>
      <c r="C577" s="9"/>
      <c r="D577" s="9"/>
      <c r="E577" s="296"/>
      <c r="F577" s="296"/>
      <c r="G577" s="285"/>
      <c r="H577" s="293"/>
      <c r="I577" s="284"/>
      <c r="J577" s="293"/>
      <c r="K577" s="284"/>
      <c r="L577" s="286"/>
      <c r="M577" s="9"/>
      <c r="N577" s="9"/>
      <c r="O577" s="9"/>
      <c r="P577" s="9"/>
      <c r="Q577" s="9"/>
      <c r="R577" s="9"/>
      <c r="S577" s="271"/>
      <c r="T577" s="271"/>
      <c r="U577" s="271"/>
      <c r="V577" s="271"/>
      <c r="W577" s="271"/>
      <c r="X577" s="271"/>
      <c r="Y577" s="271"/>
      <c r="Z577" s="271"/>
    </row>
    <row r="578" spans="1:26">
      <c r="A578" s="9"/>
      <c r="B578" s="283"/>
      <c r="C578" s="9"/>
      <c r="D578" s="9"/>
      <c r="E578" s="296"/>
      <c r="F578" s="296"/>
      <c r="G578" s="285"/>
      <c r="H578" s="293"/>
      <c r="I578" s="284"/>
      <c r="J578" s="293"/>
      <c r="K578" s="284"/>
      <c r="L578" s="286"/>
      <c r="M578" s="9"/>
      <c r="N578" s="9"/>
      <c r="O578" s="9"/>
      <c r="P578" s="9"/>
      <c r="Q578" s="9"/>
      <c r="R578" s="9"/>
      <c r="S578" s="271"/>
      <c r="T578" s="271"/>
      <c r="U578" s="271"/>
      <c r="V578" s="271"/>
      <c r="W578" s="271"/>
      <c r="X578" s="271"/>
      <c r="Y578" s="271"/>
      <c r="Z578" s="271"/>
    </row>
    <row r="579" spans="1:26">
      <c r="A579" s="9"/>
      <c r="B579" s="283"/>
      <c r="C579" s="9"/>
      <c r="D579" s="9"/>
      <c r="E579" s="296"/>
      <c r="F579" s="296"/>
      <c r="G579" s="285"/>
      <c r="H579" s="293"/>
      <c r="I579" s="284"/>
      <c r="J579" s="293"/>
      <c r="K579" s="284"/>
      <c r="L579" s="286"/>
      <c r="M579" s="9"/>
      <c r="N579" s="9"/>
      <c r="O579" s="9"/>
      <c r="P579" s="9"/>
      <c r="Q579" s="9"/>
      <c r="R579" s="9"/>
      <c r="S579" s="271"/>
      <c r="T579" s="271"/>
      <c r="U579" s="271"/>
      <c r="V579" s="271"/>
      <c r="W579" s="271"/>
      <c r="X579" s="271"/>
      <c r="Y579" s="271"/>
      <c r="Z579" s="271"/>
    </row>
    <row r="580" spans="1:26">
      <c r="A580" s="9"/>
      <c r="B580" s="283"/>
      <c r="C580" s="9"/>
      <c r="D580" s="9"/>
      <c r="E580" s="296"/>
      <c r="F580" s="296"/>
      <c r="G580" s="285"/>
      <c r="H580" s="293"/>
      <c r="I580" s="284"/>
      <c r="J580" s="293"/>
      <c r="K580" s="284"/>
      <c r="L580" s="286"/>
      <c r="M580" s="9"/>
      <c r="N580" s="9"/>
      <c r="O580" s="9"/>
      <c r="P580" s="9"/>
      <c r="Q580" s="9"/>
      <c r="R580" s="9"/>
      <c r="S580" s="271"/>
      <c r="T580" s="271"/>
      <c r="U580" s="271"/>
      <c r="V580" s="271"/>
      <c r="W580" s="271"/>
      <c r="X580" s="271"/>
      <c r="Y580" s="271"/>
      <c r="Z580" s="271"/>
    </row>
    <row r="581" spans="1:26">
      <c r="A581" s="9"/>
      <c r="B581" s="283"/>
      <c r="C581" s="9"/>
      <c r="D581" s="9"/>
      <c r="E581" s="296"/>
      <c r="F581" s="296"/>
      <c r="G581" s="285"/>
      <c r="H581" s="293"/>
      <c r="I581" s="284"/>
      <c r="J581" s="293"/>
      <c r="K581" s="284"/>
      <c r="L581" s="286"/>
      <c r="M581" s="9"/>
      <c r="N581" s="9"/>
      <c r="O581" s="9"/>
      <c r="P581" s="9"/>
      <c r="Q581" s="9"/>
      <c r="R581" s="9"/>
      <c r="S581" s="271"/>
      <c r="T581" s="271"/>
      <c r="U581" s="271"/>
      <c r="V581" s="271"/>
      <c r="W581" s="271"/>
      <c r="X581" s="271"/>
      <c r="Y581" s="271"/>
      <c r="Z581" s="271"/>
    </row>
    <row r="582" spans="1:26">
      <c r="A582" s="9"/>
      <c r="B582" s="283"/>
      <c r="C582" s="9"/>
      <c r="D582" s="9"/>
      <c r="E582" s="296"/>
      <c r="F582" s="296"/>
      <c r="G582" s="285"/>
      <c r="H582" s="293"/>
      <c r="I582" s="284"/>
      <c r="J582" s="293"/>
      <c r="K582" s="284"/>
      <c r="L582" s="286"/>
      <c r="M582" s="9"/>
      <c r="N582" s="9"/>
      <c r="O582" s="9"/>
      <c r="P582" s="9"/>
      <c r="Q582" s="9"/>
      <c r="R582" s="9"/>
      <c r="S582" s="271"/>
      <c r="T582" s="271"/>
      <c r="U582" s="271"/>
      <c r="V582" s="271"/>
      <c r="W582" s="271"/>
      <c r="X582" s="271"/>
      <c r="Y582" s="271"/>
      <c r="Z582" s="271"/>
    </row>
    <row r="583" spans="1:26">
      <c r="A583" s="9"/>
      <c r="B583" s="283"/>
      <c r="C583" s="9"/>
      <c r="D583" s="9"/>
      <c r="E583" s="296"/>
      <c r="F583" s="296"/>
      <c r="G583" s="285"/>
      <c r="H583" s="293"/>
      <c r="I583" s="284"/>
      <c r="J583" s="293"/>
      <c r="K583" s="284"/>
      <c r="L583" s="286"/>
      <c r="M583" s="9"/>
      <c r="N583" s="9"/>
      <c r="O583" s="9"/>
      <c r="P583" s="9"/>
      <c r="Q583" s="9"/>
      <c r="R583" s="9"/>
      <c r="S583" s="271"/>
      <c r="T583" s="271"/>
      <c r="U583" s="271"/>
      <c r="V583" s="271"/>
      <c r="W583" s="271"/>
      <c r="X583" s="271"/>
      <c r="Y583" s="271"/>
      <c r="Z583" s="271"/>
    </row>
    <row r="584" spans="1:26">
      <c r="A584" s="9"/>
      <c r="B584" s="283"/>
      <c r="C584" s="9"/>
      <c r="D584" s="9"/>
      <c r="E584" s="296"/>
      <c r="F584" s="296"/>
      <c r="G584" s="285"/>
      <c r="H584" s="293"/>
      <c r="I584" s="284"/>
      <c r="J584" s="293"/>
      <c r="K584" s="284"/>
      <c r="L584" s="286"/>
      <c r="M584" s="9"/>
      <c r="N584" s="9"/>
      <c r="O584" s="9"/>
      <c r="P584" s="9"/>
      <c r="Q584" s="9"/>
      <c r="R584" s="9"/>
      <c r="S584" s="271"/>
      <c r="T584" s="271"/>
      <c r="U584" s="271"/>
      <c r="V584" s="271"/>
      <c r="W584" s="271"/>
      <c r="X584" s="271"/>
      <c r="Y584" s="271"/>
      <c r="Z584" s="271"/>
    </row>
    <row r="585" spans="1:26">
      <c r="A585" s="9"/>
      <c r="B585" s="283"/>
      <c r="C585" s="9"/>
      <c r="D585" s="9"/>
      <c r="E585" s="296"/>
      <c r="F585" s="296"/>
      <c r="G585" s="285"/>
      <c r="H585" s="293"/>
      <c r="I585" s="284"/>
      <c r="J585" s="293"/>
      <c r="K585" s="284"/>
      <c r="L585" s="286"/>
      <c r="M585" s="9"/>
      <c r="N585" s="9"/>
      <c r="O585" s="9"/>
      <c r="P585" s="9"/>
      <c r="Q585" s="9"/>
      <c r="R585" s="9"/>
      <c r="S585" s="271"/>
      <c r="T585" s="271"/>
      <c r="U585" s="271"/>
      <c r="V585" s="271"/>
      <c r="W585" s="271"/>
      <c r="X585" s="271"/>
      <c r="Y585" s="271"/>
      <c r="Z585" s="271"/>
    </row>
    <row r="586" spans="1:26">
      <c r="A586" s="9"/>
      <c r="B586" s="283"/>
      <c r="C586" s="9"/>
      <c r="D586" s="9"/>
      <c r="E586" s="296"/>
      <c r="F586" s="296"/>
      <c r="G586" s="285"/>
      <c r="H586" s="293"/>
      <c r="I586" s="284"/>
      <c r="J586" s="293"/>
      <c r="K586" s="284"/>
      <c r="L586" s="286"/>
      <c r="M586" s="9"/>
      <c r="N586" s="9"/>
      <c r="O586" s="9"/>
      <c r="P586" s="9"/>
      <c r="Q586" s="9"/>
      <c r="R586" s="9"/>
      <c r="S586" s="271"/>
      <c r="T586" s="271"/>
      <c r="U586" s="271"/>
      <c r="V586" s="271"/>
      <c r="W586" s="271"/>
      <c r="X586" s="271"/>
      <c r="Y586" s="271"/>
      <c r="Z586" s="271"/>
    </row>
    <row r="587" spans="1:26">
      <c r="A587" s="9"/>
      <c r="B587" s="283"/>
      <c r="C587" s="9"/>
      <c r="D587" s="9"/>
      <c r="E587" s="296"/>
      <c r="F587" s="296"/>
      <c r="G587" s="285"/>
      <c r="H587" s="293"/>
      <c r="I587" s="284"/>
      <c r="J587" s="293"/>
      <c r="K587" s="284"/>
      <c r="L587" s="286"/>
      <c r="M587" s="9"/>
      <c r="N587" s="9"/>
      <c r="O587" s="9"/>
      <c r="P587" s="9"/>
      <c r="Q587" s="9"/>
      <c r="R587" s="9"/>
      <c r="S587" s="271"/>
      <c r="T587" s="271"/>
      <c r="U587" s="271"/>
      <c r="V587" s="271"/>
      <c r="W587" s="271"/>
      <c r="X587" s="271"/>
      <c r="Y587" s="271"/>
      <c r="Z587" s="271"/>
    </row>
    <row r="588" spans="1:26">
      <c r="A588" s="9"/>
      <c r="B588" s="283"/>
      <c r="C588" s="9"/>
      <c r="D588" s="9"/>
      <c r="E588" s="296"/>
      <c r="F588" s="296"/>
      <c r="G588" s="285"/>
      <c r="H588" s="293"/>
      <c r="I588" s="284"/>
      <c r="J588" s="293"/>
      <c r="K588" s="284"/>
      <c r="L588" s="286"/>
      <c r="M588" s="9"/>
      <c r="N588" s="9"/>
      <c r="O588" s="9"/>
      <c r="P588" s="9"/>
      <c r="Q588" s="9"/>
      <c r="R588" s="9"/>
      <c r="S588" s="271"/>
      <c r="T588" s="271"/>
      <c r="U588" s="271"/>
      <c r="V588" s="271"/>
      <c r="W588" s="271"/>
      <c r="X588" s="271"/>
      <c r="Y588" s="271"/>
      <c r="Z588" s="271"/>
    </row>
    <row r="589" spans="1:26">
      <c r="A589" s="9"/>
      <c r="B589" s="283"/>
      <c r="C589" s="9"/>
      <c r="D589" s="9"/>
      <c r="E589" s="296"/>
      <c r="F589" s="296"/>
      <c r="G589" s="285"/>
      <c r="H589" s="293"/>
      <c r="I589" s="284"/>
      <c r="J589" s="293"/>
      <c r="K589" s="284"/>
      <c r="L589" s="286"/>
      <c r="M589" s="9"/>
      <c r="N589" s="9"/>
      <c r="O589" s="9"/>
      <c r="P589" s="9"/>
      <c r="Q589" s="9"/>
      <c r="R589" s="9"/>
      <c r="S589" s="271"/>
      <c r="T589" s="271"/>
      <c r="U589" s="271"/>
      <c r="V589" s="271"/>
      <c r="W589" s="271"/>
      <c r="X589" s="271"/>
      <c r="Y589" s="271"/>
      <c r="Z589" s="271"/>
    </row>
    <row r="590" spans="1:26">
      <c r="A590" s="9"/>
      <c r="B590" s="283"/>
      <c r="C590" s="9"/>
      <c r="D590" s="9"/>
      <c r="E590" s="296"/>
      <c r="F590" s="296"/>
      <c r="G590" s="285"/>
      <c r="H590" s="293"/>
      <c r="I590" s="284"/>
      <c r="J590" s="293"/>
      <c r="K590" s="284"/>
      <c r="L590" s="286"/>
      <c r="M590" s="9"/>
      <c r="N590" s="9"/>
      <c r="O590" s="9"/>
      <c r="P590" s="9"/>
      <c r="Q590" s="9"/>
      <c r="R590" s="9"/>
      <c r="S590" s="271"/>
      <c r="T590" s="271"/>
      <c r="U590" s="271"/>
      <c r="V590" s="271"/>
      <c r="W590" s="271"/>
      <c r="X590" s="271"/>
      <c r="Y590" s="271"/>
      <c r="Z590" s="271"/>
    </row>
    <row r="591" spans="1:26">
      <c r="A591" s="9"/>
      <c r="B591" s="283"/>
      <c r="C591" s="9"/>
      <c r="D591" s="9"/>
      <c r="E591" s="296"/>
      <c r="F591" s="296"/>
      <c r="G591" s="285"/>
      <c r="H591" s="293"/>
      <c r="I591" s="284"/>
      <c r="J591" s="293"/>
      <c r="K591" s="284"/>
      <c r="L591" s="286"/>
      <c r="M591" s="9"/>
      <c r="N591" s="9"/>
      <c r="O591" s="9"/>
      <c r="P591" s="9"/>
      <c r="Q591" s="9"/>
      <c r="R591" s="9"/>
      <c r="S591" s="271"/>
      <c r="T591" s="271"/>
      <c r="U591" s="271"/>
      <c r="V591" s="271"/>
      <c r="W591" s="271"/>
      <c r="X591" s="271"/>
      <c r="Y591" s="271"/>
      <c r="Z591" s="271"/>
    </row>
    <row r="592" spans="1:26">
      <c r="A592" s="9"/>
      <c r="B592" s="283"/>
      <c r="C592" s="9"/>
      <c r="D592" s="9"/>
      <c r="E592" s="296"/>
      <c r="F592" s="296"/>
      <c r="G592" s="285"/>
      <c r="H592" s="293"/>
      <c r="I592" s="284"/>
      <c r="J592" s="293"/>
      <c r="K592" s="284"/>
      <c r="L592" s="286"/>
      <c r="M592" s="9"/>
      <c r="N592" s="9"/>
      <c r="O592" s="9"/>
      <c r="P592" s="9"/>
      <c r="Q592" s="9"/>
      <c r="R592" s="9"/>
      <c r="S592" s="271"/>
      <c r="T592" s="271"/>
      <c r="U592" s="271"/>
      <c r="V592" s="271"/>
      <c r="W592" s="271"/>
      <c r="X592" s="271"/>
      <c r="Y592" s="271"/>
      <c r="Z592" s="271"/>
    </row>
    <row r="593" spans="1:26">
      <c r="A593" s="9"/>
      <c r="B593" s="283"/>
      <c r="C593" s="9"/>
      <c r="D593" s="9"/>
      <c r="E593" s="296"/>
      <c r="F593" s="296"/>
      <c r="G593" s="285"/>
      <c r="H593" s="293"/>
      <c r="I593" s="284"/>
      <c r="J593" s="293"/>
      <c r="K593" s="284"/>
      <c r="L593" s="286"/>
      <c r="M593" s="9"/>
      <c r="N593" s="9"/>
      <c r="O593" s="9"/>
      <c r="P593" s="9"/>
      <c r="Q593" s="9"/>
      <c r="R593" s="9"/>
      <c r="S593" s="271"/>
      <c r="T593" s="271"/>
      <c r="U593" s="271"/>
      <c r="V593" s="271"/>
      <c r="W593" s="271"/>
      <c r="X593" s="271"/>
      <c r="Y593" s="271"/>
      <c r="Z593" s="271"/>
    </row>
    <row r="594" spans="1:26">
      <c r="A594" s="9"/>
      <c r="B594" s="283"/>
      <c r="C594" s="9"/>
      <c r="D594" s="9"/>
      <c r="E594" s="296"/>
      <c r="F594" s="296"/>
      <c r="G594" s="285"/>
      <c r="H594" s="293"/>
      <c r="I594" s="284"/>
      <c r="J594" s="293"/>
      <c r="K594" s="284"/>
      <c r="L594" s="286"/>
      <c r="M594" s="9"/>
      <c r="N594" s="9"/>
      <c r="O594" s="9"/>
      <c r="P594" s="9"/>
      <c r="Q594" s="9"/>
      <c r="R594" s="9"/>
      <c r="S594" s="271"/>
      <c r="T594" s="271"/>
      <c r="U594" s="271"/>
      <c r="V594" s="271"/>
      <c r="W594" s="271"/>
      <c r="X594" s="271"/>
      <c r="Y594" s="271"/>
      <c r="Z594" s="271"/>
    </row>
    <row r="595" spans="1:26">
      <c r="A595" s="9"/>
      <c r="B595" s="283"/>
      <c r="C595" s="9"/>
      <c r="D595" s="9"/>
      <c r="E595" s="296"/>
      <c r="F595" s="296"/>
      <c r="G595" s="285"/>
      <c r="H595" s="293"/>
      <c r="I595" s="284"/>
      <c r="J595" s="293"/>
      <c r="K595" s="284"/>
      <c r="L595" s="286"/>
      <c r="M595" s="9"/>
      <c r="N595" s="9"/>
      <c r="O595" s="9"/>
      <c r="P595" s="9"/>
      <c r="Q595" s="9"/>
      <c r="R595" s="9"/>
      <c r="S595" s="271"/>
      <c r="T595" s="271"/>
      <c r="U595" s="271"/>
      <c r="V595" s="271"/>
      <c r="W595" s="271"/>
      <c r="X595" s="271"/>
      <c r="Y595" s="271"/>
      <c r="Z595" s="271"/>
    </row>
    <row r="596" spans="1:26">
      <c r="A596" s="9"/>
      <c r="B596" s="283"/>
      <c r="C596" s="9"/>
      <c r="D596" s="9"/>
      <c r="E596" s="296"/>
      <c r="F596" s="296"/>
      <c r="G596" s="285"/>
      <c r="H596" s="293"/>
      <c r="I596" s="284"/>
      <c r="J596" s="293"/>
      <c r="K596" s="284"/>
      <c r="L596" s="286"/>
      <c r="M596" s="9"/>
      <c r="N596" s="9"/>
      <c r="O596" s="9"/>
      <c r="P596" s="9"/>
      <c r="Q596" s="9"/>
      <c r="R596" s="9"/>
      <c r="S596" s="271"/>
      <c r="T596" s="271"/>
      <c r="U596" s="271"/>
      <c r="V596" s="271"/>
      <c r="W596" s="271"/>
      <c r="X596" s="271"/>
      <c r="Y596" s="271"/>
      <c r="Z596" s="271"/>
    </row>
    <row r="597" spans="1:26">
      <c r="A597" s="9"/>
      <c r="B597" s="283"/>
      <c r="C597" s="9"/>
      <c r="D597" s="9"/>
      <c r="E597" s="296"/>
      <c r="F597" s="296"/>
      <c r="G597" s="285"/>
      <c r="H597" s="293"/>
      <c r="I597" s="284"/>
      <c r="J597" s="293"/>
      <c r="K597" s="284"/>
      <c r="L597" s="286"/>
      <c r="M597" s="9"/>
      <c r="N597" s="9"/>
      <c r="O597" s="9"/>
      <c r="P597" s="9"/>
      <c r="Q597" s="9"/>
      <c r="R597" s="9"/>
      <c r="S597" s="271"/>
      <c r="T597" s="271"/>
      <c r="U597" s="271"/>
      <c r="V597" s="271"/>
      <c r="W597" s="271"/>
      <c r="X597" s="271"/>
      <c r="Y597" s="271"/>
      <c r="Z597" s="271"/>
    </row>
    <row r="598" spans="1:26">
      <c r="A598" s="9"/>
      <c r="B598" s="283"/>
      <c r="C598" s="9"/>
      <c r="D598" s="9"/>
      <c r="E598" s="296"/>
      <c r="F598" s="296"/>
      <c r="G598" s="285"/>
      <c r="H598" s="293"/>
      <c r="I598" s="284"/>
      <c r="J598" s="293"/>
      <c r="K598" s="284"/>
      <c r="L598" s="286"/>
      <c r="M598" s="9"/>
      <c r="N598" s="9"/>
      <c r="O598" s="9"/>
      <c r="P598" s="9"/>
      <c r="Q598" s="9"/>
      <c r="R598" s="9"/>
      <c r="S598" s="271"/>
      <c r="T598" s="271"/>
      <c r="U598" s="271"/>
      <c r="V598" s="271"/>
      <c r="W598" s="271"/>
      <c r="X598" s="271"/>
      <c r="Y598" s="271"/>
      <c r="Z598" s="271"/>
    </row>
    <row r="599" spans="1:26">
      <c r="A599" s="9"/>
      <c r="B599" s="283"/>
      <c r="C599" s="9"/>
      <c r="D599" s="9"/>
      <c r="E599" s="296"/>
      <c r="F599" s="296"/>
      <c r="G599" s="285"/>
      <c r="H599" s="293"/>
      <c r="I599" s="284"/>
      <c r="J599" s="293"/>
      <c r="K599" s="284"/>
      <c r="L599" s="286"/>
      <c r="M599" s="9"/>
      <c r="N599" s="9"/>
      <c r="O599" s="9"/>
      <c r="P599" s="9"/>
      <c r="Q599" s="9"/>
      <c r="R599" s="9"/>
      <c r="S599" s="271"/>
      <c r="T599" s="271"/>
      <c r="U599" s="271"/>
      <c r="V599" s="271"/>
      <c r="W599" s="271"/>
      <c r="X599" s="271"/>
      <c r="Y599" s="271"/>
      <c r="Z599" s="271"/>
    </row>
    <row r="600" spans="1:26">
      <c r="A600" s="9"/>
      <c r="B600" s="283"/>
      <c r="C600" s="9"/>
      <c r="D600" s="9"/>
      <c r="E600" s="296"/>
      <c r="F600" s="296"/>
      <c r="G600" s="285"/>
      <c r="H600" s="293"/>
      <c r="I600" s="284"/>
      <c r="J600" s="293"/>
      <c r="K600" s="284"/>
      <c r="L600" s="286"/>
      <c r="M600" s="9"/>
      <c r="N600" s="9"/>
      <c r="O600" s="9"/>
      <c r="P600" s="9"/>
      <c r="Q600" s="9"/>
      <c r="R600" s="9"/>
      <c r="S600" s="271"/>
      <c r="T600" s="271"/>
      <c r="U600" s="271"/>
      <c r="V600" s="271"/>
      <c r="W600" s="271"/>
      <c r="X600" s="271"/>
      <c r="Y600" s="271"/>
      <c r="Z600" s="271"/>
    </row>
    <row r="601" spans="1:26">
      <c r="A601" s="9"/>
      <c r="B601" s="283"/>
      <c r="C601" s="9"/>
      <c r="D601" s="9"/>
      <c r="E601" s="296"/>
      <c r="F601" s="296"/>
      <c r="G601" s="285"/>
      <c r="H601" s="293"/>
      <c r="I601" s="284"/>
      <c r="J601" s="293"/>
      <c r="K601" s="284"/>
      <c r="L601" s="286"/>
      <c r="M601" s="9"/>
      <c r="N601" s="9"/>
      <c r="O601" s="9"/>
      <c r="P601" s="9"/>
      <c r="Q601" s="9"/>
      <c r="R601" s="9"/>
      <c r="S601" s="271"/>
      <c r="T601" s="271"/>
      <c r="U601" s="271"/>
      <c r="V601" s="271"/>
      <c r="W601" s="271"/>
      <c r="X601" s="271"/>
      <c r="Y601" s="271"/>
      <c r="Z601" s="271"/>
    </row>
    <row r="602" spans="1:26">
      <c r="A602" s="9"/>
      <c r="B602" s="283"/>
      <c r="C602" s="9"/>
      <c r="D602" s="9"/>
      <c r="E602" s="296"/>
      <c r="F602" s="296"/>
      <c r="G602" s="285"/>
      <c r="H602" s="293"/>
      <c r="I602" s="284"/>
      <c r="J602" s="293"/>
      <c r="K602" s="284"/>
      <c r="L602" s="286"/>
      <c r="M602" s="9"/>
      <c r="N602" s="9"/>
      <c r="O602" s="9"/>
      <c r="P602" s="9"/>
      <c r="Q602" s="9"/>
      <c r="R602" s="9"/>
      <c r="S602" s="271"/>
      <c r="T602" s="271"/>
      <c r="U602" s="271"/>
      <c r="V602" s="271"/>
      <c r="W602" s="271"/>
      <c r="X602" s="271"/>
      <c r="Y602" s="271"/>
      <c r="Z602" s="271"/>
    </row>
    <row r="603" spans="1:26">
      <c r="A603" s="9"/>
      <c r="B603" s="283"/>
      <c r="C603" s="9"/>
      <c r="D603" s="9"/>
      <c r="E603" s="296"/>
      <c r="F603" s="296"/>
      <c r="G603" s="285"/>
      <c r="H603" s="293"/>
      <c r="I603" s="284"/>
      <c r="J603" s="293"/>
      <c r="K603" s="284"/>
      <c r="L603" s="286"/>
      <c r="M603" s="9"/>
      <c r="N603" s="9"/>
      <c r="O603" s="9"/>
      <c r="P603" s="9"/>
      <c r="Q603" s="9"/>
      <c r="R603" s="9"/>
      <c r="S603" s="271"/>
      <c r="T603" s="271"/>
      <c r="U603" s="271"/>
      <c r="V603" s="271"/>
      <c r="W603" s="271"/>
      <c r="X603" s="271"/>
      <c r="Y603" s="271"/>
      <c r="Z603" s="271"/>
    </row>
    <row r="604" spans="1:26">
      <c r="A604" s="9"/>
      <c r="B604" s="283"/>
      <c r="C604" s="9"/>
      <c r="D604" s="9"/>
      <c r="E604" s="296"/>
      <c r="F604" s="296"/>
      <c r="G604" s="285"/>
      <c r="H604" s="293"/>
      <c r="I604" s="284"/>
      <c r="J604" s="293"/>
      <c r="K604" s="284"/>
      <c r="L604" s="286"/>
      <c r="M604" s="9"/>
      <c r="N604" s="9"/>
      <c r="O604" s="9"/>
      <c r="P604" s="9"/>
      <c r="Q604" s="9"/>
      <c r="R604" s="9"/>
      <c r="S604" s="271"/>
      <c r="T604" s="271"/>
      <c r="U604" s="271"/>
      <c r="V604" s="271"/>
      <c r="W604" s="271"/>
      <c r="X604" s="271"/>
      <c r="Y604" s="271"/>
      <c r="Z604" s="271"/>
    </row>
    <row r="605" spans="1:26">
      <c r="A605" s="9"/>
      <c r="B605" s="283"/>
      <c r="C605" s="9"/>
      <c r="D605" s="9"/>
      <c r="E605" s="296"/>
      <c r="F605" s="296"/>
      <c r="G605" s="285"/>
      <c r="H605" s="293"/>
      <c r="I605" s="284"/>
      <c r="J605" s="293"/>
      <c r="K605" s="284"/>
      <c r="L605" s="286"/>
      <c r="M605" s="9"/>
      <c r="N605" s="9"/>
      <c r="O605" s="9"/>
      <c r="P605" s="9"/>
      <c r="Q605" s="9"/>
      <c r="R605" s="9"/>
      <c r="S605" s="271"/>
      <c r="T605" s="271"/>
      <c r="U605" s="271"/>
      <c r="V605" s="271"/>
      <c r="W605" s="271"/>
      <c r="X605" s="271"/>
      <c r="Y605" s="271"/>
      <c r="Z605" s="271"/>
    </row>
    <row r="606" spans="1:26">
      <c r="A606" s="9"/>
      <c r="B606" s="283"/>
      <c r="C606" s="9"/>
      <c r="D606" s="9"/>
      <c r="E606" s="296"/>
      <c r="F606" s="296"/>
      <c r="G606" s="285"/>
      <c r="H606" s="293"/>
      <c r="I606" s="284"/>
      <c r="J606" s="293"/>
      <c r="K606" s="284"/>
      <c r="L606" s="286"/>
      <c r="M606" s="9"/>
      <c r="N606" s="9"/>
      <c r="O606" s="9"/>
      <c r="P606" s="9"/>
      <c r="Q606" s="9"/>
      <c r="R606" s="9"/>
      <c r="S606" s="271"/>
      <c r="T606" s="271"/>
      <c r="U606" s="271"/>
      <c r="V606" s="271"/>
      <c r="W606" s="271"/>
      <c r="X606" s="271"/>
      <c r="Y606" s="271"/>
      <c r="Z606" s="271"/>
    </row>
    <row r="607" spans="1:26">
      <c r="A607" s="9"/>
      <c r="B607" s="283"/>
      <c r="C607" s="9"/>
      <c r="D607" s="9"/>
      <c r="E607" s="296"/>
      <c r="F607" s="296"/>
      <c r="G607" s="285"/>
      <c r="H607" s="293"/>
      <c r="I607" s="284"/>
      <c r="J607" s="293"/>
      <c r="K607" s="284"/>
      <c r="L607" s="286"/>
      <c r="M607" s="9"/>
      <c r="N607" s="9"/>
      <c r="O607" s="9"/>
      <c r="P607" s="9"/>
      <c r="Q607" s="9"/>
      <c r="R607" s="9"/>
      <c r="S607" s="271"/>
      <c r="T607" s="271"/>
      <c r="U607" s="271"/>
      <c r="V607" s="271"/>
      <c r="W607" s="271"/>
      <c r="X607" s="271"/>
      <c r="Y607" s="271"/>
      <c r="Z607" s="271"/>
    </row>
    <row r="608" spans="1:26">
      <c r="A608" s="9"/>
      <c r="B608" s="283"/>
      <c r="C608" s="9"/>
      <c r="D608" s="9"/>
      <c r="E608" s="296"/>
      <c r="F608" s="296"/>
      <c r="G608" s="285"/>
      <c r="H608" s="293"/>
      <c r="I608" s="284"/>
      <c r="J608" s="293"/>
      <c r="K608" s="284"/>
      <c r="L608" s="286"/>
      <c r="M608" s="9"/>
      <c r="N608" s="9"/>
      <c r="O608" s="9"/>
      <c r="P608" s="9"/>
      <c r="Q608" s="9"/>
      <c r="R608" s="9"/>
      <c r="S608" s="271"/>
      <c r="T608" s="271"/>
      <c r="U608" s="271"/>
      <c r="V608" s="271"/>
      <c r="W608" s="271"/>
      <c r="X608" s="271"/>
      <c r="Y608" s="271"/>
      <c r="Z608" s="271"/>
    </row>
    <row r="609" spans="1:26">
      <c r="A609" s="9"/>
      <c r="B609" s="283"/>
      <c r="C609" s="9"/>
      <c r="D609" s="9"/>
      <c r="E609" s="296"/>
      <c r="F609" s="296"/>
      <c r="G609" s="285"/>
      <c r="H609" s="293"/>
      <c r="I609" s="284"/>
      <c r="J609" s="293"/>
      <c r="K609" s="284"/>
      <c r="L609" s="286"/>
      <c r="M609" s="9"/>
      <c r="N609" s="9"/>
      <c r="O609" s="9"/>
      <c r="P609" s="9"/>
      <c r="Q609" s="9"/>
      <c r="R609" s="9"/>
      <c r="S609" s="271"/>
      <c r="T609" s="271"/>
      <c r="U609" s="271"/>
      <c r="V609" s="271"/>
      <c r="W609" s="271"/>
      <c r="X609" s="271"/>
      <c r="Y609" s="271"/>
      <c r="Z609" s="271"/>
    </row>
    <row r="610" spans="1:26">
      <c r="A610" s="9"/>
      <c r="B610" s="283"/>
      <c r="C610" s="9"/>
      <c r="D610" s="9"/>
      <c r="E610" s="296"/>
      <c r="F610" s="296"/>
      <c r="G610" s="285"/>
      <c r="H610" s="293"/>
      <c r="I610" s="284"/>
      <c r="J610" s="293"/>
      <c r="K610" s="284"/>
      <c r="L610" s="286"/>
      <c r="M610" s="9"/>
      <c r="N610" s="9"/>
      <c r="O610" s="9"/>
      <c r="P610" s="9"/>
      <c r="Q610" s="9"/>
      <c r="R610" s="9"/>
      <c r="S610" s="271"/>
      <c r="T610" s="271"/>
      <c r="U610" s="271"/>
      <c r="V610" s="271"/>
      <c r="W610" s="271"/>
      <c r="X610" s="271"/>
      <c r="Y610" s="271"/>
      <c r="Z610" s="271"/>
    </row>
    <row r="611" spans="1:26">
      <c r="A611" s="9"/>
      <c r="B611" s="283"/>
      <c r="C611" s="9"/>
      <c r="D611" s="9"/>
      <c r="E611" s="296"/>
      <c r="F611" s="296"/>
      <c r="G611" s="285"/>
      <c r="H611" s="293"/>
      <c r="I611" s="284"/>
      <c r="J611" s="293"/>
      <c r="K611" s="284"/>
      <c r="L611" s="286"/>
      <c r="M611" s="9"/>
      <c r="N611" s="9"/>
      <c r="O611" s="9"/>
      <c r="P611" s="9"/>
      <c r="Q611" s="9"/>
      <c r="R611" s="9"/>
      <c r="S611" s="271"/>
      <c r="T611" s="271"/>
      <c r="U611" s="271"/>
      <c r="V611" s="271"/>
      <c r="W611" s="271"/>
      <c r="X611" s="271"/>
      <c r="Y611" s="271"/>
      <c r="Z611" s="271"/>
    </row>
    <row r="612" spans="1:26">
      <c r="A612" s="9"/>
      <c r="B612" s="283"/>
      <c r="C612" s="9"/>
      <c r="D612" s="9"/>
      <c r="E612" s="296"/>
      <c r="F612" s="296"/>
      <c r="G612" s="285"/>
      <c r="H612" s="293"/>
      <c r="I612" s="284"/>
      <c r="J612" s="293"/>
      <c r="K612" s="284"/>
      <c r="L612" s="286"/>
      <c r="M612" s="9"/>
      <c r="N612" s="9"/>
      <c r="O612" s="9"/>
      <c r="P612" s="9"/>
      <c r="Q612" s="9"/>
      <c r="R612" s="9"/>
      <c r="S612" s="271"/>
      <c r="T612" s="271"/>
      <c r="U612" s="271"/>
      <c r="V612" s="271"/>
      <c r="W612" s="271"/>
      <c r="X612" s="271"/>
      <c r="Y612" s="271"/>
      <c r="Z612" s="271"/>
    </row>
    <row r="613" spans="1:26">
      <c r="A613" s="9"/>
      <c r="B613" s="283"/>
      <c r="C613" s="9"/>
      <c r="D613" s="9"/>
      <c r="E613" s="296"/>
      <c r="F613" s="296"/>
      <c r="G613" s="285"/>
      <c r="H613" s="293"/>
      <c r="I613" s="284"/>
      <c r="J613" s="293"/>
      <c r="K613" s="284"/>
      <c r="L613" s="286"/>
      <c r="M613" s="9"/>
      <c r="N613" s="9"/>
      <c r="O613" s="9"/>
      <c r="P613" s="9"/>
      <c r="Q613" s="9"/>
      <c r="R613" s="9"/>
      <c r="S613" s="271"/>
      <c r="T613" s="271"/>
      <c r="U613" s="271"/>
      <c r="V613" s="271"/>
      <c r="W613" s="271"/>
      <c r="X613" s="271"/>
      <c r="Y613" s="271"/>
      <c r="Z613" s="271"/>
    </row>
    <row r="614" spans="1:26">
      <c r="A614" s="9"/>
      <c r="B614" s="283"/>
      <c r="C614" s="9"/>
      <c r="D614" s="9"/>
      <c r="E614" s="296"/>
      <c r="F614" s="296"/>
      <c r="G614" s="285"/>
      <c r="H614" s="293"/>
      <c r="I614" s="284"/>
      <c r="J614" s="293"/>
      <c r="K614" s="284"/>
      <c r="L614" s="286"/>
      <c r="M614" s="9"/>
      <c r="N614" s="9"/>
      <c r="O614" s="9"/>
      <c r="P614" s="9"/>
      <c r="Q614" s="9"/>
      <c r="R614" s="9"/>
      <c r="S614" s="271"/>
      <c r="T614" s="271"/>
      <c r="U614" s="271"/>
      <c r="V614" s="271"/>
      <c r="W614" s="271"/>
      <c r="X614" s="271"/>
      <c r="Y614" s="271"/>
      <c r="Z614" s="271"/>
    </row>
    <row r="615" spans="1:26">
      <c r="A615" s="9"/>
      <c r="B615" s="283"/>
      <c r="C615" s="9"/>
      <c r="D615" s="9"/>
      <c r="E615" s="296"/>
      <c r="F615" s="296"/>
      <c r="G615" s="285"/>
      <c r="H615" s="293"/>
      <c r="I615" s="284"/>
      <c r="J615" s="293"/>
      <c r="K615" s="284"/>
      <c r="L615" s="286"/>
      <c r="M615" s="9"/>
      <c r="N615" s="9"/>
      <c r="O615" s="9"/>
      <c r="P615" s="9"/>
      <c r="Q615" s="9"/>
      <c r="R615" s="9"/>
      <c r="S615" s="271"/>
      <c r="T615" s="271"/>
      <c r="U615" s="271"/>
      <c r="V615" s="271"/>
      <c r="W615" s="271"/>
      <c r="X615" s="271"/>
      <c r="Y615" s="271"/>
      <c r="Z615" s="271"/>
    </row>
    <row r="616" spans="1:26">
      <c r="A616" s="9"/>
      <c r="B616" s="283"/>
      <c r="C616" s="9"/>
      <c r="D616" s="9"/>
      <c r="E616" s="296"/>
      <c r="F616" s="296"/>
      <c r="G616" s="285"/>
      <c r="H616" s="293"/>
      <c r="I616" s="284"/>
      <c r="J616" s="293"/>
      <c r="K616" s="284"/>
      <c r="L616" s="286"/>
      <c r="M616" s="9"/>
      <c r="N616" s="9"/>
      <c r="O616" s="9"/>
      <c r="P616" s="9"/>
      <c r="Q616" s="9"/>
      <c r="R616" s="9"/>
      <c r="S616" s="271"/>
      <c r="T616" s="271"/>
      <c r="U616" s="271"/>
      <c r="V616" s="271"/>
      <c r="W616" s="271"/>
      <c r="X616" s="271"/>
      <c r="Y616" s="271"/>
      <c r="Z616" s="271"/>
    </row>
    <row r="617" spans="1:26">
      <c r="A617" s="9"/>
      <c r="B617" s="283"/>
      <c r="C617" s="9"/>
      <c r="D617" s="9"/>
      <c r="E617" s="296"/>
      <c r="F617" s="296"/>
      <c r="G617" s="285"/>
      <c r="H617" s="293"/>
      <c r="I617" s="284"/>
      <c r="J617" s="293"/>
      <c r="K617" s="284"/>
      <c r="L617" s="286"/>
      <c r="M617" s="9"/>
      <c r="N617" s="9"/>
      <c r="O617" s="9"/>
      <c r="P617" s="9"/>
      <c r="Q617" s="9"/>
      <c r="R617" s="9"/>
      <c r="S617" s="271"/>
      <c r="T617" s="271"/>
      <c r="U617" s="271"/>
      <c r="V617" s="271"/>
      <c r="W617" s="271"/>
      <c r="X617" s="271"/>
      <c r="Y617" s="271"/>
      <c r="Z617" s="271"/>
    </row>
    <row r="618" spans="1:26">
      <c r="A618" s="9"/>
      <c r="B618" s="283"/>
      <c r="C618" s="9"/>
      <c r="D618" s="9"/>
      <c r="E618" s="296"/>
      <c r="F618" s="296"/>
      <c r="G618" s="285"/>
      <c r="H618" s="293"/>
      <c r="I618" s="284"/>
      <c r="J618" s="293"/>
      <c r="K618" s="284"/>
      <c r="L618" s="286"/>
      <c r="M618" s="9"/>
      <c r="N618" s="9"/>
      <c r="O618" s="9"/>
      <c r="P618" s="9"/>
      <c r="Q618" s="9"/>
      <c r="R618" s="9"/>
      <c r="S618" s="271"/>
      <c r="T618" s="271"/>
      <c r="U618" s="271"/>
      <c r="V618" s="271"/>
      <c r="W618" s="271"/>
      <c r="X618" s="271"/>
      <c r="Y618" s="271"/>
      <c r="Z618" s="271"/>
    </row>
    <row r="619" spans="1:26">
      <c r="A619" s="9"/>
      <c r="B619" s="283"/>
      <c r="C619" s="9"/>
      <c r="D619" s="9"/>
      <c r="E619" s="296"/>
      <c r="F619" s="296"/>
      <c r="G619" s="285"/>
      <c r="H619" s="293"/>
      <c r="I619" s="284"/>
      <c r="J619" s="293"/>
      <c r="K619" s="284"/>
      <c r="L619" s="286"/>
      <c r="M619" s="9"/>
      <c r="N619" s="9"/>
      <c r="O619" s="9"/>
      <c r="P619" s="9"/>
      <c r="Q619" s="9"/>
      <c r="R619" s="9"/>
      <c r="S619" s="271"/>
      <c r="T619" s="271"/>
      <c r="U619" s="271"/>
      <c r="V619" s="271"/>
      <c r="W619" s="271"/>
      <c r="X619" s="271"/>
      <c r="Y619" s="271"/>
      <c r="Z619" s="271"/>
    </row>
    <row r="620" spans="1:26">
      <c r="A620" s="9"/>
      <c r="B620" s="283"/>
      <c r="C620" s="9"/>
      <c r="D620" s="9"/>
      <c r="E620" s="296"/>
      <c r="F620" s="296"/>
      <c r="G620" s="285"/>
      <c r="H620" s="293"/>
      <c r="I620" s="284"/>
      <c r="J620" s="293"/>
      <c r="K620" s="284"/>
      <c r="L620" s="286"/>
      <c r="M620" s="9"/>
      <c r="N620" s="9"/>
      <c r="O620" s="9"/>
      <c r="P620" s="9"/>
      <c r="Q620" s="9"/>
      <c r="R620" s="9"/>
      <c r="S620" s="271"/>
      <c r="T620" s="271"/>
      <c r="U620" s="271"/>
      <c r="V620" s="271"/>
      <c r="W620" s="271"/>
      <c r="X620" s="271"/>
      <c r="Y620" s="271"/>
      <c r="Z620" s="271"/>
    </row>
    <row r="621" spans="1:26">
      <c r="A621" s="9"/>
      <c r="B621" s="283"/>
      <c r="C621" s="9"/>
      <c r="D621" s="9"/>
      <c r="E621" s="296"/>
      <c r="F621" s="296"/>
      <c r="G621" s="285"/>
      <c r="H621" s="293"/>
      <c r="I621" s="284"/>
      <c r="J621" s="293"/>
      <c r="K621" s="284"/>
      <c r="L621" s="286"/>
      <c r="M621" s="9"/>
      <c r="N621" s="9"/>
      <c r="O621" s="9"/>
      <c r="P621" s="9"/>
      <c r="Q621" s="9"/>
      <c r="R621" s="9"/>
      <c r="S621" s="271"/>
      <c r="T621" s="271"/>
      <c r="U621" s="271"/>
      <c r="V621" s="271"/>
      <c r="W621" s="271"/>
      <c r="X621" s="271"/>
      <c r="Y621" s="271"/>
      <c r="Z621" s="271"/>
    </row>
    <row r="622" spans="1:26">
      <c r="A622" s="9"/>
      <c r="B622" s="283"/>
      <c r="C622" s="9"/>
      <c r="D622" s="9"/>
      <c r="E622" s="296"/>
      <c r="F622" s="296"/>
      <c r="G622" s="285"/>
      <c r="H622" s="293"/>
      <c r="I622" s="284"/>
      <c r="J622" s="293"/>
      <c r="K622" s="284"/>
      <c r="L622" s="286"/>
      <c r="M622" s="9"/>
      <c r="N622" s="9"/>
      <c r="O622" s="9"/>
      <c r="P622" s="9"/>
      <c r="Q622" s="9"/>
      <c r="R622" s="9"/>
      <c r="S622" s="271"/>
      <c r="T622" s="271"/>
      <c r="U622" s="271"/>
      <c r="V622" s="271"/>
      <c r="W622" s="271"/>
      <c r="X622" s="271"/>
      <c r="Y622" s="271"/>
      <c r="Z622" s="271"/>
    </row>
    <row r="623" spans="1:26">
      <c r="A623" s="9"/>
      <c r="B623" s="283"/>
      <c r="C623" s="9"/>
      <c r="D623" s="9"/>
      <c r="E623" s="296"/>
      <c r="F623" s="296"/>
      <c r="G623" s="285"/>
      <c r="H623" s="293"/>
      <c r="I623" s="284"/>
      <c r="J623" s="293"/>
      <c r="K623" s="284"/>
      <c r="L623" s="286"/>
      <c r="M623" s="9"/>
      <c r="N623" s="9"/>
      <c r="O623" s="9"/>
      <c r="P623" s="9"/>
      <c r="Q623" s="9"/>
      <c r="R623" s="9"/>
      <c r="S623" s="271"/>
      <c r="T623" s="271"/>
      <c r="U623" s="271"/>
      <c r="V623" s="271"/>
      <c r="W623" s="271"/>
      <c r="X623" s="271"/>
      <c r="Y623" s="271"/>
      <c r="Z623" s="271"/>
    </row>
    <row r="624" spans="1:26">
      <c r="A624" s="9"/>
      <c r="B624" s="283"/>
      <c r="C624" s="9"/>
      <c r="D624" s="9"/>
      <c r="E624" s="296"/>
      <c r="F624" s="296"/>
      <c r="G624" s="285"/>
      <c r="H624" s="293"/>
      <c r="I624" s="284"/>
      <c r="J624" s="293"/>
      <c r="K624" s="284"/>
      <c r="L624" s="286"/>
      <c r="M624" s="9"/>
      <c r="N624" s="9"/>
      <c r="O624" s="9"/>
      <c r="P624" s="9"/>
      <c r="Q624" s="9"/>
      <c r="R624" s="9"/>
      <c r="S624" s="271"/>
      <c r="T624" s="271"/>
      <c r="U624" s="271"/>
      <c r="V624" s="271"/>
      <c r="W624" s="271"/>
      <c r="X624" s="271"/>
      <c r="Y624" s="271"/>
      <c r="Z624" s="271"/>
    </row>
    <row r="625" spans="1:26">
      <c r="A625" s="9"/>
      <c r="B625" s="283"/>
      <c r="C625" s="9"/>
      <c r="D625" s="9"/>
      <c r="E625" s="296"/>
      <c r="F625" s="296"/>
      <c r="G625" s="285"/>
      <c r="H625" s="293"/>
      <c r="I625" s="284"/>
      <c r="J625" s="293"/>
      <c r="K625" s="284"/>
      <c r="L625" s="286"/>
      <c r="M625" s="9"/>
      <c r="N625" s="9"/>
      <c r="O625" s="9"/>
      <c r="P625" s="9"/>
      <c r="Q625" s="9"/>
      <c r="R625" s="9"/>
      <c r="S625" s="271"/>
      <c r="T625" s="271"/>
      <c r="U625" s="271"/>
      <c r="V625" s="271"/>
      <c r="W625" s="271"/>
      <c r="X625" s="271"/>
      <c r="Y625" s="271"/>
      <c r="Z625" s="271"/>
    </row>
    <row r="626" spans="1:26">
      <c r="A626" s="9"/>
      <c r="B626" s="283"/>
      <c r="C626" s="9"/>
      <c r="D626" s="9"/>
      <c r="E626" s="296"/>
      <c r="F626" s="296"/>
      <c r="G626" s="285"/>
      <c r="H626" s="293"/>
      <c r="I626" s="284"/>
      <c r="J626" s="293"/>
      <c r="K626" s="284"/>
      <c r="L626" s="286"/>
      <c r="M626" s="9"/>
      <c r="N626" s="9"/>
      <c r="O626" s="9"/>
      <c r="P626" s="9"/>
      <c r="Q626" s="9"/>
      <c r="R626" s="9"/>
      <c r="S626" s="271"/>
      <c r="T626" s="271"/>
      <c r="U626" s="271"/>
      <c r="V626" s="271"/>
      <c r="W626" s="271"/>
      <c r="X626" s="271"/>
      <c r="Y626" s="271"/>
      <c r="Z626" s="271"/>
    </row>
    <row r="627" spans="1:26">
      <c r="A627" s="9"/>
      <c r="B627" s="283"/>
      <c r="C627" s="9"/>
      <c r="D627" s="9"/>
      <c r="E627" s="296"/>
      <c r="F627" s="296"/>
      <c r="G627" s="285"/>
      <c r="H627" s="293"/>
      <c r="I627" s="284"/>
      <c r="J627" s="293"/>
      <c r="K627" s="284"/>
      <c r="L627" s="286"/>
      <c r="M627" s="9"/>
      <c r="N627" s="9"/>
      <c r="O627" s="9"/>
      <c r="P627" s="9"/>
      <c r="Q627" s="9"/>
      <c r="R627" s="9"/>
      <c r="S627" s="271"/>
      <c r="T627" s="271"/>
      <c r="U627" s="271"/>
      <c r="V627" s="271"/>
      <c r="W627" s="271"/>
      <c r="X627" s="271"/>
      <c r="Y627" s="271"/>
      <c r="Z627" s="271"/>
    </row>
    <row r="628" spans="1:26">
      <c r="A628" s="9"/>
      <c r="B628" s="283"/>
      <c r="C628" s="9"/>
      <c r="D628" s="9"/>
      <c r="E628" s="296"/>
      <c r="F628" s="296"/>
      <c r="G628" s="285"/>
      <c r="H628" s="293"/>
      <c r="I628" s="284"/>
      <c r="J628" s="293"/>
      <c r="K628" s="284"/>
      <c r="L628" s="286"/>
      <c r="M628" s="9"/>
      <c r="N628" s="9"/>
      <c r="O628" s="9"/>
      <c r="P628" s="9"/>
      <c r="Q628" s="9"/>
      <c r="R628" s="9"/>
      <c r="S628" s="271"/>
      <c r="T628" s="271"/>
      <c r="U628" s="271"/>
      <c r="V628" s="271"/>
      <c r="W628" s="271"/>
      <c r="X628" s="271"/>
      <c r="Y628" s="271"/>
      <c r="Z628" s="271"/>
    </row>
    <row r="629" spans="1:26">
      <c r="A629" s="9"/>
      <c r="B629" s="283"/>
      <c r="C629" s="9"/>
      <c r="D629" s="9"/>
      <c r="E629" s="296"/>
      <c r="F629" s="296"/>
      <c r="G629" s="285"/>
      <c r="H629" s="293"/>
      <c r="I629" s="284"/>
      <c r="J629" s="293"/>
      <c r="K629" s="284"/>
      <c r="L629" s="286"/>
      <c r="M629" s="9"/>
      <c r="N629" s="9"/>
      <c r="O629" s="9"/>
      <c r="P629" s="9"/>
      <c r="Q629" s="9"/>
      <c r="R629" s="9"/>
      <c r="S629" s="271"/>
      <c r="T629" s="271"/>
      <c r="U629" s="271"/>
      <c r="V629" s="271"/>
      <c r="W629" s="271"/>
      <c r="X629" s="271"/>
      <c r="Y629" s="271"/>
      <c r="Z629" s="271"/>
    </row>
    <row r="630" spans="1:26">
      <c r="A630" s="9"/>
      <c r="B630" s="283"/>
      <c r="C630" s="9"/>
      <c r="D630" s="9"/>
      <c r="E630" s="296"/>
      <c r="F630" s="296"/>
      <c r="G630" s="285"/>
      <c r="H630" s="293"/>
      <c r="I630" s="284"/>
      <c r="J630" s="293"/>
      <c r="K630" s="284"/>
      <c r="L630" s="286"/>
      <c r="M630" s="9"/>
      <c r="N630" s="9"/>
      <c r="O630" s="9"/>
      <c r="P630" s="9"/>
      <c r="Q630" s="9"/>
      <c r="R630" s="9"/>
      <c r="S630" s="271"/>
      <c r="T630" s="271"/>
      <c r="U630" s="271"/>
      <c r="V630" s="271"/>
      <c r="W630" s="271"/>
      <c r="X630" s="271"/>
      <c r="Y630" s="271"/>
      <c r="Z630" s="271"/>
    </row>
    <row r="631" spans="1:26">
      <c r="A631" s="9"/>
      <c r="B631" s="283"/>
      <c r="C631" s="9"/>
      <c r="D631" s="9"/>
      <c r="E631" s="296"/>
      <c r="F631" s="296"/>
      <c r="G631" s="285"/>
      <c r="H631" s="293"/>
      <c r="I631" s="284"/>
      <c r="J631" s="293"/>
      <c r="K631" s="284"/>
      <c r="L631" s="286"/>
      <c r="M631" s="9"/>
      <c r="N631" s="9"/>
      <c r="O631" s="9"/>
      <c r="P631" s="9"/>
      <c r="Q631" s="9"/>
      <c r="R631" s="9"/>
      <c r="S631" s="9"/>
      <c r="T631" s="9"/>
      <c r="U631" s="9"/>
      <c r="V631" s="9"/>
      <c r="W631" s="9"/>
      <c r="X631" s="9"/>
      <c r="Y631" s="9"/>
      <c r="Z631" s="9"/>
    </row>
    <row r="632" spans="1:26">
      <c r="A632" s="9"/>
      <c r="B632" s="283"/>
      <c r="C632" s="9"/>
      <c r="D632" s="9"/>
      <c r="E632" s="296"/>
      <c r="F632" s="296"/>
      <c r="G632" s="285"/>
      <c r="H632" s="293"/>
      <c r="I632" s="284"/>
      <c r="J632" s="293"/>
      <c r="K632" s="284"/>
      <c r="L632" s="286"/>
      <c r="M632" s="9"/>
      <c r="N632" s="9"/>
      <c r="O632" s="9"/>
      <c r="P632" s="9"/>
      <c r="Q632" s="9"/>
      <c r="R632" s="9"/>
      <c r="S632" s="9"/>
      <c r="T632" s="9"/>
      <c r="U632" s="9"/>
      <c r="V632" s="9"/>
      <c r="W632" s="9"/>
      <c r="X632" s="9"/>
      <c r="Y632" s="9"/>
      <c r="Z632" s="9"/>
    </row>
    <row r="633" spans="1:26">
      <c r="A633" s="9"/>
      <c r="B633" s="283"/>
      <c r="C633" s="9"/>
      <c r="D633" s="9"/>
      <c r="E633" s="296"/>
      <c r="F633" s="296"/>
      <c r="G633" s="285"/>
      <c r="H633" s="293"/>
      <c r="I633" s="284"/>
      <c r="J633" s="293"/>
      <c r="K633" s="284"/>
      <c r="L633" s="286"/>
      <c r="M633" s="9"/>
      <c r="N633" s="9"/>
      <c r="O633" s="9"/>
      <c r="P633" s="9"/>
      <c r="Q633" s="9"/>
      <c r="R633" s="9"/>
      <c r="S633" s="9"/>
      <c r="T633" s="9"/>
      <c r="U633" s="9"/>
      <c r="V633" s="9"/>
      <c r="W633" s="9"/>
      <c r="X633" s="9"/>
      <c r="Y633" s="9"/>
      <c r="Z633" s="9"/>
    </row>
    <row r="634" spans="1:26">
      <c r="A634" s="9"/>
      <c r="B634" s="283"/>
      <c r="C634" s="9"/>
      <c r="D634" s="9"/>
      <c r="E634" s="296"/>
      <c r="F634" s="296"/>
      <c r="G634" s="285"/>
      <c r="H634" s="293"/>
      <c r="I634" s="284"/>
      <c r="J634" s="293"/>
      <c r="K634" s="284"/>
      <c r="L634" s="286"/>
      <c r="M634" s="9"/>
      <c r="N634" s="9"/>
      <c r="O634" s="9"/>
      <c r="P634" s="9"/>
      <c r="Q634" s="9"/>
      <c r="R634" s="9"/>
      <c r="S634" s="9"/>
      <c r="T634" s="9"/>
      <c r="U634" s="9"/>
      <c r="V634" s="9"/>
      <c r="W634" s="9"/>
      <c r="X634" s="9"/>
      <c r="Y634" s="9"/>
      <c r="Z634" s="9"/>
    </row>
    <row r="635" spans="1:26">
      <c r="A635" s="9"/>
      <c r="B635" s="283"/>
      <c r="C635" s="9"/>
      <c r="D635" s="9"/>
      <c r="E635" s="296"/>
      <c r="F635" s="296"/>
      <c r="G635" s="285"/>
      <c r="H635" s="293"/>
      <c r="I635" s="284"/>
      <c r="J635" s="293"/>
      <c r="K635" s="284"/>
      <c r="L635" s="286"/>
      <c r="M635" s="9"/>
      <c r="N635" s="9"/>
      <c r="O635" s="9"/>
      <c r="P635" s="9"/>
      <c r="Q635" s="9"/>
      <c r="R635" s="9"/>
      <c r="S635" s="9"/>
      <c r="T635" s="9"/>
      <c r="U635" s="9"/>
      <c r="V635" s="9"/>
      <c r="W635" s="9"/>
      <c r="X635" s="9"/>
      <c r="Y635" s="9"/>
      <c r="Z635" s="9"/>
    </row>
    <row r="636" spans="1:26">
      <c r="A636" s="9"/>
      <c r="B636" s="283"/>
      <c r="C636" s="9"/>
      <c r="D636" s="9"/>
      <c r="E636" s="296"/>
      <c r="F636" s="296"/>
      <c r="G636" s="285"/>
      <c r="H636" s="293"/>
      <c r="I636" s="284"/>
      <c r="J636" s="293"/>
      <c r="K636" s="284"/>
      <c r="L636" s="286"/>
      <c r="M636" s="9"/>
      <c r="N636" s="9"/>
      <c r="O636" s="9"/>
      <c r="P636" s="9"/>
      <c r="Q636" s="9"/>
      <c r="R636" s="9"/>
      <c r="S636" s="9"/>
      <c r="T636" s="9"/>
      <c r="U636" s="9"/>
      <c r="V636" s="9"/>
      <c r="W636" s="9"/>
      <c r="X636" s="9"/>
      <c r="Y636" s="9"/>
      <c r="Z636" s="9"/>
    </row>
    <row r="637" spans="1:26">
      <c r="A637" s="9"/>
      <c r="B637" s="283"/>
      <c r="C637" s="9"/>
      <c r="D637" s="9"/>
      <c r="E637" s="296"/>
      <c r="F637" s="296"/>
      <c r="G637" s="285"/>
      <c r="H637" s="293"/>
      <c r="I637" s="284"/>
      <c r="J637" s="293"/>
      <c r="K637" s="284"/>
      <c r="L637" s="286"/>
      <c r="M637" s="9"/>
      <c r="N637" s="9"/>
      <c r="O637" s="9"/>
      <c r="P637" s="9"/>
      <c r="Q637" s="9"/>
      <c r="R637" s="9"/>
      <c r="S637" s="9"/>
      <c r="T637" s="9"/>
      <c r="U637" s="9"/>
      <c r="V637" s="9"/>
      <c r="W637" s="9"/>
      <c r="X637" s="9"/>
      <c r="Y637" s="9"/>
      <c r="Z637" s="9"/>
    </row>
    <row r="638" spans="1:26">
      <c r="A638" s="9"/>
      <c r="B638" s="283"/>
      <c r="C638" s="9"/>
      <c r="D638" s="9"/>
      <c r="E638" s="296"/>
      <c r="F638" s="296"/>
      <c r="G638" s="285"/>
      <c r="H638" s="293"/>
      <c r="I638" s="284"/>
      <c r="J638" s="293"/>
      <c r="K638" s="284"/>
      <c r="L638" s="286"/>
      <c r="M638" s="9"/>
      <c r="N638" s="9"/>
      <c r="O638" s="9"/>
      <c r="P638" s="9"/>
      <c r="Q638" s="9"/>
      <c r="R638" s="9"/>
      <c r="S638" s="9"/>
      <c r="T638" s="9"/>
      <c r="U638" s="9"/>
      <c r="V638" s="9"/>
      <c r="W638" s="9"/>
      <c r="X638" s="9"/>
      <c r="Y638" s="9"/>
      <c r="Z638" s="9"/>
    </row>
    <row r="639" spans="1:26">
      <c r="A639" s="9"/>
      <c r="B639" s="283"/>
      <c r="C639" s="9"/>
      <c r="D639" s="9"/>
      <c r="E639" s="296"/>
      <c r="F639" s="296"/>
      <c r="G639" s="285"/>
      <c r="H639" s="293"/>
      <c r="I639" s="284"/>
      <c r="J639" s="293"/>
      <c r="K639" s="284"/>
      <c r="L639" s="286"/>
      <c r="M639" s="9"/>
      <c r="N639" s="9"/>
      <c r="O639" s="9"/>
      <c r="P639" s="9"/>
      <c r="Q639" s="9"/>
      <c r="R639" s="9"/>
      <c r="S639" s="9"/>
      <c r="T639" s="9"/>
      <c r="U639" s="9"/>
      <c r="V639" s="9"/>
      <c r="W639" s="9"/>
      <c r="X639" s="9"/>
      <c r="Y639" s="9"/>
      <c r="Z639" s="9"/>
    </row>
    <row r="640" spans="1:26">
      <c r="A640" s="9"/>
      <c r="B640" s="283"/>
      <c r="C640" s="9"/>
      <c r="D640" s="9"/>
      <c r="E640" s="296"/>
      <c r="F640" s="296"/>
      <c r="G640" s="285"/>
      <c r="H640" s="293"/>
      <c r="I640" s="284"/>
      <c r="J640" s="293"/>
      <c r="K640" s="284"/>
      <c r="L640" s="286"/>
      <c r="M640" s="9"/>
      <c r="N640" s="9"/>
      <c r="O640" s="9"/>
      <c r="P640" s="9"/>
      <c r="Q640" s="9"/>
      <c r="R640" s="9"/>
      <c r="S640" s="9"/>
      <c r="T640" s="9"/>
      <c r="U640" s="9"/>
      <c r="V640" s="9"/>
      <c r="W640" s="9"/>
      <c r="X640" s="9"/>
      <c r="Y640" s="9"/>
      <c r="Z640" s="9"/>
    </row>
    <row r="641" spans="1:26">
      <c r="A641" s="9"/>
      <c r="B641" s="283"/>
      <c r="C641" s="9"/>
      <c r="D641" s="9"/>
      <c r="E641" s="296"/>
      <c r="F641" s="296"/>
      <c r="G641" s="285"/>
      <c r="H641" s="293"/>
      <c r="I641" s="284"/>
      <c r="J641" s="293"/>
      <c r="K641" s="284"/>
      <c r="L641" s="286"/>
      <c r="M641" s="9"/>
      <c r="N641" s="9"/>
      <c r="O641" s="9"/>
      <c r="P641" s="9"/>
      <c r="Q641" s="9"/>
      <c r="R641" s="9"/>
      <c r="S641" s="9"/>
      <c r="T641" s="9"/>
      <c r="U641" s="9"/>
      <c r="V641" s="9"/>
      <c r="W641" s="9"/>
      <c r="X641" s="9"/>
      <c r="Y641" s="9"/>
      <c r="Z641" s="9"/>
    </row>
    <row r="642" spans="1:26">
      <c r="A642" s="9"/>
      <c r="B642" s="283"/>
      <c r="C642" s="9"/>
      <c r="D642" s="9"/>
      <c r="E642" s="296"/>
      <c r="F642" s="296"/>
      <c r="G642" s="285"/>
      <c r="H642" s="293"/>
      <c r="I642" s="284"/>
      <c r="J642" s="293"/>
      <c r="K642" s="284"/>
      <c r="L642" s="286"/>
      <c r="M642" s="9"/>
      <c r="N642" s="9"/>
      <c r="O642" s="9"/>
      <c r="P642" s="9"/>
      <c r="Q642" s="9"/>
      <c r="R642" s="9"/>
      <c r="S642" s="9"/>
      <c r="T642" s="9"/>
      <c r="U642" s="9"/>
      <c r="V642" s="9"/>
      <c r="W642" s="9"/>
      <c r="X642" s="9"/>
      <c r="Y642" s="9"/>
      <c r="Z642" s="9"/>
    </row>
    <row r="643" spans="1:26">
      <c r="A643" s="9"/>
      <c r="B643" s="283"/>
      <c r="C643" s="9"/>
      <c r="D643" s="9"/>
      <c r="E643" s="296"/>
      <c r="F643" s="296"/>
      <c r="G643" s="285"/>
      <c r="H643" s="293"/>
      <c r="I643" s="284"/>
      <c r="J643" s="293"/>
      <c r="K643" s="284"/>
      <c r="L643" s="286"/>
      <c r="M643" s="9"/>
      <c r="N643" s="9"/>
      <c r="O643" s="9"/>
      <c r="P643" s="9"/>
      <c r="Q643" s="9"/>
      <c r="R643" s="9"/>
      <c r="S643" s="9"/>
      <c r="T643" s="9"/>
      <c r="U643" s="9"/>
      <c r="V643" s="9"/>
      <c r="W643" s="9"/>
      <c r="X643" s="9"/>
      <c r="Y643" s="9"/>
      <c r="Z643" s="9"/>
    </row>
    <row r="644" spans="1:26">
      <c r="A644" s="9"/>
      <c r="B644" s="283"/>
      <c r="C644" s="9"/>
      <c r="D644" s="9"/>
      <c r="E644" s="296"/>
      <c r="F644" s="296"/>
      <c r="G644" s="285"/>
      <c r="H644" s="293"/>
      <c r="I644" s="284"/>
      <c r="J644" s="293"/>
      <c r="K644" s="284"/>
      <c r="L644" s="286"/>
      <c r="M644" s="9"/>
      <c r="N644" s="9"/>
      <c r="O644" s="9"/>
      <c r="P644" s="9"/>
      <c r="Q644" s="9"/>
      <c r="R644" s="9"/>
      <c r="S644" s="9"/>
      <c r="T644" s="9"/>
      <c r="U644" s="9"/>
      <c r="V644" s="9"/>
      <c r="W644" s="9"/>
      <c r="X644" s="9"/>
      <c r="Y644" s="9"/>
      <c r="Z644" s="9"/>
    </row>
    <row r="645" spans="1:26">
      <c r="A645" s="9"/>
      <c r="B645" s="283"/>
      <c r="C645" s="9"/>
      <c r="D645" s="9"/>
      <c r="E645" s="296"/>
      <c r="F645" s="296"/>
      <c r="G645" s="285"/>
      <c r="H645" s="293"/>
      <c r="I645" s="284"/>
      <c r="J645" s="293"/>
      <c r="K645" s="284"/>
      <c r="L645" s="286"/>
      <c r="M645" s="9"/>
      <c r="N645" s="9"/>
      <c r="O645" s="9"/>
      <c r="P645" s="9"/>
      <c r="Q645" s="9"/>
      <c r="R645" s="9"/>
      <c r="S645" s="9"/>
      <c r="T645" s="9"/>
      <c r="U645" s="9"/>
      <c r="V645" s="9"/>
      <c r="W645" s="9"/>
      <c r="X645" s="9"/>
      <c r="Y645" s="9"/>
      <c r="Z645" s="9"/>
    </row>
    <row r="646" spans="1:26">
      <c r="A646" s="9"/>
      <c r="B646" s="283"/>
      <c r="C646" s="9"/>
      <c r="D646" s="9"/>
      <c r="E646" s="296"/>
      <c r="F646" s="296"/>
      <c r="G646" s="285"/>
      <c r="H646" s="293"/>
      <c r="I646" s="284"/>
      <c r="J646" s="293"/>
      <c r="K646" s="284"/>
      <c r="L646" s="286"/>
      <c r="M646" s="9"/>
      <c r="N646" s="9"/>
      <c r="O646" s="9"/>
      <c r="P646" s="9"/>
      <c r="Q646" s="9"/>
      <c r="R646" s="9"/>
      <c r="S646" s="9"/>
      <c r="T646" s="9"/>
      <c r="U646" s="9"/>
      <c r="V646" s="9"/>
      <c r="W646" s="9"/>
      <c r="X646" s="9"/>
      <c r="Y646" s="9"/>
      <c r="Z646" s="9"/>
    </row>
    <row r="647" spans="1:26">
      <c r="A647" s="9"/>
      <c r="B647" s="283"/>
      <c r="C647" s="9"/>
      <c r="D647" s="9"/>
      <c r="E647" s="296"/>
      <c r="F647" s="296"/>
      <c r="G647" s="285"/>
      <c r="H647" s="293"/>
      <c r="I647" s="284"/>
      <c r="J647" s="293"/>
      <c r="K647" s="284"/>
      <c r="L647" s="286"/>
      <c r="M647" s="9"/>
      <c r="N647" s="9"/>
      <c r="O647" s="9"/>
      <c r="P647" s="9"/>
      <c r="Q647" s="9"/>
      <c r="R647" s="9"/>
      <c r="S647" s="9"/>
      <c r="T647" s="9"/>
      <c r="U647" s="9"/>
      <c r="V647" s="9"/>
      <c r="W647" s="9"/>
      <c r="X647" s="9"/>
      <c r="Y647" s="9"/>
      <c r="Z647" s="9"/>
    </row>
    <row r="648" spans="1:26">
      <c r="A648" s="9"/>
      <c r="B648" s="283"/>
      <c r="C648" s="9"/>
      <c r="D648" s="9"/>
      <c r="E648" s="296"/>
      <c r="F648" s="296"/>
      <c r="G648" s="285"/>
      <c r="H648" s="293"/>
      <c r="I648" s="284"/>
      <c r="J648" s="293"/>
      <c r="K648" s="284"/>
      <c r="L648" s="286"/>
      <c r="M648" s="9"/>
      <c r="N648" s="9"/>
      <c r="O648" s="9"/>
      <c r="P648" s="9"/>
      <c r="Q648" s="9"/>
      <c r="R648" s="9"/>
      <c r="S648" s="9"/>
      <c r="T648" s="9"/>
      <c r="U648" s="9"/>
      <c r="V648" s="9"/>
      <c r="W648" s="9"/>
      <c r="X648" s="9"/>
      <c r="Y648" s="9"/>
      <c r="Z648" s="9"/>
    </row>
    <row r="649" spans="1:26">
      <c r="A649" s="9"/>
      <c r="B649" s="283"/>
      <c r="C649" s="9"/>
      <c r="D649" s="9"/>
      <c r="E649" s="296"/>
      <c r="F649" s="296"/>
      <c r="G649" s="285"/>
      <c r="H649" s="293"/>
      <c r="I649" s="284"/>
      <c r="J649" s="293"/>
      <c r="K649" s="284"/>
      <c r="L649" s="286"/>
      <c r="M649" s="9"/>
      <c r="N649" s="9"/>
      <c r="O649" s="9"/>
      <c r="P649" s="9"/>
      <c r="Q649" s="9"/>
      <c r="R649" s="9"/>
      <c r="S649" s="9"/>
      <c r="T649" s="9"/>
      <c r="U649" s="9"/>
      <c r="V649" s="9"/>
      <c r="W649" s="9"/>
      <c r="X649" s="9"/>
      <c r="Y649" s="9"/>
      <c r="Z649" s="9"/>
    </row>
    <row r="650" spans="1:26">
      <c r="A650" s="9"/>
      <c r="B650" s="283"/>
      <c r="C650" s="9"/>
      <c r="D650" s="9"/>
      <c r="E650" s="296"/>
      <c r="F650" s="296"/>
      <c r="G650" s="285"/>
      <c r="H650" s="293"/>
      <c r="I650" s="284"/>
      <c r="J650" s="293"/>
      <c r="K650" s="284"/>
      <c r="L650" s="286"/>
      <c r="M650" s="9"/>
      <c r="N650" s="9"/>
      <c r="O650" s="9"/>
      <c r="P650" s="9"/>
      <c r="Q650" s="9"/>
      <c r="R650" s="9"/>
      <c r="S650" s="9"/>
      <c r="T650" s="9"/>
      <c r="U650" s="9"/>
      <c r="V650" s="9"/>
      <c r="W650" s="9"/>
      <c r="X650" s="9"/>
      <c r="Y650" s="9"/>
      <c r="Z650" s="9"/>
    </row>
    <row r="651" spans="1:26">
      <c r="A651" s="9"/>
      <c r="B651" s="283"/>
      <c r="C651" s="9"/>
      <c r="D651" s="9"/>
      <c r="E651" s="296"/>
      <c r="F651" s="296"/>
      <c r="G651" s="285"/>
      <c r="H651" s="293"/>
      <c r="I651" s="284"/>
      <c r="J651" s="293"/>
      <c r="K651" s="284"/>
      <c r="L651" s="286"/>
      <c r="M651" s="9"/>
      <c r="N651" s="9"/>
      <c r="O651" s="9"/>
      <c r="P651" s="9"/>
      <c r="Q651" s="9"/>
      <c r="R651" s="9"/>
      <c r="S651" s="9"/>
      <c r="T651" s="9"/>
      <c r="U651" s="9"/>
      <c r="V651" s="9"/>
      <c r="W651" s="9"/>
      <c r="X651" s="9"/>
      <c r="Y651" s="9"/>
      <c r="Z651" s="9"/>
    </row>
    <row r="652" spans="1:26">
      <c r="A652" s="9"/>
      <c r="B652" s="283"/>
      <c r="C652" s="9"/>
      <c r="D652" s="9"/>
      <c r="E652" s="296"/>
      <c r="F652" s="296"/>
      <c r="G652" s="285"/>
      <c r="H652" s="293"/>
      <c r="I652" s="284"/>
      <c r="J652" s="293"/>
      <c r="K652" s="284"/>
      <c r="L652" s="286"/>
      <c r="M652" s="9"/>
      <c r="N652" s="9"/>
      <c r="O652" s="9"/>
      <c r="P652" s="9"/>
      <c r="Q652" s="9"/>
      <c r="R652" s="9"/>
      <c r="S652" s="9"/>
      <c r="T652" s="9"/>
      <c r="U652" s="9"/>
      <c r="V652" s="9"/>
      <c r="W652" s="9"/>
      <c r="X652" s="9"/>
      <c r="Y652" s="9"/>
      <c r="Z652" s="9"/>
    </row>
    <row r="653" spans="1:26">
      <c r="A653" s="9"/>
      <c r="B653" s="283"/>
      <c r="C653" s="9"/>
      <c r="D653" s="9"/>
      <c r="E653" s="296"/>
      <c r="F653" s="296"/>
      <c r="G653" s="285"/>
      <c r="H653" s="293"/>
      <c r="I653" s="284"/>
      <c r="J653" s="293"/>
      <c r="K653" s="284"/>
      <c r="L653" s="286"/>
      <c r="M653" s="9"/>
      <c r="N653" s="9"/>
      <c r="O653" s="9"/>
      <c r="P653" s="9"/>
      <c r="Q653" s="9"/>
      <c r="R653" s="9"/>
      <c r="S653" s="9"/>
      <c r="T653" s="9"/>
      <c r="U653" s="9"/>
      <c r="V653" s="9"/>
      <c r="W653" s="9"/>
      <c r="X653" s="9"/>
      <c r="Y653" s="9"/>
      <c r="Z653" s="9"/>
    </row>
    <row r="654" spans="1:26">
      <c r="A654" s="9"/>
      <c r="B654" s="283"/>
      <c r="C654" s="9"/>
      <c r="D654" s="9"/>
      <c r="E654" s="296"/>
      <c r="F654" s="296"/>
      <c r="G654" s="285"/>
      <c r="H654" s="293"/>
      <c r="I654" s="284"/>
      <c r="J654" s="293"/>
      <c r="K654" s="284"/>
      <c r="L654" s="286"/>
      <c r="M654" s="9"/>
      <c r="N654" s="9"/>
      <c r="O654" s="9"/>
      <c r="P654" s="9"/>
      <c r="Q654" s="9"/>
      <c r="R654" s="9"/>
      <c r="S654" s="9"/>
      <c r="T654" s="9"/>
      <c r="U654" s="9"/>
      <c r="V654" s="9"/>
      <c r="W654" s="9"/>
      <c r="X654" s="9"/>
      <c r="Y654" s="9"/>
      <c r="Z654" s="9"/>
    </row>
    <row r="655" spans="1:26">
      <c r="A655" s="9"/>
      <c r="B655" s="283"/>
      <c r="C655" s="9"/>
      <c r="D655" s="9"/>
      <c r="E655" s="296"/>
      <c r="F655" s="296"/>
      <c r="G655" s="285"/>
      <c r="H655" s="293"/>
      <c r="I655" s="284"/>
      <c r="J655" s="293"/>
      <c r="K655" s="284"/>
      <c r="L655" s="286"/>
      <c r="M655" s="9"/>
      <c r="N655" s="9"/>
      <c r="O655" s="9"/>
      <c r="P655" s="9"/>
      <c r="Q655" s="9"/>
      <c r="R655" s="9"/>
      <c r="S655" s="9"/>
      <c r="T655" s="9"/>
      <c r="U655" s="9"/>
      <c r="V655" s="9"/>
      <c r="W655" s="9"/>
      <c r="X655" s="9"/>
      <c r="Y655" s="9"/>
      <c r="Z655" s="9"/>
    </row>
    <row r="656" spans="1:26">
      <c r="A656" s="9"/>
      <c r="B656" s="283"/>
      <c r="C656" s="9"/>
      <c r="D656" s="9"/>
      <c r="E656" s="296"/>
      <c r="F656" s="296"/>
      <c r="G656" s="285"/>
      <c r="H656" s="293"/>
      <c r="I656" s="284"/>
      <c r="J656" s="293"/>
      <c r="K656" s="284"/>
      <c r="L656" s="286"/>
      <c r="M656" s="9"/>
      <c r="N656" s="9"/>
      <c r="O656" s="9"/>
      <c r="P656" s="9"/>
      <c r="Q656" s="9"/>
      <c r="R656" s="9"/>
      <c r="S656" s="9"/>
      <c r="T656" s="9"/>
      <c r="U656" s="9"/>
      <c r="V656" s="9"/>
      <c r="W656" s="9"/>
      <c r="X656" s="9"/>
      <c r="Y656" s="9"/>
      <c r="Z656" s="9"/>
    </row>
    <row r="657" spans="1:26">
      <c r="A657" s="9"/>
      <c r="B657" s="283"/>
      <c r="C657" s="9"/>
      <c r="D657" s="9"/>
      <c r="E657" s="296"/>
      <c r="F657" s="296"/>
      <c r="G657" s="285"/>
      <c r="H657" s="293"/>
      <c r="I657" s="284"/>
      <c r="J657" s="293"/>
      <c r="K657" s="284"/>
      <c r="L657" s="286"/>
      <c r="M657" s="9"/>
      <c r="N657" s="9"/>
      <c r="O657" s="9"/>
      <c r="P657" s="9"/>
      <c r="Q657" s="9"/>
      <c r="R657" s="9"/>
      <c r="S657" s="9"/>
      <c r="T657" s="9"/>
      <c r="U657" s="9"/>
      <c r="V657" s="9"/>
      <c r="W657" s="9"/>
      <c r="X657" s="9"/>
      <c r="Y657" s="9"/>
      <c r="Z657" s="9"/>
    </row>
    <row r="658" spans="1:26">
      <c r="A658" s="9"/>
      <c r="B658" s="283"/>
      <c r="C658" s="9"/>
      <c r="D658" s="9"/>
      <c r="E658" s="296"/>
      <c r="F658" s="296"/>
      <c r="G658" s="285"/>
      <c r="H658" s="293"/>
      <c r="I658" s="284"/>
      <c r="J658" s="293"/>
      <c r="K658" s="284"/>
      <c r="L658" s="286"/>
      <c r="M658" s="9"/>
      <c r="N658" s="9"/>
      <c r="O658" s="9"/>
      <c r="P658" s="9"/>
      <c r="Q658" s="9"/>
      <c r="R658" s="9"/>
      <c r="S658" s="9"/>
      <c r="T658" s="9"/>
      <c r="U658" s="9"/>
      <c r="V658" s="9"/>
      <c r="W658" s="9"/>
      <c r="X658" s="9"/>
      <c r="Y658" s="9"/>
      <c r="Z658" s="9"/>
    </row>
    <row r="659" spans="1:26">
      <c r="A659" s="9"/>
      <c r="B659" s="283"/>
      <c r="C659" s="9"/>
      <c r="D659" s="9"/>
      <c r="E659" s="296"/>
      <c r="F659" s="296"/>
      <c r="G659" s="285"/>
      <c r="H659" s="293"/>
      <c r="I659" s="284"/>
      <c r="J659" s="293"/>
      <c r="K659" s="284"/>
      <c r="L659" s="286"/>
      <c r="M659" s="9"/>
      <c r="N659" s="9"/>
      <c r="O659" s="9"/>
      <c r="P659" s="9"/>
      <c r="Q659" s="9"/>
      <c r="R659" s="9"/>
      <c r="S659" s="9"/>
      <c r="T659" s="9"/>
      <c r="U659" s="9"/>
      <c r="V659" s="9"/>
      <c r="W659" s="9"/>
      <c r="X659" s="9"/>
      <c r="Y659" s="9"/>
      <c r="Z659" s="9"/>
    </row>
  </sheetData>
  <mergeCells count="120">
    <mergeCell ref="C23:C32"/>
    <mergeCell ref="H23:H32"/>
    <mergeCell ref="C36:D36"/>
    <mergeCell ref="H36:I36"/>
    <mergeCell ref="C37:C46"/>
    <mergeCell ref="H37:H46"/>
    <mergeCell ref="C8:D8"/>
    <mergeCell ref="H8:I8"/>
    <mergeCell ref="C9:C18"/>
    <mergeCell ref="H9:H18"/>
    <mergeCell ref="C22:D22"/>
    <mergeCell ref="H22:I22"/>
    <mergeCell ref="C65:C74"/>
    <mergeCell ref="H65:H74"/>
    <mergeCell ref="C78:D78"/>
    <mergeCell ref="H78:I78"/>
    <mergeCell ref="C79:C88"/>
    <mergeCell ref="H79:H88"/>
    <mergeCell ref="C50:D50"/>
    <mergeCell ref="H50:I50"/>
    <mergeCell ref="C51:C60"/>
    <mergeCell ref="H51:H60"/>
    <mergeCell ref="C64:D64"/>
    <mergeCell ref="H64:I64"/>
    <mergeCell ref="C107:C116"/>
    <mergeCell ref="H107:H116"/>
    <mergeCell ref="C120:D120"/>
    <mergeCell ref="H120:I120"/>
    <mergeCell ref="C121:C130"/>
    <mergeCell ref="H121:H130"/>
    <mergeCell ref="C92:D92"/>
    <mergeCell ref="H92:I92"/>
    <mergeCell ref="C93:C102"/>
    <mergeCell ref="H93:H102"/>
    <mergeCell ref="C106:D106"/>
    <mergeCell ref="H106:I106"/>
    <mergeCell ref="C149:C158"/>
    <mergeCell ref="H149:H158"/>
    <mergeCell ref="C162:D162"/>
    <mergeCell ref="H162:I162"/>
    <mergeCell ref="C163:C172"/>
    <mergeCell ref="H163:H172"/>
    <mergeCell ref="C134:D134"/>
    <mergeCell ref="H134:I134"/>
    <mergeCell ref="C135:C144"/>
    <mergeCell ref="H135:H144"/>
    <mergeCell ref="C148:D148"/>
    <mergeCell ref="H148:I148"/>
    <mergeCell ref="C191:C200"/>
    <mergeCell ref="H191:H200"/>
    <mergeCell ref="C204:D204"/>
    <mergeCell ref="H204:I204"/>
    <mergeCell ref="C205:C214"/>
    <mergeCell ref="H205:H214"/>
    <mergeCell ref="C176:D176"/>
    <mergeCell ref="H176:I176"/>
    <mergeCell ref="C177:C186"/>
    <mergeCell ref="H177:H186"/>
    <mergeCell ref="C190:D190"/>
    <mergeCell ref="H190:I190"/>
    <mergeCell ref="C233:C242"/>
    <mergeCell ref="H233:H242"/>
    <mergeCell ref="C246:D246"/>
    <mergeCell ref="H246:I246"/>
    <mergeCell ref="C247:C256"/>
    <mergeCell ref="H247:H256"/>
    <mergeCell ref="C218:D218"/>
    <mergeCell ref="H218:I218"/>
    <mergeCell ref="C219:C228"/>
    <mergeCell ref="H219:H228"/>
    <mergeCell ref="C232:D232"/>
    <mergeCell ref="H232:I232"/>
    <mergeCell ref="C275:C284"/>
    <mergeCell ref="H275:H284"/>
    <mergeCell ref="C288:D288"/>
    <mergeCell ref="H288:I288"/>
    <mergeCell ref="C289:C298"/>
    <mergeCell ref="H289:H298"/>
    <mergeCell ref="C260:D260"/>
    <mergeCell ref="H260:I260"/>
    <mergeCell ref="C261:C270"/>
    <mergeCell ref="H261:H270"/>
    <mergeCell ref="C274:D274"/>
    <mergeCell ref="H274:I274"/>
    <mergeCell ref="C317:C326"/>
    <mergeCell ref="H317:H326"/>
    <mergeCell ref="C330:D330"/>
    <mergeCell ref="H330:I330"/>
    <mergeCell ref="C331:C340"/>
    <mergeCell ref="H331:H340"/>
    <mergeCell ref="C302:D302"/>
    <mergeCell ref="H302:I302"/>
    <mergeCell ref="C303:C312"/>
    <mergeCell ref="H303:H312"/>
    <mergeCell ref="C316:D316"/>
    <mergeCell ref="H316:I316"/>
    <mergeCell ref="C359:C368"/>
    <mergeCell ref="H359:H368"/>
    <mergeCell ref="C372:D372"/>
    <mergeCell ref="H372:I372"/>
    <mergeCell ref="C373:C382"/>
    <mergeCell ref="H373:H382"/>
    <mergeCell ref="C344:D344"/>
    <mergeCell ref="H344:I344"/>
    <mergeCell ref="C345:C354"/>
    <mergeCell ref="H345:H354"/>
    <mergeCell ref="C358:D358"/>
    <mergeCell ref="H358:I358"/>
    <mergeCell ref="C401:C410"/>
    <mergeCell ref="H401:H410"/>
    <mergeCell ref="C414:D414"/>
    <mergeCell ref="H414:I414"/>
    <mergeCell ref="C415:C424"/>
    <mergeCell ref="H415:H424"/>
    <mergeCell ref="C386:D386"/>
    <mergeCell ref="H386:I386"/>
    <mergeCell ref="C387:C396"/>
    <mergeCell ref="H387:H396"/>
    <mergeCell ref="C400:D400"/>
    <mergeCell ref="H400:I40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224</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'Tax value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2009-05-13T02:03:57Z</cp:lastPrinted>
  <dcterms:created xsi:type="dcterms:W3CDTF">2000-02-13T23:07:37Z</dcterms:created>
  <dcterms:modified xsi:type="dcterms:W3CDTF">2015-10-08T22:03:41Z</dcterms:modified>
</cp:coreProperties>
</file>