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4665" firstSheet="2" activeTab="8"/>
  </bookViews>
  <sheets>
    <sheet name="CPI" sheetId="18" r:id="rId1"/>
    <sheet name="Preliminary decision &gt;&gt;&gt;" sheetId="61" r:id="rId2"/>
    <sheet name="PD summary" sheetId="50" r:id="rId3"/>
    <sheet name="PD meters" sheetId="60" r:id="rId4"/>
    <sheet name="PD hardware unit costs" sheetId="24" r:id="rId5"/>
    <sheet name="PD IT" sheetId="38" r:id="rId6"/>
    <sheet name="PD comms" sheetId="44" r:id="rId7"/>
    <sheet name="Final decision &gt;&gt;&gt;" sheetId="62" r:id="rId8"/>
    <sheet name="FD CAPEX" sheetId="65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Base_Year" localSheetId="8">'[1]Lookup|Tables'!$E$42</definedName>
    <definedName name="Base_Year">'[1]Lookup|Tables'!$E$42</definedName>
    <definedName name="Input_Dollar_Basis" localSheetId="8">'[1]Input|Escalators'!$C$27</definedName>
    <definedName name="Input_Dollar_Basis">'[1]Input|Escalators'!$C$27</definedName>
  </definedNames>
  <calcPr calcId="145621"/>
</workbook>
</file>

<file path=xl/calcChain.xml><?xml version="1.0" encoding="utf-8"?>
<calcChain xmlns="http://schemas.openxmlformats.org/spreadsheetml/2006/main">
  <c r="E172" i="65" l="1"/>
  <c r="F172" i="65"/>
  <c r="G172" i="65"/>
  <c r="H172" i="65"/>
  <c r="D172" i="65"/>
  <c r="E177" i="65" l="1"/>
  <c r="N177" i="65" s="1"/>
  <c r="F177" i="65"/>
  <c r="O177" i="65" s="1"/>
  <c r="G177" i="65"/>
  <c r="P177" i="65" s="1"/>
  <c r="H177" i="65"/>
  <c r="Q177" i="65" s="1"/>
  <c r="D177" i="65"/>
  <c r="M177" i="65" s="1"/>
  <c r="E176" i="65"/>
  <c r="N176" i="65" s="1"/>
  <c r="F176" i="65"/>
  <c r="O176" i="65" s="1"/>
  <c r="G176" i="65"/>
  <c r="P176" i="65" s="1"/>
  <c r="H176" i="65"/>
  <c r="Q176" i="65" s="1"/>
  <c r="D176" i="65"/>
  <c r="M176" i="65" s="1"/>
  <c r="D72" i="65" l="1"/>
  <c r="E72" i="65"/>
  <c r="F72" i="65"/>
  <c r="G72" i="65"/>
  <c r="H72" i="65"/>
  <c r="M72" i="65"/>
  <c r="N72" i="65"/>
  <c r="O72" i="65"/>
  <c r="P72" i="65"/>
  <c r="Q72" i="65"/>
  <c r="D73" i="65"/>
  <c r="D83" i="65" s="1"/>
  <c r="D126" i="65" s="1"/>
  <c r="E73" i="65"/>
  <c r="F73" i="65"/>
  <c r="F83" i="65" s="1"/>
  <c r="F126" i="65" s="1"/>
  <c r="G73" i="65"/>
  <c r="G83" i="65" s="1"/>
  <c r="G126" i="65" s="1"/>
  <c r="H73" i="65"/>
  <c r="H83" i="65" s="1"/>
  <c r="H126" i="65" s="1"/>
  <c r="M73" i="65"/>
  <c r="N73" i="65"/>
  <c r="O73" i="65"/>
  <c r="P73" i="65"/>
  <c r="Q73" i="65"/>
  <c r="D74" i="65"/>
  <c r="D84" i="65" s="1"/>
  <c r="D127" i="65" s="1"/>
  <c r="E74" i="65"/>
  <c r="E84" i="65" s="1"/>
  <c r="E127" i="65" s="1"/>
  <c r="F74" i="65"/>
  <c r="F84" i="65" s="1"/>
  <c r="F127" i="65" s="1"/>
  <c r="G74" i="65"/>
  <c r="G84" i="65" s="1"/>
  <c r="G127" i="65" s="1"/>
  <c r="H74" i="65"/>
  <c r="H84" i="65" s="1"/>
  <c r="H127" i="65" s="1"/>
  <c r="M74" i="65"/>
  <c r="N74" i="65"/>
  <c r="O74" i="65"/>
  <c r="P74" i="65"/>
  <c r="Q74" i="65"/>
  <c r="D75" i="65"/>
  <c r="D85" i="65" s="1"/>
  <c r="D128" i="65" s="1"/>
  <c r="E75" i="65"/>
  <c r="E85" i="65" s="1"/>
  <c r="E128" i="65" s="1"/>
  <c r="F75" i="65"/>
  <c r="F85" i="65" s="1"/>
  <c r="F128" i="65" s="1"/>
  <c r="G75" i="65"/>
  <c r="G85" i="65" s="1"/>
  <c r="G128" i="65" s="1"/>
  <c r="H75" i="65"/>
  <c r="H85" i="65" s="1"/>
  <c r="H128" i="65" s="1"/>
  <c r="M75" i="65"/>
  <c r="N75" i="65"/>
  <c r="O75" i="65"/>
  <c r="P75" i="65"/>
  <c r="Q75" i="65"/>
  <c r="D76" i="65"/>
  <c r="D86" i="65" s="1"/>
  <c r="D129" i="65" s="1"/>
  <c r="E76" i="65"/>
  <c r="E86" i="65" s="1"/>
  <c r="E129" i="65" s="1"/>
  <c r="F76" i="65"/>
  <c r="F86" i="65" s="1"/>
  <c r="F129" i="65" s="1"/>
  <c r="G76" i="65"/>
  <c r="G86" i="65" s="1"/>
  <c r="G129" i="65" s="1"/>
  <c r="H76" i="65"/>
  <c r="H86" i="65" s="1"/>
  <c r="H129" i="65" s="1"/>
  <c r="M76" i="65"/>
  <c r="N76" i="65"/>
  <c r="O76" i="65"/>
  <c r="P76" i="65"/>
  <c r="Q76" i="65"/>
  <c r="D77" i="65"/>
  <c r="D87" i="65" s="1"/>
  <c r="D130" i="65" s="1"/>
  <c r="E77" i="65"/>
  <c r="E87" i="65" s="1"/>
  <c r="E130" i="65" s="1"/>
  <c r="F77" i="65"/>
  <c r="F87" i="65" s="1"/>
  <c r="F130" i="65" s="1"/>
  <c r="G77" i="65"/>
  <c r="G87" i="65" s="1"/>
  <c r="G130" i="65" s="1"/>
  <c r="H77" i="65"/>
  <c r="H87" i="65" s="1"/>
  <c r="H130" i="65" s="1"/>
  <c r="M77" i="65"/>
  <c r="N77" i="65"/>
  <c r="O77" i="65"/>
  <c r="P77" i="65"/>
  <c r="Q77" i="65"/>
  <c r="D82" i="65"/>
  <c r="D125" i="65" s="1"/>
  <c r="E82" i="65"/>
  <c r="E125" i="65" s="1"/>
  <c r="F82" i="65"/>
  <c r="F125" i="65" s="1"/>
  <c r="G82" i="65"/>
  <c r="G125" i="65" s="1"/>
  <c r="H82" i="65"/>
  <c r="H125" i="65" s="1"/>
  <c r="E83" i="65"/>
  <c r="E126" i="65" s="1"/>
  <c r="M98" i="65"/>
  <c r="N98" i="65"/>
  <c r="O98" i="65"/>
  <c r="P98" i="65"/>
  <c r="Q98" i="65"/>
  <c r="M99" i="65"/>
  <c r="N99" i="65"/>
  <c r="O99" i="65"/>
  <c r="P99" i="65"/>
  <c r="Q99" i="65"/>
  <c r="M100" i="65"/>
  <c r="N100" i="65"/>
  <c r="O100" i="65"/>
  <c r="P100" i="65"/>
  <c r="Q100" i="65"/>
  <c r="M101" i="65"/>
  <c r="N101" i="65"/>
  <c r="O101" i="65"/>
  <c r="P101" i="65"/>
  <c r="Q101" i="65"/>
  <c r="M102" i="65"/>
  <c r="N102" i="65"/>
  <c r="O102" i="65"/>
  <c r="P102" i="65"/>
  <c r="Q102" i="65"/>
  <c r="M103" i="65"/>
  <c r="N103" i="65"/>
  <c r="O103" i="65"/>
  <c r="P103" i="65"/>
  <c r="Q103" i="65"/>
  <c r="D104" i="65"/>
  <c r="E104" i="65"/>
  <c r="F104" i="65"/>
  <c r="G104" i="65"/>
  <c r="H104" i="65"/>
  <c r="D114" i="65"/>
  <c r="D136" i="65" s="1"/>
  <c r="M136" i="65" s="1"/>
  <c r="E114" i="65"/>
  <c r="E136" i="65" s="1"/>
  <c r="F114" i="65"/>
  <c r="F136" i="65" s="1"/>
  <c r="G114" i="65"/>
  <c r="G136" i="65" s="1"/>
  <c r="H114" i="65"/>
  <c r="H136" i="65" s="1"/>
  <c r="B154" i="65"/>
  <c r="D154" i="65"/>
  <c r="M154" i="65" s="1"/>
  <c r="E154" i="65"/>
  <c r="N154" i="65" s="1"/>
  <c r="F154" i="65"/>
  <c r="O154" i="65" s="1"/>
  <c r="G154" i="65"/>
  <c r="P154" i="65" s="1"/>
  <c r="H154" i="65"/>
  <c r="Q154" i="65" s="1"/>
  <c r="B155" i="65"/>
  <c r="D155" i="65"/>
  <c r="M155" i="65" s="1"/>
  <c r="E155" i="65"/>
  <c r="N155" i="65" s="1"/>
  <c r="F155" i="65"/>
  <c r="O155" i="65" s="1"/>
  <c r="G155" i="65"/>
  <c r="P155" i="65" s="1"/>
  <c r="H155" i="65"/>
  <c r="Q155" i="65" s="1"/>
  <c r="N55" i="65"/>
  <c r="O55" i="65"/>
  <c r="P55" i="65"/>
  <c r="Q55" i="65"/>
  <c r="M55" i="65"/>
  <c r="M157" i="65" l="1"/>
  <c r="M190" i="65" s="1"/>
  <c r="M16" i="65" s="1"/>
  <c r="Q157" i="65"/>
  <c r="Q190" i="65" s="1"/>
  <c r="Q16" i="65" s="1"/>
  <c r="O157" i="65"/>
  <c r="O190" i="65" s="1"/>
  <c r="O16" i="65" s="1"/>
  <c r="P157" i="65"/>
  <c r="P190" i="65" s="1"/>
  <c r="P16" i="65" s="1"/>
  <c r="N157" i="65"/>
  <c r="N190" i="65" s="1"/>
  <c r="N16" i="65" s="1"/>
  <c r="G139" i="65"/>
  <c r="P136" i="65"/>
  <c r="P139" i="65" s="1"/>
  <c r="P189" i="65" s="1"/>
  <c r="P15" i="65" s="1"/>
  <c r="E139" i="65"/>
  <c r="N136" i="65"/>
  <c r="N139" i="65" s="1"/>
  <c r="N189" i="65" s="1"/>
  <c r="N15" i="65" s="1"/>
  <c r="H191" i="65"/>
  <c r="Q172" i="65"/>
  <c r="Q191" i="65" s="1"/>
  <c r="Q17" i="65" s="1"/>
  <c r="F191" i="65"/>
  <c r="O172" i="65"/>
  <c r="O191" i="65" s="1"/>
  <c r="O17" i="65" s="1"/>
  <c r="H139" i="65"/>
  <c r="Q136" i="65"/>
  <c r="Q139" i="65" s="1"/>
  <c r="Q189" i="65" s="1"/>
  <c r="Q15" i="65" s="1"/>
  <c r="Q18" i="65" s="1"/>
  <c r="F139" i="65"/>
  <c r="O136" i="65"/>
  <c r="O139" i="65" s="1"/>
  <c r="O189" i="65" s="1"/>
  <c r="O15" i="65" s="1"/>
  <c r="O18" i="65" s="1"/>
  <c r="D191" i="65"/>
  <c r="D17" i="65" s="1"/>
  <c r="M172" i="65"/>
  <c r="M191" i="65" s="1"/>
  <c r="M17" i="65" s="1"/>
  <c r="G191" i="65"/>
  <c r="G17" i="65" s="1"/>
  <c r="P172" i="65"/>
  <c r="P191" i="65" s="1"/>
  <c r="P17" i="65" s="1"/>
  <c r="E191" i="65"/>
  <c r="N172" i="65"/>
  <c r="N191" i="65" s="1"/>
  <c r="N17" i="65" s="1"/>
  <c r="E17" i="65"/>
  <c r="H17" i="65"/>
  <c r="F17" i="65"/>
  <c r="G189" i="65"/>
  <c r="E189" i="65"/>
  <c r="H189" i="65"/>
  <c r="F189" i="65"/>
  <c r="N104" i="65"/>
  <c r="Q82" i="65"/>
  <c r="Q125" i="65" s="1"/>
  <c r="O82" i="65"/>
  <c r="O125" i="65" s="1"/>
  <c r="M82" i="65"/>
  <c r="M125" i="65" s="1"/>
  <c r="H157" i="65"/>
  <c r="H190" i="65" s="1"/>
  <c r="F157" i="65"/>
  <c r="F190" i="65" s="1"/>
  <c r="D157" i="65"/>
  <c r="D190" i="65" s="1"/>
  <c r="G157" i="65"/>
  <c r="G190" i="65" s="1"/>
  <c r="E157" i="65"/>
  <c r="E190" i="65" s="1"/>
  <c r="P104" i="65"/>
  <c r="Q104" i="65"/>
  <c r="O104" i="65"/>
  <c r="M104" i="65"/>
  <c r="P82" i="65"/>
  <c r="P125" i="65" s="1"/>
  <c r="N82" i="65"/>
  <c r="N125" i="65" s="1"/>
  <c r="D131" i="65"/>
  <c r="D139" i="65" s="1"/>
  <c r="D189" i="65" s="1"/>
  <c r="Q87" i="65"/>
  <c r="Q130" i="65" s="1"/>
  <c r="O87" i="65"/>
  <c r="O130" i="65" s="1"/>
  <c r="M87" i="65"/>
  <c r="M130" i="65" s="1"/>
  <c r="Q86" i="65"/>
  <c r="Q129" i="65" s="1"/>
  <c r="O86" i="65"/>
  <c r="O129" i="65" s="1"/>
  <c r="M86" i="65"/>
  <c r="M129" i="65" s="1"/>
  <c r="Q85" i="65"/>
  <c r="Q128" i="65" s="1"/>
  <c r="O85" i="65"/>
  <c r="O128" i="65" s="1"/>
  <c r="M85" i="65"/>
  <c r="M128" i="65" s="1"/>
  <c r="Q84" i="65"/>
  <c r="Q127" i="65" s="1"/>
  <c r="O84" i="65"/>
  <c r="O127" i="65" s="1"/>
  <c r="M84" i="65"/>
  <c r="M127" i="65" s="1"/>
  <c r="Q83" i="65"/>
  <c r="Q126" i="65" s="1"/>
  <c r="O83" i="65"/>
  <c r="O126" i="65" s="1"/>
  <c r="M83" i="65"/>
  <c r="M126" i="65" s="1"/>
  <c r="P87" i="65"/>
  <c r="P130" i="65" s="1"/>
  <c r="N87" i="65"/>
  <c r="N130" i="65" s="1"/>
  <c r="P86" i="65"/>
  <c r="P129" i="65" s="1"/>
  <c r="N86" i="65"/>
  <c r="N129" i="65" s="1"/>
  <c r="P85" i="65"/>
  <c r="P128" i="65" s="1"/>
  <c r="N85" i="65"/>
  <c r="N128" i="65" s="1"/>
  <c r="P84" i="65"/>
  <c r="P127" i="65" s="1"/>
  <c r="N84" i="65"/>
  <c r="N127" i="65" s="1"/>
  <c r="P83" i="65"/>
  <c r="P126" i="65" s="1"/>
  <c r="N83" i="65"/>
  <c r="N126" i="65" s="1"/>
  <c r="Q45" i="65"/>
  <c r="P45" i="65"/>
  <c r="O45" i="65"/>
  <c r="N45" i="65"/>
  <c r="M45" i="65"/>
  <c r="B45" i="65"/>
  <c r="Q44" i="65"/>
  <c r="P44" i="65"/>
  <c r="O44" i="65"/>
  <c r="N44" i="65"/>
  <c r="M44" i="65"/>
  <c r="B44" i="65"/>
  <c r="Q43" i="65"/>
  <c r="P43" i="65"/>
  <c r="O43" i="65"/>
  <c r="N43" i="65"/>
  <c r="M43" i="65"/>
  <c r="B43" i="65"/>
  <c r="Q39" i="65"/>
  <c r="P39" i="65"/>
  <c r="O39" i="65"/>
  <c r="N39" i="65"/>
  <c r="M39" i="65"/>
  <c r="B39" i="65"/>
  <c r="Q38" i="65"/>
  <c r="P38" i="65"/>
  <c r="O38" i="65"/>
  <c r="N38" i="65"/>
  <c r="M38" i="65"/>
  <c r="B38" i="65"/>
  <c r="Q37" i="65"/>
  <c r="P37" i="65"/>
  <c r="O37" i="65"/>
  <c r="N37" i="65"/>
  <c r="M37" i="65"/>
  <c r="B37" i="65"/>
  <c r="N18" i="65" l="1"/>
  <c r="P18" i="65"/>
  <c r="M131" i="65"/>
  <c r="M139" i="65" s="1"/>
  <c r="M189" i="65" s="1"/>
  <c r="M15" i="65" s="1"/>
  <c r="M18" i="65" s="1"/>
  <c r="E16" i="65"/>
  <c r="D16" i="65"/>
  <c r="H16" i="65"/>
  <c r="H15" i="65"/>
  <c r="G15" i="65"/>
  <c r="D15" i="65"/>
  <c r="G16" i="65"/>
  <c r="F16" i="65"/>
  <c r="F15" i="65"/>
  <c r="E15" i="65"/>
  <c r="E18" i="65" s="1"/>
  <c r="F192" i="65"/>
  <c r="G192" i="65"/>
  <c r="E192" i="65"/>
  <c r="H192" i="65"/>
  <c r="R189" i="65"/>
  <c r="R15" i="65" s="1"/>
  <c r="F18" i="65" l="1"/>
  <c r="G18" i="65"/>
  <c r="H18" i="65"/>
  <c r="D18" i="65"/>
  <c r="P192" i="65"/>
  <c r="Q192" i="65"/>
  <c r="I190" i="65"/>
  <c r="I16" i="65" s="1"/>
  <c r="R190" i="65" l="1"/>
  <c r="R16" i="65" s="1"/>
  <c r="M192" i="65"/>
  <c r="O192" i="65"/>
  <c r="N192" i="65"/>
  <c r="R191" i="65"/>
  <c r="R17" i="65" s="1"/>
  <c r="I191" i="65"/>
  <c r="I17" i="65" s="1"/>
  <c r="R18" i="65" l="1"/>
  <c r="R192" i="65"/>
  <c r="O4" i="60" l="1"/>
  <c r="O3" i="60"/>
  <c r="C4" i="60"/>
  <c r="C3" i="60"/>
  <c r="B4" i="60"/>
  <c r="B3" i="60"/>
  <c r="J21" i="18" l="1"/>
  <c r="K21" i="18" s="1"/>
  <c r="L21" i="18" s="1"/>
  <c r="M21" i="18" s="1"/>
  <c r="N21" i="18" s="1"/>
  <c r="S3" i="60" l="1"/>
  <c r="S4" i="60"/>
  <c r="S6" i="60"/>
  <c r="F17" i="50" s="1"/>
  <c r="R3" i="60"/>
  <c r="R4" i="60"/>
  <c r="R6" i="60" s="1"/>
  <c r="E17" i="50" s="1"/>
  <c r="Q3" i="60"/>
  <c r="Q4" i="60"/>
  <c r="Q6" i="60"/>
  <c r="D17" i="50" s="1"/>
  <c r="P3" i="60"/>
  <c r="P4" i="60"/>
  <c r="P6" i="60" s="1"/>
  <c r="C17" i="50" s="1"/>
  <c r="O6" i="60"/>
  <c r="B17" i="50" s="1"/>
  <c r="C19" i="50"/>
  <c r="D19" i="50"/>
  <c r="E19" i="50"/>
  <c r="F19" i="50"/>
  <c r="B19" i="50"/>
  <c r="B18" i="50"/>
  <c r="C18" i="50"/>
  <c r="D18" i="50"/>
  <c r="E18" i="50"/>
  <c r="F18" i="50"/>
  <c r="H18" i="50"/>
  <c r="H19" i="50"/>
  <c r="B5" i="50"/>
  <c r="B11" i="50"/>
  <c r="C5" i="50"/>
  <c r="C11" i="50"/>
  <c r="D5" i="50"/>
  <c r="D11" i="50"/>
  <c r="E5" i="50"/>
  <c r="E11" i="50"/>
  <c r="F5" i="50"/>
  <c r="F11" i="50"/>
  <c r="B12" i="50"/>
  <c r="C12" i="50"/>
  <c r="D12" i="50"/>
  <c r="E12" i="50"/>
  <c r="F12" i="50"/>
  <c r="H12" i="50"/>
  <c r="B13" i="50"/>
  <c r="C13" i="50"/>
  <c r="D13" i="50"/>
  <c r="E13" i="50"/>
  <c r="F13" i="50"/>
  <c r="H13" i="50"/>
  <c r="B7" i="50"/>
  <c r="C7" i="50"/>
  <c r="D7" i="50"/>
  <c r="E7" i="50"/>
  <c r="F7" i="50"/>
  <c r="H7" i="50"/>
  <c r="B6" i="50"/>
  <c r="C6" i="50"/>
  <c r="D6" i="50"/>
  <c r="E6" i="50"/>
  <c r="F6" i="50"/>
  <c r="H5" i="50"/>
  <c r="K18" i="38"/>
  <c r="K17" i="38"/>
  <c r="G18" i="38"/>
  <c r="H18" i="38"/>
  <c r="I18" i="38"/>
  <c r="J18" i="38"/>
  <c r="F18" i="38"/>
  <c r="F6" i="38"/>
  <c r="G6" i="38"/>
  <c r="H6" i="38"/>
  <c r="I6" i="38"/>
  <c r="J6" i="38"/>
  <c r="F7" i="38"/>
  <c r="G7" i="38"/>
  <c r="H7" i="38"/>
  <c r="I7" i="38"/>
  <c r="J7" i="38"/>
  <c r="F8" i="38"/>
  <c r="G8" i="38"/>
  <c r="H8" i="38"/>
  <c r="I8" i="38"/>
  <c r="J8" i="38"/>
  <c r="F9" i="38"/>
  <c r="G9" i="38"/>
  <c r="H9" i="38"/>
  <c r="I9" i="38"/>
  <c r="J9" i="38"/>
  <c r="F10" i="38"/>
  <c r="G10" i="38"/>
  <c r="H10" i="38"/>
  <c r="I10" i="38"/>
  <c r="J10" i="38"/>
  <c r="F11" i="38"/>
  <c r="G11" i="38"/>
  <c r="H11" i="38"/>
  <c r="I11" i="38"/>
  <c r="J11" i="38"/>
  <c r="F12" i="38"/>
  <c r="G12" i="38"/>
  <c r="H12" i="38"/>
  <c r="I12" i="38"/>
  <c r="J12" i="38"/>
  <c r="F13" i="38"/>
  <c r="G13" i="38"/>
  <c r="H13" i="38"/>
  <c r="I13" i="38"/>
  <c r="J13" i="38"/>
  <c r="F14" i="38"/>
  <c r="G14" i="38"/>
  <c r="H14" i="38"/>
  <c r="I14" i="38"/>
  <c r="J14" i="38"/>
  <c r="F15" i="38"/>
  <c r="G15" i="38"/>
  <c r="H15" i="38"/>
  <c r="I15" i="38"/>
  <c r="J15" i="38"/>
  <c r="F16" i="38"/>
  <c r="G16" i="38"/>
  <c r="H16" i="38"/>
  <c r="I16" i="38"/>
  <c r="J16" i="38"/>
  <c r="F17" i="38"/>
  <c r="G17" i="38"/>
  <c r="H17" i="38"/>
  <c r="I17" i="38"/>
  <c r="J17" i="38"/>
  <c r="G5" i="38"/>
  <c r="H5" i="38"/>
  <c r="I5" i="38"/>
  <c r="J5" i="38"/>
  <c r="F5" i="38"/>
  <c r="B17" i="44"/>
  <c r="B15" i="44"/>
  <c r="B16" i="44"/>
  <c r="C15" i="44"/>
  <c r="C16" i="44"/>
  <c r="C17" i="44"/>
  <c r="D15" i="44"/>
  <c r="D16" i="44"/>
  <c r="D17" i="44"/>
  <c r="E15" i="44"/>
  <c r="E16" i="44"/>
  <c r="E17" i="44"/>
  <c r="F15" i="44"/>
  <c r="F16" i="44"/>
  <c r="F17" i="44"/>
  <c r="G17" i="44"/>
  <c r="G16" i="44"/>
  <c r="G15" i="44"/>
  <c r="C12" i="44"/>
  <c r="D12" i="44"/>
  <c r="E12" i="44"/>
  <c r="F12" i="44"/>
  <c r="B12" i="44"/>
  <c r="G11" i="44"/>
  <c r="G12" i="44"/>
  <c r="C11" i="44"/>
  <c r="D11" i="44"/>
  <c r="E11" i="44"/>
  <c r="F11" i="44"/>
  <c r="C10" i="44"/>
  <c r="D10" i="44"/>
  <c r="E10" i="44"/>
  <c r="F10" i="44"/>
  <c r="B10" i="44"/>
  <c r="B11" i="44"/>
  <c r="I11" i="44"/>
  <c r="F7" i="44"/>
  <c r="C5" i="44"/>
  <c r="C6" i="44"/>
  <c r="C7" i="44"/>
  <c r="B5" i="44"/>
  <c r="B6" i="44"/>
  <c r="B7" i="44"/>
  <c r="G6" i="44"/>
  <c r="D7" i="44"/>
  <c r="E7" i="44"/>
  <c r="G7" i="44"/>
  <c r="G5" i="44"/>
  <c r="B57" i="44"/>
  <c r="C57" i="44"/>
  <c r="D57" i="44"/>
  <c r="E57" i="44"/>
  <c r="F57" i="44"/>
  <c r="G57" i="44"/>
  <c r="G56" i="44"/>
  <c r="G55" i="44"/>
  <c r="G54" i="44"/>
  <c r="B51" i="44"/>
  <c r="C51" i="44"/>
  <c r="D51" i="44"/>
  <c r="E51" i="44"/>
  <c r="F51" i="44"/>
  <c r="G51" i="44"/>
  <c r="G50" i="44"/>
  <c r="G49" i="44"/>
  <c r="G48" i="44"/>
  <c r="B44" i="44"/>
  <c r="C44" i="44"/>
  <c r="D44" i="44"/>
  <c r="E44" i="44"/>
  <c r="F44" i="44"/>
  <c r="G44" i="44"/>
  <c r="I10" i="44"/>
  <c r="G10" i="44"/>
  <c r="L15" i="38"/>
  <c r="K15" i="38"/>
  <c r="O5" i="38"/>
  <c r="L17" i="38"/>
  <c r="O6" i="38"/>
  <c r="O7" i="38"/>
  <c r="P5" i="38"/>
  <c r="P6" i="38"/>
  <c r="P7" i="38"/>
  <c r="Q5" i="38"/>
  <c r="Q6" i="38"/>
  <c r="Q7" i="38"/>
  <c r="R5" i="38"/>
  <c r="R6" i="38"/>
  <c r="R7" i="38"/>
  <c r="S5" i="38"/>
  <c r="S6" i="38"/>
  <c r="S7" i="38"/>
  <c r="T7" i="38"/>
  <c r="T6" i="38"/>
  <c r="T5" i="38"/>
  <c r="L6" i="38"/>
  <c r="K6" i="38"/>
  <c r="L7" i="38"/>
  <c r="K7" i="38"/>
  <c r="L8" i="38"/>
  <c r="K8" i="38"/>
  <c r="L9" i="38"/>
  <c r="K9" i="38"/>
  <c r="L10" i="38"/>
  <c r="K10" i="38"/>
  <c r="L11" i="38"/>
  <c r="K11" i="38"/>
  <c r="L12" i="38"/>
  <c r="K12" i="38"/>
  <c r="L13" i="38"/>
  <c r="K13" i="38"/>
  <c r="L14" i="38"/>
  <c r="K14" i="38"/>
  <c r="L16" i="38"/>
  <c r="K16" i="38"/>
  <c r="L5" i="38"/>
  <c r="K5" i="38"/>
  <c r="B18" i="38"/>
  <c r="I22" i="18"/>
  <c r="H20" i="18"/>
  <c r="H22" i="18" s="1"/>
  <c r="G20" i="18" l="1"/>
  <c r="G22" i="18" s="1"/>
  <c r="H17" i="50"/>
  <c r="H20" i="50" s="1"/>
  <c r="H6" i="50"/>
  <c r="H11" i="50"/>
  <c r="F20" i="18" l="1"/>
  <c r="F22" i="18" s="1"/>
  <c r="E20" i="18"/>
  <c r="H8" i="50"/>
  <c r="H14" i="50"/>
  <c r="E22" i="18" l="1"/>
  <c r="D20" i="18"/>
  <c r="D22" i="18" l="1"/>
  <c r="C20" i="18"/>
  <c r="C22" i="18" s="1"/>
  <c r="I189" i="65"/>
  <c r="I15" i="65" s="1"/>
  <c r="I18" i="65" s="1"/>
  <c r="D192" i="65"/>
  <c r="I192" i="65" s="1"/>
  <c r="C21" i="65" l="1"/>
  <c r="C22" i="65"/>
  <c r="C4" i="65" l="1"/>
</calcChain>
</file>

<file path=xl/sharedStrings.xml><?xml version="1.0" encoding="utf-8"?>
<sst xmlns="http://schemas.openxmlformats.org/spreadsheetml/2006/main" count="272" uniqueCount="111">
  <si>
    <t>Remotely read interval meters &amp; transformers</t>
  </si>
  <si>
    <t>IT</t>
  </si>
  <si>
    <t>Communications</t>
  </si>
  <si>
    <t>Total</t>
  </si>
  <si>
    <t>United Energy</t>
  </si>
  <si>
    <t xml:space="preserve">Source: </t>
  </si>
  <si>
    <t>4 additional relays and 20 repeaters (inc hardware, installation and traffic management)</t>
  </si>
  <si>
    <t>RF strategic network planning and implementation</t>
  </si>
  <si>
    <t xml:space="preserve">source: UE reg proposal, revenue capped metering services - supporting paper, p. 28. </t>
  </si>
  <si>
    <t>AMI 3 Ph CT</t>
  </si>
  <si>
    <t xml:space="preserve">AMI 1Ph 1e </t>
  </si>
  <si>
    <t xml:space="preserve">AMI 1Ph 1e + contactor </t>
  </si>
  <si>
    <t xml:space="preserve">AMI 1Ph 2e + contactor </t>
  </si>
  <si>
    <t xml:space="preserve">AMI 3 Ph </t>
  </si>
  <si>
    <t xml:space="preserve">AMI 3 Ph + contactor </t>
  </si>
  <si>
    <t>Proposal</t>
  </si>
  <si>
    <t>Power of Choice - Metering Competition</t>
  </si>
  <si>
    <t>Application Change Requests (Factory)</t>
  </si>
  <si>
    <t>IT Infrastructure Refresh</t>
  </si>
  <si>
    <t>Itron Refresh</t>
  </si>
  <si>
    <t>Security Program (IT)</t>
  </si>
  <si>
    <t>Infrastructure Refresh - Client Device Lifecycle</t>
  </si>
  <si>
    <t>Infrastructure Refresh - Data Protection</t>
  </si>
  <si>
    <t>Infrastructure Refresh - Reporting Platform</t>
  </si>
  <si>
    <t>Infrastructure Refresh - Telephony</t>
  </si>
  <si>
    <t>Small Applications Refresh Program</t>
  </si>
  <si>
    <t>SSN UIQ Lifecycle Refresh</t>
  </si>
  <si>
    <t>WebMethods Refresh</t>
  </si>
  <si>
    <t>Meter Asset Management</t>
  </si>
  <si>
    <t>Preliminary Decision</t>
  </si>
  <si>
    <t>VIC</t>
  </si>
  <si>
    <t>CPI data</t>
  </si>
  <si>
    <t>Change on year earlier (Sep)</t>
  </si>
  <si>
    <t>Actual</t>
  </si>
  <si>
    <t>CPI index</t>
  </si>
  <si>
    <t>Index (full year)</t>
  </si>
  <si>
    <t xml:space="preserve">Index (half year) </t>
  </si>
  <si>
    <t>Meter type</t>
  </si>
  <si>
    <t>Source: UE Rev Capped Metering Services Supporting Paper, p. 23. table 8</t>
  </si>
  <si>
    <t>Preliminary decision</t>
  </si>
  <si>
    <t>AUD 2015</t>
  </si>
  <si>
    <t>Installation</t>
  </si>
  <si>
    <t>Hardware</t>
  </si>
  <si>
    <t>Meter Hardware</t>
  </si>
  <si>
    <t>Preliminary decision - Meter Hardware</t>
  </si>
  <si>
    <t xml:space="preserve">Source: United Energy, Revenue Capped Metering Services - Supporting Paper, p. 23, table 8 </t>
  </si>
  <si>
    <t>Meter hardware unit costs</t>
  </si>
  <si>
    <t>$ real 2015</t>
  </si>
  <si>
    <t>Proposal - AER cost allocation</t>
  </si>
  <si>
    <t>% of total project cost being allocated to ACS</t>
  </si>
  <si>
    <t>Proposal - UE cost allocation</t>
  </si>
  <si>
    <t xml:space="preserve">Preliminary Decision </t>
  </si>
  <si>
    <t>$ 2015, millions</t>
  </si>
  <si>
    <t>$, 2015, millions</t>
  </si>
  <si>
    <t>Proposal - United Energy's cost allocation</t>
  </si>
  <si>
    <t>Labour</t>
  </si>
  <si>
    <t>Meter purchase
volumes</t>
  </si>
  <si>
    <t>Proposal / Preliminary Decision</t>
  </si>
  <si>
    <t>Communications (accept)</t>
  </si>
  <si>
    <t>Meter capex - Preliminary Decision</t>
  </si>
  <si>
    <t>Installation (accept)</t>
  </si>
  <si>
    <t>United Energy, Revenue Capped Metering Services - Supporting Paper, p. 26, table 15</t>
  </si>
  <si>
    <t>Forecast</t>
  </si>
  <si>
    <t>CAPEX</t>
  </si>
  <si>
    <t>Revised proposal</t>
  </si>
  <si>
    <t>Approved</t>
  </si>
  <si>
    <t>Meters</t>
  </si>
  <si>
    <t>Mesh card and antenna</t>
  </si>
  <si>
    <t>Mesh card and antenna - additional for faults</t>
  </si>
  <si>
    <t>Total metering capex</t>
  </si>
  <si>
    <t>Inputs</t>
  </si>
  <si>
    <t>Proposed escalators</t>
  </si>
  <si>
    <t>Approved escalators</t>
  </si>
  <si>
    <t>Real escalations</t>
  </si>
  <si>
    <t>Labour cost escalation</t>
  </si>
  <si>
    <t>Materials cost escalation</t>
  </si>
  <si>
    <t>Contracts cost escalation</t>
  </si>
  <si>
    <t>Index</t>
  </si>
  <si>
    <t>Proposed meter hardware unit costs</t>
  </si>
  <si>
    <t>Approved meter hardware unit costs</t>
  </si>
  <si>
    <t>Meter supply rates</t>
  </si>
  <si>
    <t>US dollars</t>
  </si>
  <si>
    <t>AU dollars</t>
  </si>
  <si>
    <t>Proposed meter volumes</t>
  </si>
  <si>
    <t>Approved meter volumes</t>
  </si>
  <si>
    <t>Proposed meter capex</t>
  </si>
  <si>
    <t>Approved meter capex</t>
  </si>
  <si>
    <t>Proposed capex</t>
  </si>
  <si>
    <t>Meter installations</t>
  </si>
  <si>
    <t>Communications network</t>
  </si>
  <si>
    <t>FX rate</t>
  </si>
  <si>
    <t>Exchange rate with Secure</t>
  </si>
  <si>
    <t>Meter purchase volumes</t>
  </si>
  <si>
    <t>Proposed installation costs</t>
  </si>
  <si>
    <t xml:space="preserve">Preliminary decision </t>
  </si>
  <si>
    <t>Installation costs approved at prelim decision</t>
  </si>
  <si>
    <t>Proposed IT</t>
  </si>
  <si>
    <t>Approved IT</t>
  </si>
  <si>
    <t>Comms</t>
  </si>
  <si>
    <t>Communications (accepted in preliminary decision)</t>
  </si>
  <si>
    <t>Initial PTRM</t>
  </si>
  <si>
    <t>Revised PTRM</t>
  </si>
  <si>
    <t>Final decision</t>
  </si>
  <si>
    <t>Approved  capex</t>
  </si>
  <si>
    <t>Other PTRMs</t>
  </si>
  <si>
    <t>AER calculation</t>
  </si>
  <si>
    <t>AER calculations</t>
  </si>
  <si>
    <t>AER check 1</t>
  </si>
  <si>
    <t>AER check 2</t>
  </si>
  <si>
    <t>Percentage approved</t>
  </si>
  <si>
    <t>Difference from 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</si>
</sst>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(* #,##0_);_(* \(#,##0\);_(* &quot;-&quot;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0.0"/>
    <numFmt numFmtId="168" formatCode="_(#,##0_);\(#,##0\);_(&quot;-&quot;_)"/>
    <numFmt numFmtId="169" formatCode="_-* #,##0.0_-;\-* #,##0.0_-;_-* &quot;-&quot;??_-;_-@_-"/>
    <numFmt numFmtId="170" formatCode="0.0%"/>
    <numFmt numFmtId="171" formatCode="#,##0.0"/>
    <numFmt numFmtId="172" formatCode="0.000"/>
    <numFmt numFmtId="173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9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3" fillId="2" borderId="0" applyFont="0" applyBorder="0" applyAlignment="0">
      <alignment horizontal="right"/>
      <protection locked="0"/>
    </xf>
    <xf numFmtId="41" fontId="3" fillId="3" borderId="0" applyFont="0" applyBorder="0">
      <alignment horizontal="right"/>
      <protection locked="0"/>
    </xf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4" fillId="4" borderId="0"/>
    <xf numFmtId="0" fontId="3" fillId="0" borderId="0"/>
    <xf numFmtId="0" fontId="1" fillId="0" borderId="0"/>
    <xf numFmtId="0" fontId="4" fillId="6" borderId="0">
      <alignment horizontal="left" vertical="center"/>
      <protection locked="0"/>
    </xf>
    <xf numFmtId="0" fontId="5" fillId="5" borderId="0">
      <alignment vertical="center"/>
      <protection locked="0"/>
    </xf>
    <xf numFmtId="0" fontId="3" fillId="0" borderId="0" applyFill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8" fillId="0" borderId="1">
      <alignment horizontal="right" vertical="center"/>
      <protection locked="0"/>
    </xf>
    <xf numFmtId="4" fontId="8" fillId="7" borderId="16" applyNumberFormat="0" applyProtection="0">
      <alignment horizontal="left" vertical="center" indent="1"/>
    </xf>
    <xf numFmtId="165" fontId="2" fillId="0" borderId="0" applyFont="0" applyFill="0" applyBorder="0" applyAlignment="0" applyProtection="0"/>
    <xf numFmtId="0" fontId="11" fillId="0" borderId="0"/>
  </cellStyleXfs>
  <cellXfs count="120">
    <xf numFmtId="0" fontId="0" fillId="0" borderId="0" xfId="0"/>
    <xf numFmtId="0" fontId="6" fillId="0" borderId="0" xfId="0" applyFont="1"/>
    <xf numFmtId="0" fontId="0" fillId="0" borderId="0" xfId="0" applyFont="1"/>
    <xf numFmtId="167" fontId="0" fillId="0" borderId="0" xfId="0" applyNumberFormat="1"/>
    <xf numFmtId="9" fontId="0" fillId="0" borderId="0" xfId="0" applyNumberFormat="1"/>
    <xf numFmtId="0" fontId="7" fillId="0" borderId="0" xfId="0" applyFont="1"/>
    <xf numFmtId="166" fontId="0" fillId="0" borderId="0" xfId="18" applyNumberFormat="1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1" fontId="0" fillId="0" borderId="0" xfId="0" applyNumberFormat="1"/>
    <xf numFmtId="167" fontId="6" fillId="0" borderId="0" xfId="0" applyNumberFormat="1" applyFont="1"/>
    <xf numFmtId="166" fontId="0" fillId="0" borderId="0" xfId="0" applyNumberFormat="1"/>
    <xf numFmtId="166" fontId="0" fillId="0" borderId="0" xfId="18" applyNumberFormat="1" applyFont="1" applyAlignment="1">
      <alignment vertical="top"/>
    </xf>
    <xf numFmtId="2" fontId="0" fillId="0" borderId="0" xfId="0" applyNumberFormat="1"/>
    <xf numFmtId="0" fontId="0" fillId="0" borderId="0" xfId="0" applyBorder="1"/>
    <xf numFmtId="169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7" fillId="0" borderId="9" xfId="0" applyFont="1" applyBorder="1" applyAlignment="1">
      <alignment wrapText="1"/>
    </xf>
    <xf numFmtId="0" fontId="0" fillId="0" borderId="7" xfId="0" applyFont="1" applyBorder="1"/>
    <xf numFmtId="0" fontId="7" fillId="0" borderId="7" xfId="0" applyFont="1" applyBorder="1"/>
    <xf numFmtId="0" fontId="7" fillId="0" borderId="8" xfId="0" applyFont="1" applyBorder="1"/>
    <xf numFmtId="0" fontId="0" fillId="0" borderId="10" xfId="0" applyFont="1" applyBorder="1"/>
    <xf numFmtId="14" fontId="0" fillId="0" borderId="2" xfId="0" applyNumberFormat="1" applyFont="1" applyBorder="1" applyAlignment="1">
      <alignment horizontal="right"/>
    </xf>
    <xf numFmtId="14" fontId="0" fillId="0" borderId="2" xfId="0" applyNumberFormat="1" applyFont="1" applyBorder="1"/>
    <xf numFmtId="14" fontId="0" fillId="0" borderId="2" xfId="0" applyNumberFormat="1" applyFont="1" applyFill="1" applyBorder="1"/>
    <xf numFmtId="14" fontId="0" fillId="0" borderId="3" xfId="0" applyNumberFormat="1" applyFont="1" applyFill="1" applyBorder="1"/>
    <xf numFmtId="0" fontId="0" fillId="0" borderId="11" xfId="0" applyFont="1" applyBorder="1"/>
    <xf numFmtId="10" fontId="0" fillId="0" borderId="0" xfId="19" applyNumberFormat="1" applyFont="1" applyBorder="1"/>
    <xf numFmtId="0" fontId="0" fillId="0" borderId="0" xfId="0" applyFont="1" applyBorder="1"/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5" xfId="0" applyFont="1" applyBorder="1"/>
    <xf numFmtId="166" fontId="0" fillId="0" borderId="5" xfId="18" applyNumberFormat="1" applyFont="1" applyBorder="1" applyAlignment="1">
      <alignment vertical="top"/>
    </xf>
    <xf numFmtId="2" fontId="0" fillId="0" borderId="0" xfId="0" applyNumberFormat="1" applyFont="1" applyBorder="1"/>
    <xf numFmtId="2" fontId="0" fillId="0" borderId="0" xfId="19" applyNumberFormat="1" applyFont="1" applyBorder="1"/>
    <xf numFmtId="2" fontId="0" fillId="0" borderId="0" xfId="18" applyNumberFormat="1" applyFont="1" applyBorder="1"/>
    <xf numFmtId="0" fontId="0" fillId="0" borderId="13" xfId="0" applyFont="1" applyBorder="1"/>
    <xf numFmtId="2" fontId="0" fillId="0" borderId="15" xfId="0" applyNumberFormat="1" applyFont="1" applyBorder="1"/>
    <xf numFmtId="2" fontId="0" fillId="0" borderId="15" xfId="19" applyNumberFormat="1" applyFont="1" applyBorder="1"/>
    <xf numFmtId="2" fontId="0" fillId="0" borderId="14" xfId="19" applyNumberFormat="1" applyFont="1" applyBorder="1"/>
    <xf numFmtId="0" fontId="0" fillId="0" borderId="0" xfId="0" applyAlignment="1"/>
    <xf numFmtId="166" fontId="0" fillId="0" borderId="0" xfId="18" applyNumberFormat="1" applyFont="1" applyBorder="1"/>
    <xf numFmtId="0" fontId="7" fillId="0" borderId="0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Font="1" applyFill="1" applyBorder="1"/>
    <xf numFmtId="0" fontId="0" fillId="0" borderId="4" xfId="0" applyFont="1" applyFill="1" applyBorder="1"/>
    <xf numFmtId="1" fontId="0" fillId="0" borderId="0" xfId="0" applyNumberFormat="1" applyBorder="1"/>
    <xf numFmtId="0" fontId="10" fillId="0" borderId="0" xfId="0" applyFont="1"/>
    <xf numFmtId="165" fontId="0" fillId="0" borderId="0" xfId="0" applyNumberFormat="1"/>
    <xf numFmtId="0" fontId="7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9" fillId="0" borderId="0" xfId="0" applyFont="1"/>
    <xf numFmtId="0" fontId="0" fillId="0" borderId="0" xfId="0" applyFont="1" applyAlignment="1"/>
    <xf numFmtId="2" fontId="0" fillId="0" borderId="0" xfId="0" applyNumberFormat="1" applyFont="1"/>
    <xf numFmtId="167" fontId="7" fillId="0" borderId="0" xfId="0" applyNumberFormat="1" applyFont="1"/>
    <xf numFmtId="9" fontId="0" fillId="0" borderId="0" xfId="19" applyFont="1"/>
    <xf numFmtId="169" fontId="0" fillId="0" borderId="0" xfId="18" applyNumberFormat="1" applyFont="1"/>
    <xf numFmtId="165" fontId="0" fillId="0" borderId="0" xfId="18" applyNumberFormat="1" applyFont="1"/>
    <xf numFmtId="0" fontId="6" fillId="0" borderId="0" xfId="0" applyFont="1" applyAlignment="1"/>
    <xf numFmtId="0" fontId="6" fillId="0" borderId="0" xfId="0" applyFont="1" applyAlignment="1">
      <alignment wrapText="1"/>
    </xf>
    <xf numFmtId="165" fontId="9" fillId="0" borderId="0" xfId="18" applyNumberFormat="1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165" fontId="6" fillId="0" borderId="0" xfId="18" applyNumberFormat="1" applyFont="1"/>
    <xf numFmtId="9" fontId="0" fillId="0" borderId="0" xfId="0" applyNumberFormat="1" applyFont="1"/>
    <xf numFmtId="169" fontId="6" fillId="0" borderId="0" xfId="0" applyNumberFormat="1" applyFont="1"/>
    <xf numFmtId="0" fontId="0" fillId="0" borderId="0" xfId="0" applyFont="1" applyAlignment="1">
      <alignment horizontal="center" vertical="top" wrapText="1"/>
    </xf>
    <xf numFmtId="167" fontId="0" fillId="0" borderId="0" xfId="0" applyNumberFormat="1" applyAlignment="1">
      <alignment wrapText="1"/>
    </xf>
    <xf numFmtId="167" fontId="6" fillId="0" borderId="0" xfId="0" applyNumberFormat="1" applyFont="1" applyAlignment="1">
      <alignment wrapText="1"/>
    </xf>
    <xf numFmtId="167" fontId="9" fillId="0" borderId="0" xfId="0" applyNumberFormat="1" applyFont="1" applyAlignment="1">
      <alignment wrapText="1"/>
    </xf>
    <xf numFmtId="0" fontId="0" fillId="0" borderId="0" xfId="0" applyFont="1" applyAlignment="1">
      <alignment vertical="top"/>
    </xf>
    <xf numFmtId="2" fontId="6" fillId="0" borderId="0" xfId="0" applyNumberFormat="1" applyFont="1"/>
    <xf numFmtId="2" fontId="9" fillId="0" borderId="0" xfId="0" applyNumberFormat="1" applyFont="1"/>
    <xf numFmtId="170" fontId="0" fillId="0" borderId="0" xfId="0" applyNumberFormat="1"/>
    <xf numFmtId="167" fontId="9" fillId="0" borderId="0" xfId="0" applyNumberFormat="1" applyFont="1"/>
    <xf numFmtId="165" fontId="1" fillId="0" borderId="0" xfId="18" applyNumberFormat="1" applyFont="1"/>
    <xf numFmtId="169" fontId="9" fillId="0" borderId="0" xfId="0" applyNumberFormat="1" applyFont="1"/>
    <xf numFmtId="0" fontId="0" fillId="0" borderId="0" xfId="0" applyFont="1" applyBorder="1" applyAlignment="1">
      <alignment horizontal="center"/>
    </xf>
    <xf numFmtId="169" fontId="0" fillId="8" borderId="0" xfId="0" applyNumberFormat="1" applyFill="1"/>
    <xf numFmtId="10" fontId="0" fillId="0" borderId="0" xfId="19" applyNumberFormat="1" applyFont="1" applyFill="1" applyBorder="1"/>
    <xf numFmtId="10" fontId="0" fillId="0" borderId="5" xfId="19" applyNumberFormat="1" applyFont="1" applyFill="1" applyBorder="1"/>
    <xf numFmtId="10" fontId="0" fillId="0" borderId="6" xfId="19" applyNumberFormat="1" applyFont="1" applyFill="1" applyBorder="1"/>
    <xf numFmtId="2" fontId="0" fillId="0" borderId="0" xfId="19" applyNumberFormat="1" applyFont="1" applyFill="1" applyBorder="1"/>
    <xf numFmtId="2" fontId="0" fillId="0" borderId="4" xfId="19" applyNumberFormat="1" applyFont="1" applyFill="1" applyBorder="1"/>
    <xf numFmtId="2" fontId="0" fillId="0" borderId="0" xfId="18" applyNumberFormat="1" applyFont="1" applyFill="1" applyBorder="1"/>
    <xf numFmtId="2" fontId="0" fillId="0" borderId="4" xfId="18" applyNumberFormat="1" applyFont="1" applyFill="1" applyBorder="1"/>
    <xf numFmtId="0" fontId="0" fillId="0" borderId="0" xfId="0" applyFill="1"/>
    <xf numFmtId="0" fontId="0" fillId="5" borderId="0" xfId="0" applyFill="1"/>
    <xf numFmtId="0" fontId="13" fillId="0" borderId="0" xfId="0" applyFont="1" applyFill="1"/>
    <xf numFmtId="0" fontId="12" fillId="5" borderId="0" xfId="0" applyFont="1" applyFill="1"/>
    <xf numFmtId="0" fontId="14" fillId="5" borderId="0" xfId="0" applyFont="1" applyFill="1"/>
    <xf numFmtId="0" fontId="15" fillId="5" borderId="0" xfId="0" applyFont="1" applyFill="1"/>
    <xf numFmtId="0" fontId="7" fillId="0" borderId="0" xfId="0" applyFont="1" applyAlignment="1">
      <alignment horizontal="right"/>
    </xf>
    <xf numFmtId="3" fontId="0" fillId="0" borderId="0" xfId="0" applyNumberFormat="1"/>
    <xf numFmtId="171" fontId="0" fillId="0" borderId="17" xfId="0" applyNumberFormat="1" applyBorder="1"/>
    <xf numFmtId="0" fontId="0" fillId="9" borderId="0" xfId="0" applyFill="1"/>
    <xf numFmtId="0" fontId="12" fillId="9" borderId="0" xfId="0" applyFont="1" applyFill="1"/>
    <xf numFmtId="10" fontId="0" fillId="0" borderId="0" xfId="0" applyNumberFormat="1"/>
    <xf numFmtId="172" fontId="0" fillId="0" borderId="0" xfId="0" applyNumberFormat="1"/>
    <xf numFmtId="0" fontId="7" fillId="5" borderId="0" xfId="0" applyFont="1" applyFill="1"/>
    <xf numFmtId="1" fontId="0" fillId="0" borderId="17" xfId="0" applyNumberFormat="1" applyBorder="1"/>
    <xf numFmtId="3" fontId="0" fillId="0" borderId="17" xfId="0" applyNumberFormat="1" applyBorder="1"/>
    <xf numFmtId="3" fontId="0" fillId="0" borderId="0" xfId="0" applyNumberFormat="1" applyBorder="1"/>
    <xf numFmtId="4" fontId="0" fillId="0" borderId="0" xfId="0" applyNumberFormat="1"/>
    <xf numFmtId="1" fontId="0" fillId="0" borderId="0" xfId="0" applyNumberFormat="1" applyFont="1"/>
    <xf numFmtId="0" fontId="0" fillId="0" borderId="17" xfId="0" applyFont="1" applyBorder="1"/>
    <xf numFmtId="167" fontId="0" fillId="0" borderId="0" xfId="0" applyNumberFormat="1" applyBorder="1"/>
    <xf numFmtId="1" fontId="7" fillId="0" borderId="0" xfId="0" applyNumberFormat="1" applyFont="1"/>
    <xf numFmtId="172" fontId="0" fillId="0" borderId="0" xfId="0" applyNumberFormat="1" applyFont="1"/>
    <xf numFmtId="171" fontId="0" fillId="0" borderId="0" xfId="0" applyNumberFormat="1" applyBorder="1"/>
    <xf numFmtId="173" fontId="0" fillId="0" borderId="0" xfId="0" applyNumberFormat="1"/>
    <xf numFmtId="171" fontId="0" fillId="0" borderId="0" xfId="0" applyNumberFormat="1" applyFont="1"/>
    <xf numFmtId="172" fontId="0" fillId="0" borderId="0" xfId="0" applyNumberFormat="1" applyFont="1" applyFill="1"/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4">
    <cellStyle name="Assumptions Right Number" xfId="20"/>
    <cellStyle name="Comma" xfId="18" builtinId="3"/>
    <cellStyle name="Comma 10" xfId="22"/>
    <cellStyle name="Comma 2" xfId="2"/>
    <cellStyle name="Currency 2" xfId="3"/>
    <cellStyle name="Currency 2 2" xfId="9"/>
    <cellStyle name="Currency 2 3" xfId="10"/>
    <cellStyle name="Input1" xfId="4"/>
    <cellStyle name="Input3" xfId="5"/>
    <cellStyle name="Normal" xfId="0" builtinId="0"/>
    <cellStyle name="Normal 114" xfId="17"/>
    <cellStyle name="Normal 13" xfId="23"/>
    <cellStyle name="Normal 2" xfId="7"/>
    <cellStyle name="Normal 2 2" xfId="13"/>
    <cellStyle name="Normal 3" xfId="11"/>
    <cellStyle name="Normal 4" xfId="14"/>
    <cellStyle name="Normal 5" xfId="1"/>
    <cellStyle name="Percent" xfId="19" builtinId="5"/>
    <cellStyle name="Percent 2" xfId="8"/>
    <cellStyle name="Percent 3" xfId="6"/>
    <cellStyle name="SAPBEXchaText_AMI proposed unit costs 2" xfId="21"/>
    <cellStyle name="SheetHeader1" xfId="12"/>
    <cellStyle name="TableLvl2" xfId="15"/>
    <cellStyle name="TableLvl3" xfId="16"/>
  </cellStyles>
  <dxfs count="0"/>
  <tableStyles count="0" defaultTableStyle="TableStyleMedium2" defaultPivotStyle="PivotStyleLight16"/>
  <colors>
    <mruColors>
      <color rgb="FFCC0066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Vic%20EDPR%20-%202016-20\Reset%20models\Jemena\01%20Proposal\Metering\Attachment%2007.15%20-%20JEN%20Capex%20Forecast%20Model%20-%20Metering%20-%20CONFIDENTIAL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R\Vic%20EDPR%20-%202016-20\Reset%20models\United%20Energy\01%20Proposal\Metering\4.%20UE%20-%20Distribution%20PTRM%20AM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off\AppData\Local\Temp\1\Temp1_UE%20SCS_ACS_Models%20-%20PTRM%20RFM.zip\United%20Energy%20-%20Metering%20PTRM%20&amp;%20Exit%20Fees%20-%20RRP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Vic%202016%20revised%20proposals/CitiPower/03%20Models/Metering%20ACS/CP%20CONFIDENTIAL%20RRP%20MOD%201.2%20CP%20Metering%20Capex%20and%20Ope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VicEDPR%202016-20/Initial%20proposals%20-%2030%20April%202015/United%20Energy/UE%202016-20%20Regulatory%20Proposal/01_Reg_Rules_RIN_WACC/REG3%20-%20SCS&amp;%20Metering%20Rev%20Cap_&amp;PL%20Models/4.%20UE%20-%20Distribution%20PTRM%20AM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odel Diagram"/>
      <sheetName val="Input|Escalators"/>
      <sheetName val="Input|Growth"/>
      <sheetName val="Input|Meter Activity"/>
      <sheetName val="Input|Meter Volumes"/>
      <sheetName val="Input|Meter Inventory"/>
      <sheetName val="Input|Comms Volumes"/>
      <sheetName val="Input|Unit Rates"/>
      <sheetName val="Input|Service Classification"/>
      <sheetName val="Input|Capex IT &amp; Tech"/>
      <sheetName val="Input|RIN Actuals"/>
      <sheetName val="Calc|Meter Volumes"/>
      <sheetName val="Calc|Comms Volumes"/>
      <sheetName val="Calc|Capex Meter Dispatch"/>
      <sheetName val="Calc|Capex Meter Install"/>
      <sheetName val="Calc|Capex Tech Comms"/>
      <sheetName val="Calc|Capex Summary"/>
      <sheetName val="Output|Annual RIN"/>
      <sheetName val="Output|Reset RIN"/>
      <sheetName val="Output|Exit Fee Model"/>
      <sheetName val="Output|Capex Model"/>
      <sheetName val="Lookup|Tables"/>
      <sheetName val="Check|List"/>
    </sheetNames>
    <sheetDataSet>
      <sheetData sheetId="0" refreshError="1"/>
      <sheetData sheetId="1" refreshError="1"/>
      <sheetData sheetId="2">
        <row r="27">
          <cell r="C27" t="str">
            <v>Real 2014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6">
          <cell r="V16">
            <v>0.59</v>
          </cell>
        </row>
      </sheetData>
      <sheetData sheetId="11" refreshError="1"/>
      <sheetData sheetId="12" refreshError="1"/>
      <sheetData sheetId="13" refreshError="1"/>
      <sheetData sheetId="14">
        <row r="21">
          <cell r="P21">
            <v>4368.8725014500633</v>
          </cell>
        </row>
      </sheetData>
      <sheetData sheetId="15">
        <row r="56">
          <cell r="P56">
            <v>1122.1199999999999</v>
          </cell>
        </row>
      </sheetData>
      <sheetData sheetId="16">
        <row r="20">
          <cell r="V20">
            <v>0.625</v>
          </cell>
        </row>
      </sheetData>
      <sheetData sheetId="17">
        <row r="32">
          <cell r="C32" t="str">
            <v>Technology and Communications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>
        <row r="42">
          <cell r="E42">
            <v>2014</v>
          </cell>
        </row>
      </sheetData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 refreshError="1"/>
      <sheetData sheetId="1" refreshError="1"/>
      <sheetData sheetId="2">
        <row r="145">
          <cell r="G145">
            <v>2.9635163091040533</v>
          </cell>
          <cell r="H145">
            <v>1.0660581434922149</v>
          </cell>
          <cell r="I145">
            <v>0.62970232571978502</v>
          </cell>
          <cell r="J145">
            <v>0.65736555831467813</v>
          </cell>
          <cell r="K145">
            <v>0.6745550325551809</v>
          </cell>
        </row>
        <row r="146">
          <cell r="G146">
            <v>7.4040983499999991</v>
          </cell>
          <cell r="H146">
            <v>4.9419411500000008</v>
          </cell>
          <cell r="I146">
            <v>0.47896404999999997</v>
          </cell>
          <cell r="J146">
            <v>0.82039770000000001</v>
          </cell>
          <cell r="K146">
            <v>2.8479907500000001</v>
          </cell>
        </row>
        <row r="147">
          <cell r="G147">
            <v>0.14405199999999999</v>
          </cell>
          <cell r="H147">
            <v>7.2025999999999993E-2</v>
          </cell>
          <cell r="I147">
            <v>0</v>
          </cell>
          <cell r="J147">
            <v>0</v>
          </cell>
          <cell r="K14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Exit Fees Nominal"/>
      <sheetName val="Exit Fees Real $2015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45">
          <cell r="G145">
            <v>0.14405200000000001</v>
          </cell>
          <cell r="H145">
            <v>0.13200000000000001</v>
          </cell>
          <cell r="I145">
            <v>0</v>
          </cell>
          <cell r="J145">
            <v>0</v>
          </cell>
          <cell r="K145">
            <v>0</v>
          </cell>
        </row>
        <row r="174">
          <cell r="Q174">
            <v>13.727785369185911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hange Log"/>
      <sheetName val="Menu"/>
      <sheetName val="Diagram"/>
      <sheetName val="Formats"/>
      <sheetName val="Inputs"/>
      <sheetName val="Material Rates"/>
      <sheetName val="Check"/>
      <sheetName val="OPEX "/>
      <sheetName val="CAPEX "/>
      <sheetName val="CP Exit Fee Rates"/>
      <sheetName val="CP Reset RIN"/>
      <sheetName val="Opex"/>
      <sheetName val="Capex"/>
      <sheetName val="CP Cost"/>
      <sheetName val="CP Rates"/>
      <sheetName val="CP Vols"/>
      <sheetName val="2014 Cat RIN Opex"/>
      <sheetName val="2014 Total Opex"/>
      <sheetName val="2014 IT Opex"/>
      <sheetName val="2014 Non IT Opex"/>
    </sheetNames>
    <sheetDataSet>
      <sheetData sheetId="0"/>
      <sheetData sheetId="1"/>
      <sheetData sheetId="2"/>
      <sheetData sheetId="3"/>
      <sheetData sheetId="4"/>
      <sheetData sheetId="5">
        <row r="13">
          <cell r="D13" t="str">
            <v>Labour cost escalation</v>
          </cell>
        </row>
        <row r="14">
          <cell r="D14" t="str">
            <v>Materials cost escalation</v>
          </cell>
        </row>
        <row r="15">
          <cell r="D15" t="str">
            <v>Contracts cost escalation</v>
          </cell>
        </row>
        <row r="17">
          <cell r="D17" t="str">
            <v>Labour cost escalation</v>
          </cell>
        </row>
        <row r="18">
          <cell r="D18" t="str">
            <v>Materials cost escalation</v>
          </cell>
        </row>
        <row r="19">
          <cell r="D19" t="str">
            <v>Contracts cost escalation</v>
          </cell>
        </row>
      </sheetData>
      <sheetData sheetId="6">
        <row r="14">
          <cell r="C14" t="str">
            <v>L+G Meter Prices</v>
          </cell>
        </row>
      </sheetData>
      <sheetData sheetId="7"/>
      <sheetData sheetId="8"/>
      <sheetData sheetId="9">
        <row r="6">
          <cell r="B6">
            <v>3.5496408465179252</v>
          </cell>
        </row>
      </sheetData>
      <sheetData sheetId="10"/>
      <sheetData sheetId="11"/>
      <sheetData sheetId="12"/>
      <sheetData sheetId="13">
        <row r="21">
          <cell r="H21">
            <v>2491064.5658983057</v>
          </cell>
        </row>
      </sheetData>
      <sheetData sheetId="14">
        <row r="46">
          <cell r="I46" t="str">
            <v>Antenna (meter)- External on meter - Supply</v>
          </cell>
        </row>
      </sheetData>
      <sheetData sheetId="15">
        <row r="46">
          <cell r="J46">
            <v>34.015920000000001</v>
          </cell>
        </row>
      </sheetData>
      <sheetData sheetId="16">
        <row r="32">
          <cell r="K32" t="str">
            <v>FMR Inst AMI 1Ph 1e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>
        <row r="147">
          <cell r="G147">
            <v>0.14405199999999999</v>
          </cell>
          <cell r="H147">
            <v>7.2025999999999993E-2</v>
          </cell>
          <cell r="I147">
            <v>0</v>
          </cell>
          <cell r="J147">
            <v>0</v>
          </cell>
          <cell r="K14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N22"/>
  <sheetViews>
    <sheetView topLeftCell="A16" workbookViewId="0">
      <selection activeCell="D30" sqref="D30"/>
    </sheetView>
  </sheetViews>
  <sheetFormatPr defaultRowHeight="15" x14ac:dyDescent="0.25"/>
  <cols>
    <col min="2" max="2" width="26.85546875" customWidth="1"/>
    <col min="3" max="9" width="13.42578125" customWidth="1"/>
    <col min="10" max="14" width="17.7109375" customWidth="1"/>
  </cols>
  <sheetData>
    <row r="15" spans="1:14" ht="15.75" thickBot="1" x14ac:dyDescent="0.3"/>
    <row r="16" spans="1:14" ht="15.75" thickBot="1" x14ac:dyDescent="0.3">
      <c r="A16" s="18" t="s">
        <v>30</v>
      </c>
      <c r="B16" s="19"/>
      <c r="C16" s="20">
        <v>2009</v>
      </c>
      <c r="D16" s="20">
        <v>2010</v>
      </c>
      <c r="E16" s="20">
        <v>2011</v>
      </c>
      <c r="F16" s="20">
        <v>2012</v>
      </c>
      <c r="G16" s="20">
        <v>2013</v>
      </c>
      <c r="H16" s="20">
        <v>2014</v>
      </c>
      <c r="I16" s="20">
        <v>2015</v>
      </c>
      <c r="J16" s="20">
        <v>2016</v>
      </c>
      <c r="K16" s="20">
        <v>2017</v>
      </c>
      <c r="L16" s="20">
        <v>2018</v>
      </c>
      <c r="M16" s="20">
        <v>2019</v>
      </c>
      <c r="N16" s="21">
        <v>2020</v>
      </c>
    </row>
    <row r="17" spans="1:14" x14ac:dyDescent="0.25">
      <c r="A17" s="115" t="s">
        <v>31</v>
      </c>
      <c r="B17" s="22" t="s">
        <v>32</v>
      </c>
      <c r="C17" s="23">
        <v>40086</v>
      </c>
      <c r="D17" s="24">
        <v>40451</v>
      </c>
      <c r="E17" s="24">
        <v>40816</v>
      </c>
      <c r="F17" s="24">
        <v>41182</v>
      </c>
      <c r="G17" s="24">
        <v>41547</v>
      </c>
      <c r="H17" s="24">
        <v>41912</v>
      </c>
      <c r="I17" s="24">
        <v>42277</v>
      </c>
      <c r="J17" s="25">
        <v>42551</v>
      </c>
      <c r="K17" s="25">
        <v>42916</v>
      </c>
      <c r="L17" s="25">
        <v>43281</v>
      </c>
      <c r="M17" s="25">
        <v>43646</v>
      </c>
      <c r="N17" s="26">
        <v>44012</v>
      </c>
    </row>
    <row r="18" spans="1:14" x14ac:dyDescent="0.25">
      <c r="A18" s="116"/>
      <c r="B18" s="27" t="s">
        <v>33</v>
      </c>
      <c r="C18" s="28">
        <v>1.2612612612612484E-2</v>
      </c>
      <c r="D18" s="28">
        <v>2.7876631079478242E-2</v>
      </c>
      <c r="E18" s="28">
        <v>3.5199076745527913E-2</v>
      </c>
      <c r="F18" s="28">
        <v>2.0040080160320661E-2</v>
      </c>
      <c r="G18" s="28">
        <v>2.16110019646365E-2</v>
      </c>
      <c r="H18" s="28">
        <v>2.3076923076923217E-2</v>
      </c>
      <c r="I18" s="81">
        <v>2.3076923076923217E-2</v>
      </c>
      <c r="J18" s="46"/>
      <c r="K18" s="46"/>
      <c r="L18" s="46"/>
      <c r="M18" s="46"/>
      <c r="N18" s="47"/>
    </row>
    <row r="19" spans="1:14" ht="15.75" thickBot="1" x14ac:dyDescent="0.3">
      <c r="A19" s="117"/>
      <c r="B19" s="31" t="s">
        <v>62</v>
      </c>
      <c r="C19" s="32"/>
      <c r="D19" s="32"/>
      <c r="E19" s="32"/>
      <c r="F19" s="32"/>
      <c r="G19" s="32"/>
      <c r="H19" s="32"/>
      <c r="I19" s="33"/>
      <c r="J19" s="82">
        <v>2.5000000000000001E-2</v>
      </c>
      <c r="K19" s="82">
        <v>2.5000000000000001E-2</v>
      </c>
      <c r="L19" s="82">
        <v>2.5000000000000001E-2</v>
      </c>
      <c r="M19" s="82">
        <v>2.5000000000000001E-2</v>
      </c>
      <c r="N19" s="83">
        <v>2.5000000000000001E-2</v>
      </c>
    </row>
    <row r="20" spans="1:14" x14ac:dyDescent="0.25">
      <c r="A20" s="116" t="s">
        <v>34</v>
      </c>
      <c r="B20" s="27" t="s">
        <v>35</v>
      </c>
      <c r="C20" s="34">
        <f t="shared" ref="C20:H20" si="0">D20/(1+C18)</f>
        <v>0.87052392687404123</v>
      </c>
      <c r="D20" s="34">
        <f t="shared" si="0"/>
        <v>0.88150350793371368</v>
      </c>
      <c r="E20" s="34">
        <f t="shared" si="0"/>
        <v>0.90607685601964771</v>
      </c>
      <c r="F20" s="34">
        <f t="shared" si="0"/>
        <v>0.9379699248120299</v>
      </c>
      <c r="G20" s="34">
        <f t="shared" si="0"/>
        <v>0.95676691729323293</v>
      </c>
      <c r="H20" s="34">
        <f t="shared" si="0"/>
        <v>0.97744360902255623</v>
      </c>
      <c r="I20" s="35">
        <v>1</v>
      </c>
      <c r="J20" s="84"/>
      <c r="K20" s="84"/>
      <c r="L20" s="84"/>
      <c r="M20" s="84"/>
      <c r="N20" s="85"/>
    </row>
    <row r="21" spans="1:14" x14ac:dyDescent="0.25">
      <c r="A21" s="116"/>
      <c r="B21" s="30" t="s">
        <v>35</v>
      </c>
      <c r="C21" s="29"/>
      <c r="D21" s="29"/>
      <c r="E21" s="29"/>
      <c r="F21" s="29"/>
      <c r="G21" s="29"/>
      <c r="H21" s="29"/>
      <c r="I21" s="36"/>
      <c r="J21" s="86">
        <f>$I$20*(1+J19)</f>
        <v>1.0249999999999999</v>
      </c>
      <c r="K21" s="86">
        <f>J21*(1+K19)</f>
        <v>1.0506249999999999</v>
      </c>
      <c r="L21" s="86">
        <f>K21*(1+L19)</f>
        <v>1.0768906249999999</v>
      </c>
      <c r="M21" s="86">
        <f>L21*(1+M19)</f>
        <v>1.1038128906249998</v>
      </c>
      <c r="N21" s="87">
        <f>M21*(1+N19)</f>
        <v>1.1314082128906247</v>
      </c>
    </row>
    <row r="22" spans="1:14" ht="15.75" thickBot="1" x14ac:dyDescent="0.3">
      <c r="A22" s="117"/>
      <c r="B22" s="37" t="s">
        <v>36</v>
      </c>
      <c r="C22" s="38">
        <f t="shared" ref="C22:I22" si="1">C$20/(1+C$18)^0.5</f>
        <v>0.86508552693565721</v>
      </c>
      <c r="D22" s="38">
        <f t="shared" si="1"/>
        <v>0.86946789166540261</v>
      </c>
      <c r="E22" s="38">
        <f t="shared" si="1"/>
        <v>0.89053931938844466</v>
      </c>
      <c r="F22" s="38">
        <f t="shared" si="1"/>
        <v>0.9287103701176318</v>
      </c>
      <c r="G22" s="38">
        <f t="shared" si="1"/>
        <v>0.94659317618056704</v>
      </c>
      <c r="H22" s="38">
        <f t="shared" si="1"/>
        <v>0.96635693349084439</v>
      </c>
      <c r="I22" s="38">
        <f t="shared" si="1"/>
        <v>0.98865747810986404</v>
      </c>
      <c r="J22" s="39"/>
      <c r="K22" s="39"/>
      <c r="L22" s="39"/>
      <c r="M22" s="39"/>
      <c r="N22" s="40"/>
    </row>
  </sheetData>
  <mergeCells count="2">
    <mergeCell ref="A17:A19"/>
    <mergeCell ref="A20:A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66"/>
  </sheetPr>
  <dimension ref="A1"/>
  <sheetViews>
    <sheetView workbookViewId="0">
      <selection activeCell="D42" sqref="D4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13" workbookViewId="0">
      <selection activeCell="C19" sqref="C19"/>
    </sheetView>
  </sheetViews>
  <sheetFormatPr defaultRowHeight="15" x14ac:dyDescent="0.25"/>
  <cols>
    <col min="1" max="1" width="44.85546875" style="16" customWidth="1"/>
    <col min="2" max="9" width="9.140625" style="16"/>
    <col min="10" max="10" width="20.28515625" style="16" customWidth="1"/>
    <col min="11" max="16384" width="9.140625" style="16"/>
  </cols>
  <sheetData>
    <row r="1" spans="1:11" x14ac:dyDescent="0.25">
      <c r="A1" s="5" t="s">
        <v>4</v>
      </c>
    </row>
    <row r="2" spans="1:11" x14ac:dyDescent="0.25">
      <c r="A2" s="16" t="s">
        <v>53</v>
      </c>
    </row>
    <row r="4" spans="1:11" x14ac:dyDescent="0.25">
      <c r="A4" s="5" t="s">
        <v>54</v>
      </c>
      <c r="B4" s="5">
        <v>2016</v>
      </c>
      <c r="C4" s="5">
        <v>2017</v>
      </c>
      <c r="D4" s="5">
        <v>2018</v>
      </c>
      <c r="E4" s="5">
        <v>2019</v>
      </c>
      <c r="F4" s="5">
        <v>2020</v>
      </c>
      <c r="G4" s="5"/>
      <c r="H4" s="5" t="s">
        <v>3</v>
      </c>
    </row>
    <row r="5" spans="1:11" customFormat="1" x14ac:dyDescent="0.25">
      <c r="A5" s="16" t="s">
        <v>0</v>
      </c>
      <c r="B5" s="15">
        <f>'[2]PTRM input'!G145</f>
        <v>2.9635163091040533</v>
      </c>
      <c r="C5" s="15">
        <f>'[2]PTRM input'!H145</f>
        <v>1.0660581434922149</v>
      </c>
      <c r="D5" s="15">
        <f>'[2]PTRM input'!I145</f>
        <v>0.62970232571978502</v>
      </c>
      <c r="E5" s="15">
        <f>'[2]PTRM input'!J145</f>
        <v>0.65736555831467813</v>
      </c>
      <c r="F5" s="15">
        <f>'[2]PTRM input'!K145</f>
        <v>0.6745550325551809</v>
      </c>
      <c r="H5" s="3">
        <f>SUM(B5:F5)</f>
        <v>5.9911973691859126</v>
      </c>
    </row>
    <row r="6" spans="1:11" customFormat="1" x14ac:dyDescent="0.25">
      <c r="A6" s="16" t="s">
        <v>1</v>
      </c>
      <c r="B6" s="15">
        <f>'[2]PTRM input'!G146</f>
        <v>7.4040983499999991</v>
      </c>
      <c r="C6" s="15">
        <f>'[2]PTRM input'!H146</f>
        <v>4.9419411500000008</v>
      </c>
      <c r="D6" s="15">
        <f>'[2]PTRM input'!I146</f>
        <v>0.47896404999999997</v>
      </c>
      <c r="E6" s="15">
        <f>'[2]PTRM input'!J146</f>
        <v>0.82039770000000001</v>
      </c>
      <c r="F6" s="15">
        <f>'[2]PTRM input'!K146</f>
        <v>2.8479907500000001</v>
      </c>
      <c r="H6" s="3">
        <f>SUM(B6:F6)</f>
        <v>16.493392</v>
      </c>
    </row>
    <row r="7" spans="1:11" customFormat="1" x14ac:dyDescent="0.25">
      <c r="A7" s="16" t="s">
        <v>2</v>
      </c>
      <c r="B7" s="15">
        <f>'[2]PTRM input'!G147</f>
        <v>0.14405199999999999</v>
      </c>
      <c r="C7" s="15">
        <f>'[2]PTRM input'!H147</f>
        <v>7.2025999999999993E-2</v>
      </c>
      <c r="D7" s="15">
        <f>'[2]PTRM input'!I147</f>
        <v>0</v>
      </c>
      <c r="E7" s="15">
        <f>'[2]PTRM input'!J147</f>
        <v>0</v>
      </c>
      <c r="F7" s="15">
        <f>'[2]PTRM input'!K147</f>
        <v>0</v>
      </c>
      <c r="H7" s="3">
        <f>SUM(B7:F7)</f>
        <v>0.21607799999999999</v>
      </c>
    </row>
    <row r="8" spans="1:11" customFormat="1" x14ac:dyDescent="0.25">
      <c r="H8" s="56">
        <f>SUM(H5:H7)</f>
        <v>22.700667369185911</v>
      </c>
    </row>
    <row r="9" spans="1:11" x14ac:dyDescent="0.25">
      <c r="H9" s="56"/>
    </row>
    <row r="10" spans="1:11" x14ac:dyDescent="0.25">
      <c r="A10" s="5" t="s">
        <v>48</v>
      </c>
      <c r="B10" s="5">
        <v>2016</v>
      </c>
      <c r="C10" s="5">
        <v>2017</v>
      </c>
      <c r="D10" s="5">
        <v>2018</v>
      </c>
      <c r="E10" s="5">
        <v>2019</v>
      </c>
      <c r="F10" s="5">
        <v>2020</v>
      </c>
      <c r="G10" s="5"/>
      <c r="H10" s="53" t="s">
        <v>3</v>
      </c>
      <c r="I10" s="53"/>
    </row>
    <row r="11" spans="1:11" customFormat="1" x14ac:dyDescent="0.25">
      <c r="A11" s="16" t="s">
        <v>0</v>
      </c>
      <c r="B11" s="15">
        <f>'PD summary'!B5</f>
        <v>2.9635163091040533</v>
      </c>
      <c r="C11" s="15">
        <f>'PD summary'!C5</f>
        <v>1.0660581434922149</v>
      </c>
      <c r="D11" s="15">
        <f>'PD summary'!D5</f>
        <v>0.62970232571978502</v>
      </c>
      <c r="E11" s="15">
        <f>'PD summary'!E5</f>
        <v>0.65736555831467813</v>
      </c>
      <c r="F11" s="15">
        <f>'PD summary'!F5</f>
        <v>0.6745550325551809</v>
      </c>
      <c r="G11" s="16"/>
      <c r="H11" s="10">
        <f>SUM(B11:F11)</f>
        <v>5.9911973691859126</v>
      </c>
      <c r="I11" s="10"/>
      <c r="J11" s="3"/>
    </row>
    <row r="12" spans="1:11" customFormat="1" x14ac:dyDescent="0.25">
      <c r="A12" s="16" t="s">
        <v>1</v>
      </c>
      <c r="B12" s="15">
        <f>'PD IT'!F18</f>
        <v>4.7733333333333334</v>
      </c>
      <c r="C12" s="15">
        <f>'PD IT'!G18</f>
        <v>4.7733333333333334</v>
      </c>
      <c r="D12" s="15">
        <f>'PD IT'!H18</f>
        <v>4.7733333333333334</v>
      </c>
      <c r="E12" s="15">
        <f>'PD IT'!I18</f>
        <v>4.7733333333333334</v>
      </c>
      <c r="F12" s="15">
        <f>'PD IT'!J18</f>
        <v>4.7733333333333334</v>
      </c>
      <c r="G12" s="16"/>
      <c r="H12" s="10">
        <f>SUM(B12:F12)</f>
        <v>23.866666666666667</v>
      </c>
      <c r="I12" s="10"/>
      <c r="J12" s="3"/>
      <c r="K12" s="16"/>
    </row>
    <row r="13" spans="1:11" customFormat="1" x14ac:dyDescent="0.25">
      <c r="A13" s="16" t="s">
        <v>2</v>
      </c>
      <c r="B13" s="15">
        <f>'PD comms'!B12</f>
        <v>0.14399999999999999</v>
      </c>
      <c r="C13" s="15">
        <f>'PD comms'!C12</f>
        <v>7.1999999999999995E-2</v>
      </c>
      <c r="D13" s="15">
        <f>'PD comms'!D12</f>
        <v>0</v>
      </c>
      <c r="E13" s="15">
        <f>'PD comms'!E12</f>
        <v>0</v>
      </c>
      <c r="F13" s="15">
        <f>'PD comms'!F12</f>
        <v>0</v>
      </c>
      <c r="G13" s="16"/>
      <c r="H13" s="10">
        <f>SUM(B13:F13)</f>
        <v>0.21599999999999997</v>
      </c>
      <c r="I13" s="10"/>
      <c r="J13" s="3"/>
    </row>
    <row r="14" spans="1:11" customFormat="1" x14ac:dyDescent="0.25">
      <c r="A14" s="16"/>
      <c r="B14" s="16"/>
      <c r="C14" s="16"/>
      <c r="D14" s="16"/>
      <c r="E14" s="16"/>
      <c r="F14" s="16"/>
      <c r="G14" s="16"/>
      <c r="H14" s="76">
        <f>SUM(H11:H13)</f>
        <v>30.07386403585258</v>
      </c>
      <c r="I14" s="76"/>
      <c r="J14" s="3"/>
    </row>
    <row r="15" spans="1:11" x14ac:dyDescent="0.25">
      <c r="H15" s="76"/>
      <c r="I15" s="76"/>
      <c r="J15" s="3"/>
    </row>
    <row r="16" spans="1:11" x14ac:dyDescent="0.25">
      <c r="A16" s="5" t="s">
        <v>29</v>
      </c>
      <c r="B16" s="5">
        <v>2016</v>
      </c>
      <c r="C16" s="5">
        <v>2017</v>
      </c>
      <c r="D16" s="5">
        <v>2018</v>
      </c>
      <c r="E16" s="5">
        <v>2019</v>
      </c>
      <c r="F16" s="5">
        <v>2020</v>
      </c>
      <c r="G16" s="5"/>
      <c r="H16" s="53" t="s">
        <v>3</v>
      </c>
    </row>
    <row r="17" spans="1:10" x14ac:dyDescent="0.25">
      <c r="A17" s="16" t="s">
        <v>0</v>
      </c>
      <c r="B17" s="80">
        <f>'PD meters'!O6</f>
        <v>2.7634205408285601</v>
      </c>
      <c r="C17" s="80">
        <f>'PD meters'!P6</f>
        <v>1.0660000000000001</v>
      </c>
      <c r="D17" s="80">
        <f>'PD meters'!Q6</f>
        <v>0.629</v>
      </c>
      <c r="E17" s="80">
        <f>'PD meters'!R6</f>
        <v>0.65700000000000003</v>
      </c>
      <c r="F17" s="80">
        <f>'PD meters'!S6</f>
        <v>0.67400000000000004</v>
      </c>
      <c r="H17" s="10">
        <f>SUM(B17:F17)</f>
        <v>5.7894205408285613</v>
      </c>
    </row>
    <row r="18" spans="1:10" x14ac:dyDescent="0.25">
      <c r="A18" s="16" t="s">
        <v>1</v>
      </c>
      <c r="B18" s="80">
        <f>'PD IT'!O7</f>
        <v>1.4933333333333334</v>
      </c>
      <c r="C18" s="80">
        <f>'PD IT'!P7</f>
        <v>1.4933333333333334</v>
      </c>
      <c r="D18" s="80">
        <f>'PD IT'!Q7</f>
        <v>1.4933333333333334</v>
      </c>
      <c r="E18" s="80">
        <f>'PD IT'!R7</f>
        <v>1.4933333333333334</v>
      </c>
      <c r="F18" s="80">
        <f>'PD IT'!S7</f>
        <v>1.4933333333333334</v>
      </c>
      <c r="H18" s="10">
        <f>SUM(B18:F18)</f>
        <v>7.4666666666666668</v>
      </c>
    </row>
    <row r="19" spans="1:10" x14ac:dyDescent="0.25">
      <c r="A19" s="16" t="s">
        <v>58</v>
      </c>
      <c r="B19" s="15">
        <f>B13</f>
        <v>0.14399999999999999</v>
      </c>
      <c r="C19" s="15">
        <f t="shared" ref="C19:F19" si="0">C13</f>
        <v>7.1999999999999995E-2</v>
      </c>
      <c r="D19" s="15">
        <f t="shared" si="0"/>
        <v>0</v>
      </c>
      <c r="E19" s="15">
        <f t="shared" si="0"/>
        <v>0</v>
      </c>
      <c r="F19" s="15">
        <f t="shared" si="0"/>
        <v>0</v>
      </c>
      <c r="H19" s="10">
        <f>SUM(B19:F19)</f>
        <v>0.21599999999999997</v>
      </c>
    </row>
    <row r="20" spans="1:10" x14ac:dyDescent="0.25">
      <c r="H20" s="76">
        <f>SUM(H17:H19)</f>
        <v>13.472087207495226</v>
      </c>
      <c r="J20" s="57"/>
    </row>
    <row r="21" spans="1:10" x14ac:dyDescent="0.25">
      <c r="B21" s="58"/>
      <c r="C21" s="58"/>
      <c r="D21" s="58"/>
      <c r="E21" s="58"/>
      <c r="F21" s="58"/>
      <c r="H21" s="67"/>
    </row>
    <row r="22" spans="1:10" x14ac:dyDescent="0.25">
      <c r="B22" s="58"/>
      <c r="C22" s="58"/>
      <c r="D22" s="58"/>
      <c r="E22" s="58"/>
      <c r="F22" s="58"/>
      <c r="H22" s="67"/>
    </row>
    <row r="23" spans="1:10" x14ac:dyDescent="0.25">
      <c r="B23" s="58"/>
      <c r="C23" s="58"/>
      <c r="D23" s="58"/>
      <c r="E23" s="58"/>
      <c r="F23" s="58"/>
      <c r="H23" s="67"/>
    </row>
    <row r="24" spans="1:10" x14ac:dyDescent="0.25">
      <c r="B24" s="58"/>
      <c r="C24" s="58"/>
      <c r="D24" s="58"/>
      <c r="E24" s="58"/>
      <c r="F24" s="58"/>
      <c r="H24" s="7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topLeftCell="F1" workbookViewId="0">
      <selection activeCell="K10" sqref="K10"/>
    </sheetView>
  </sheetViews>
  <sheetFormatPr defaultRowHeight="15" x14ac:dyDescent="0.25"/>
  <cols>
    <col min="1" max="1" width="18.7109375" customWidth="1"/>
    <col min="3" max="3" width="22.5703125" customWidth="1"/>
    <col min="6" max="6" width="16.85546875" customWidth="1"/>
    <col min="14" max="14" width="19.85546875" customWidth="1"/>
    <col min="15" max="16" width="10.5703125" bestFit="1" customWidth="1"/>
  </cols>
  <sheetData>
    <row r="1" spans="1:21" ht="30" x14ac:dyDescent="0.25">
      <c r="A1" s="45" t="s">
        <v>46</v>
      </c>
      <c r="B1" s="45" t="s">
        <v>15</v>
      </c>
      <c r="C1" s="45" t="s">
        <v>29</v>
      </c>
      <c r="D1" s="16"/>
      <c r="E1" s="16"/>
      <c r="F1" s="45" t="s">
        <v>56</v>
      </c>
      <c r="G1" s="118" t="s">
        <v>57</v>
      </c>
      <c r="H1" s="118"/>
      <c r="I1" s="118"/>
      <c r="J1" s="118"/>
      <c r="K1" s="118"/>
      <c r="L1" s="16"/>
      <c r="M1" s="16"/>
      <c r="N1" s="52" t="s">
        <v>59</v>
      </c>
      <c r="O1" s="16"/>
      <c r="P1" s="16"/>
      <c r="Q1" s="16"/>
      <c r="R1" s="16"/>
      <c r="S1" s="16"/>
    </row>
    <row r="2" spans="1:21" x14ac:dyDescent="0.25">
      <c r="A2" s="16"/>
      <c r="B2" s="16"/>
      <c r="C2" s="16"/>
      <c r="D2" s="16"/>
      <c r="E2" s="16"/>
      <c r="F2" s="45"/>
      <c r="G2" s="43">
        <v>2016</v>
      </c>
      <c r="H2" s="43">
        <v>2017</v>
      </c>
      <c r="I2" s="43">
        <v>2018</v>
      </c>
      <c r="J2" s="43">
        <v>2019</v>
      </c>
      <c r="K2" s="43">
        <v>2020</v>
      </c>
      <c r="L2" s="16"/>
      <c r="M2" s="16"/>
      <c r="N2" s="16"/>
      <c r="O2" s="43">
        <v>2016</v>
      </c>
      <c r="P2" s="43">
        <v>2017</v>
      </c>
      <c r="Q2" s="43">
        <v>2018</v>
      </c>
      <c r="R2" s="43">
        <v>2019</v>
      </c>
      <c r="S2" s="43">
        <v>2020</v>
      </c>
    </row>
    <row r="3" spans="1:21" x14ac:dyDescent="0.25">
      <c r="A3" s="16" t="s">
        <v>14</v>
      </c>
      <c r="B3" s="88">
        <f>'PD hardware unit costs'!C8</f>
        <v>436</v>
      </c>
      <c r="C3" s="9">
        <f>'PD hardware unit costs'!E8</f>
        <v>296.44331956840279</v>
      </c>
      <c r="D3" s="16"/>
      <c r="E3" s="16"/>
      <c r="F3" s="16" t="s">
        <v>14</v>
      </c>
      <c r="G3" s="14">
        <v>1800</v>
      </c>
      <c r="H3" s="14"/>
      <c r="I3" s="14"/>
      <c r="J3" s="14"/>
      <c r="K3" s="48"/>
      <c r="L3" s="42"/>
      <c r="M3" s="16"/>
      <c r="N3" s="16" t="s">
        <v>14</v>
      </c>
      <c r="O3" s="11">
        <f>$C$3*G3</f>
        <v>533597.97522312496</v>
      </c>
      <c r="P3" s="11">
        <f t="shared" ref="P3:S3" si="0">$C$3*H3</f>
        <v>0</v>
      </c>
      <c r="Q3" s="11">
        <f t="shared" si="0"/>
        <v>0</v>
      </c>
      <c r="R3" s="11">
        <f t="shared" si="0"/>
        <v>0</v>
      </c>
      <c r="S3" s="11">
        <f t="shared" si="0"/>
        <v>0</v>
      </c>
    </row>
    <row r="4" spans="1:21" x14ac:dyDescent="0.25">
      <c r="A4" s="16" t="s">
        <v>9</v>
      </c>
      <c r="B4" s="88">
        <f>'PD hardware unit costs'!C9</f>
        <v>481</v>
      </c>
      <c r="C4" s="9">
        <f>'PD hardware unit costs'!E9</f>
        <v>379.1128280271746</v>
      </c>
      <c r="D4" s="16"/>
      <c r="E4" s="16"/>
      <c r="F4" s="16" t="s">
        <v>9</v>
      </c>
      <c r="G4" s="48">
        <v>200</v>
      </c>
      <c r="H4" s="48"/>
      <c r="I4" s="48"/>
      <c r="J4" s="48"/>
      <c r="K4" s="48"/>
      <c r="L4" s="42"/>
      <c r="M4" s="16"/>
      <c r="N4" s="16" t="s">
        <v>9</v>
      </c>
      <c r="O4" s="11">
        <f>$C$4*G4</f>
        <v>75822.565605434924</v>
      </c>
      <c r="P4" s="11">
        <f t="shared" ref="P4:S4" si="1">$C$4*H4</f>
        <v>0</v>
      </c>
      <c r="Q4" s="11">
        <f t="shared" si="1"/>
        <v>0</v>
      </c>
      <c r="R4" s="11">
        <f t="shared" si="1"/>
        <v>0</v>
      </c>
      <c r="S4" s="11">
        <f t="shared" si="1"/>
        <v>0</v>
      </c>
    </row>
    <row r="5" spans="1:2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 t="s">
        <v>55</v>
      </c>
      <c r="N5" s="16" t="s">
        <v>60</v>
      </c>
      <c r="O5" s="11">
        <v>2154000</v>
      </c>
      <c r="P5" s="11">
        <v>1066000</v>
      </c>
      <c r="Q5" s="11">
        <v>629000</v>
      </c>
      <c r="R5" s="11">
        <v>657000</v>
      </c>
      <c r="S5" s="11">
        <v>674000</v>
      </c>
      <c r="T5" t="s">
        <v>5</v>
      </c>
      <c r="U5" t="s">
        <v>61</v>
      </c>
    </row>
    <row r="6" spans="1:21" x14ac:dyDescent="0.25">
      <c r="A6" s="79"/>
      <c r="B6" s="16"/>
      <c r="D6" s="79"/>
      <c r="E6" s="79"/>
      <c r="F6" s="16"/>
      <c r="G6" s="16" t="s">
        <v>45</v>
      </c>
      <c r="H6" s="16"/>
      <c r="I6" s="16"/>
      <c r="J6" s="16"/>
      <c r="K6" s="16"/>
      <c r="L6" s="16"/>
      <c r="M6" s="1" t="s">
        <v>3</v>
      </c>
      <c r="N6" s="16"/>
      <c r="O6" s="15">
        <f>SUM(O3:O5)/10^6</f>
        <v>2.7634205408285601</v>
      </c>
      <c r="P6" s="15">
        <f>SUM(P3:P5)/10^6</f>
        <v>1.0660000000000001</v>
      </c>
      <c r="Q6" s="15">
        <f>SUM(Q3:Q5)/10^6</f>
        <v>0.629</v>
      </c>
      <c r="R6" s="15">
        <f>SUM(R3:R5)/10^6</f>
        <v>0.65700000000000003</v>
      </c>
      <c r="S6" s="15">
        <f>SUM(S3:S5)/10^6</f>
        <v>0.67400000000000004</v>
      </c>
    </row>
  </sheetData>
  <mergeCells count="1">
    <mergeCell ref="G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B1" workbookViewId="0">
      <selection activeCell="F35" sqref="F35"/>
    </sheetView>
  </sheetViews>
  <sheetFormatPr defaultRowHeight="15" x14ac:dyDescent="0.25"/>
  <cols>
    <col min="1" max="1" width="19" style="16" customWidth="1"/>
    <col min="2" max="2" width="20.85546875" style="16" customWidth="1"/>
    <col min="3" max="3" width="17.28515625" style="16" customWidth="1"/>
    <col min="4" max="4" width="13.140625" style="16" customWidth="1"/>
    <col min="5" max="5" width="12.140625" style="16" customWidth="1"/>
    <col min="6" max="6" width="19.7109375" style="16" customWidth="1"/>
    <col min="7" max="8" width="38.28515625" style="16" customWidth="1"/>
    <col min="9" max="9" width="17.140625" style="16" customWidth="1"/>
    <col min="10" max="10" width="12.28515625" style="16" customWidth="1"/>
    <col min="11" max="11" width="13.28515625" style="16" bestFit="1" customWidth="1"/>
    <col min="12" max="14" width="11.5703125" style="16" bestFit="1" customWidth="1"/>
    <col min="15" max="20" width="9.140625" style="16"/>
    <col min="21" max="21" width="23.5703125" style="16" customWidth="1"/>
    <col min="22" max="16384" width="9.140625" style="16"/>
  </cols>
  <sheetData>
    <row r="1" spans="1:8" ht="21" x14ac:dyDescent="0.35">
      <c r="A1" s="16" t="s">
        <v>42</v>
      </c>
      <c r="B1" s="49" t="s">
        <v>43</v>
      </c>
    </row>
    <row r="2" spans="1:8" x14ac:dyDescent="0.25">
      <c r="B2" s="16" t="s">
        <v>40</v>
      </c>
    </row>
    <row r="3" spans="1:8" ht="30" customHeight="1" x14ac:dyDescent="0.25">
      <c r="B3" s="45" t="s">
        <v>37</v>
      </c>
      <c r="C3" s="45" t="s">
        <v>4</v>
      </c>
      <c r="E3" s="44" t="s">
        <v>44</v>
      </c>
    </row>
    <row r="4" spans="1:8" x14ac:dyDescent="0.25">
      <c r="B4" s="16" t="s">
        <v>10</v>
      </c>
      <c r="C4" s="88">
        <v>235</v>
      </c>
      <c r="E4" s="9">
        <v>166.62298140785006</v>
      </c>
      <c r="G4" s="9"/>
      <c r="H4" s="9"/>
    </row>
    <row r="5" spans="1:8" x14ac:dyDescent="0.25">
      <c r="B5" s="16" t="s">
        <v>11</v>
      </c>
      <c r="C5" s="88">
        <v>264</v>
      </c>
      <c r="E5" s="9">
        <v>198.41481284134807</v>
      </c>
      <c r="G5" s="9"/>
      <c r="H5" s="9"/>
    </row>
    <row r="6" spans="1:8" x14ac:dyDescent="0.25">
      <c r="B6" s="16" t="s">
        <v>12</v>
      </c>
      <c r="C6" s="88">
        <v>306</v>
      </c>
      <c r="E6" s="9">
        <v>217.73011855601436</v>
      </c>
      <c r="G6" s="9"/>
      <c r="H6" s="9"/>
    </row>
    <row r="7" spans="1:8" x14ac:dyDescent="0.25">
      <c r="B7" s="16" t="s">
        <v>13</v>
      </c>
      <c r="C7" s="88">
        <v>396</v>
      </c>
      <c r="E7" s="9">
        <v>288.34047846464836</v>
      </c>
      <c r="G7" s="9"/>
      <c r="H7" s="9"/>
    </row>
    <row r="8" spans="1:8" x14ac:dyDescent="0.25">
      <c r="B8" s="16" t="s">
        <v>14</v>
      </c>
      <c r="C8" s="88">
        <v>436</v>
      </c>
      <c r="E8" s="9">
        <v>296.44331956840279</v>
      </c>
      <c r="G8" s="9"/>
      <c r="H8" s="9"/>
    </row>
    <row r="9" spans="1:8" x14ac:dyDescent="0.25">
      <c r="B9" s="16" t="s">
        <v>9</v>
      </c>
      <c r="C9" s="88">
        <v>481</v>
      </c>
      <c r="E9" s="9">
        <v>379.1128280271746</v>
      </c>
      <c r="G9" s="9"/>
      <c r="H9" s="9"/>
    </row>
    <row r="10" spans="1:8" x14ac:dyDescent="0.25">
      <c r="C10" s="88"/>
    </row>
    <row r="11" spans="1:8" x14ac:dyDescent="0.25">
      <c r="B11" s="17"/>
      <c r="C11" s="88"/>
    </row>
    <row r="12" spans="1:8" x14ac:dyDescent="0.25">
      <c r="C12" s="16" t="s">
        <v>38</v>
      </c>
    </row>
    <row r="13" spans="1:8" x14ac:dyDescent="0.25">
      <c r="A13" s="16" t="s">
        <v>41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opLeftCell="B1" workbookViewId="0">
      <selection activeCell="B5" sqref="B5"/>
    </sheetView>
  </sheetViews>
  <sheetFormatPr defaultRowHeight="15" x14ac:dyDescent="0.25"/>
  <cols>
    <col min="1" max="1" width="42.85546875" style="7" customWidth="1"/>
    <col min="2" max="2" width="9.140625" style="16"/>
    <col min="3" max="3" width="21.42578125" style="16" customWidth="1"/>
    <col min="4" max="4" width="9.140625" style="16"/>
    <col min="5" max="5" width="41.85546875" style="16" customWidth="1"/>
    <col min="6" max="6" width="9.140625" style="16"/>
    <col min="7" max="10" width="10.7109375" style="16" customWidth="1"/>
    <col min="11" max="16384" width="9.140625" style="16"/>
  </cols>
  <sheetData>
    <row r="1" spans="1:20" x14ac:dyDescent="0.25">
      <c r="A1" s="51" t="s">
        <v>4</v>
      </c>
      <c r="D1" s="64"/>
      <c r="E1" s="63"/>
      <c r="F1" s="63"/>
      <c r="G1" s="63"/>
      <c r="H1" s="63"/>
      <c r="I1" s="63"/>
      <c r="J1" s="63"/>
      <c r="K1" s="119"/>
      <c r="L1" s="119"/>
    </row>
    <row r="2" spans="1:20" x14ac:dyDescent="0.25">
      <c r="A2" s="7" t="s">
        <v>47</v>
      </c>
      <c r="B2" s="54"/>
      <c r="C2" s="54"/>
      <c r="D2" s="64"/>
      <c r="E2" s="7"/>
      <c r="O2" s="7"/>
    </row>
    <row r="3" spans="1:20" x14ac:dyDescent="0.25">
      <c r="B3" s="54"/>
      <c r="C3" s="54"/>
      <c r="D3" s="64"/>
      <c r="E3" s="7"/>
      <c r="O3" s="7"/>
    </row>
    <row r="4" spans="1:20" ht="105" x14ac:dyDescent="0.25">
      <c r="A4" s="16" t="s">
        <v>50</v>
      </c>
      <c r="B4" s="53" t="s">
        <v>3</v>
      </c>
      <c r="C4" s="68" t="s">
        <v>49</v>
      </c>
      <c r="D4" s="64"/>
      <c r="E4" s="41" t="s">
        <v>48</v>
      </c>
      <c r="F4" s="16">
        <v>2016</v>
      </c>
      <c r="G4" s="16">
        <v>2017</v>
      </c>
      <c r="H4" s="16">
        <v>2018</v>
      </c>
      <c r="I4" s="16">
        <v>2019</v>
      </c>
      <c r="J4" s="16">
        <v>2020</v>
      </c>
      <c r="K4" s="64" t="s">
        <v>3</v>
      </c>
      <c r="L4" s="68" t="s">
        <v>49</v>
      </c>
      <c r="N4" s="16" t="s">
        <v>51</v>
      </c>
      <c r="O4" s="7">
        <v>2016</v>
      </c>
      <c r="P4" s="16">
        <v>2017</v>
      </c>
      <c r="Q4" s="7">
        <v>2018</v>
      </c>
      <c r="R4" s="16">
        <v>2019</v>
      </c>
      <c r="S4" s="7">
        <v>2020</v>
      </c>
      <c r="T4" s="61" t="s">
        <v>3</v>
      </c>
    </row>
    <row r="5" spans="1:20" x14ac:dyDescent="0.25">
      <c r="A5" s="7" t="s">
        <v>16</v>
      </c>
      <c r="B5" s="1">
        <v>8.1999999999999993</v>
      </c>
      <c r="C5" s="57">
        <v>0.5</v>
      </c>
      <c r="D5" s="66"/>
      <c r="E5" s="41" t="s">
        <v>16</v>
      </c>
      <c r="F5" s="3">
        <f>$K5/5</f>
        <v>3.28</v>
      </c>
      <c r="G5" s="3">
        <f t="shared" ref="G5:J17" si="0">$K5/5</f>
        <v>3.28</v>
      </c>
      <c r="H5" s="3">
        <f t="shared" si="0"/>
        <v>3.28</v>
      </c>
      <c r="I5" s="3">
        <f t="shared" si="0"/>
        <v>3.28</v>
      </c>
      <c r="J5" s="3">
        <f t="shared" si="0"/>
        <v>3.28</v>
      </c>
      <c r="K5" s="16">
        <f t="shared" ref="K5:K17" si="1">B5/C5*L5</f>
        <v>16.399999999999999</v>
      </c>
      <c r="L5" s="57">
        <f t="shared" ref="L5:L17" si="2">IF(C5&gt;=50%,1,0)</f>
        <v>1</v>
      </c>
      <c r="N5" s="41" t="s">
        <v>26</v>
      </c>
      <c r="O5" s="69">
        <f>$K$15/5</f>
        <v>1.3333333333333335</v>
      </c>
      <c r="P5" s="69">
        <f>$K$15/5</f>
        <v>1.3333333333333335</v>
      </c>
      <c r="Q5" s="69">
        <f>$K$15/5</f>
        <v>1.3333333333333335</v>
      </c>
      <c r="R5" s="69">
        <f>$K$15/5</f>
        <v>1.3333333333333335</v>
      </c>
      <c r="S5" s="69">
        <f>$K$15/5</f>
        <v>1.3333333333333335</v>
      </c>
      <c r="T5" s="70">
        <f>SUM(O5:S5)</f>
        <v>6.6666666666666679</v>
      </c>
    </row>
    <row r="6" spans="1:20" x14ac:dyDescent="0.25">
      <c r="A6" s="7" t="s">
        <v>17</v>
      </c>
      <c r="B6" s="1">
        <v>0.5</v>
      </c>
      <c r="C6" s="57">
        <v>0.1</v>
      </c>
      <c r="D6" s="66"/>
      <c r="E6" s="41" t="s">
        <v>17</v>
      </c>
      <c r="F6" s="3">
        <f t="shared" ref="F6:F17" si="3">$K6/5</f>
        <v>0</v>
      </c>
      <c r="G6" s="3">
        <f t="shared" si="0"/>
        <v>0</v>
      </c>
      <c r="H6" s="3">
        <f t="shared" si="0"/>
        <v>0</v>
      </c>
      <c r="I6" s="3">
        <f t="shared" si="0"/>
        <v>0</v>
      </c>
      <c r="J6" s="3">
        <f t="shared" si="0"/>
        <v>0</v>
      </c>
      <c r="K6" s="16">
        <f t="shared" si="1"/>
        <v>0</v>
      </c>
      <c r="L6" s="57">
        <f t="shared" si="2"/>
        <v>0</v>
      </c>
      <c r="N6" s="41" t="s">
        <v>28</v>
      </c>
      <c r="O6" s="69">
        <f>$K$17/5</f>
        <v>0.16</v>
      </c>
      <c r="P6" s="69">
        <f>$K$17/5</f>
        <v>0.16</v>
      </c>
      <c r="Q6" s="69">
        <f>$K$17/5</f>
        <v>0.16</v>
      </c>
      <c r="R6" s="69">
        <f>$K$17/5</f>
        <v>0.16</v>
      </c>
      <c r="S6" s="69">
        <f>$K$17/5</f>
        <v>0.16</v>
      </c>
      <c r="T6" s="70">
        <f>SUM(O6:S6)</f>
        <v>0.8</v>
      </c>
    </row>
    <row r="7" spans="1:20" x14ac:dyDescent="0.25">
      <c r="A7" s="7" t="s">
        <v>18</v>
      </c>
      <c r="B7" s="1">
        <v>0.7</v>
      </c>
      <c r="C7" s="57">
        <v>0.1</v>
      </c>
      <c r="D7" s="66"/>
      <c r="E7" s="41" t="s">
        <v>18</v>
      </c>
      <c r="F7" s="3">
        <f t="shared" si="3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  <c r="J7" s="3">
        <f t="shared" si="0"/>
        <v>0</v>
      </c>
      <c r="K7" s="16">
        <f t="shared" si="1"/>
        <v>0</v>
      </c>
      <c r="L7" s="57">
        <f t="shared" si="2"/>
        <v>0</v>
      </c>
      <c r="N7" s="1" t="s">
        <v>3</v>
      </c>
      <c r="O7" s="69">
        <f>SUM(O5:O6)</f>
        <v>1.4933333333333334</v>
      </c>
      <c r="P7" s="69">
        <f t="shared" ref="P7:S7" si="4">SUM(P5:P6)</f>
        <v>1.4933333333333334</v>
      </c>
      <c r="Q7" s="69">
        <f t="shared" si="4"/>
        <v>1.4933333333333334</v>
      </c>
      <c r="R7" s="69">
        <f t="shared" si="4"/>
        <v>1.4933333333333334</v>
      </c>
      <c r="S7" s="69">
        <f t="shared" si="4"/>
        <v>1.4933333333333334</v>
      </c>
      <c r="T7" s="71">
        <f>SUM(O7:S7)</f>
        <v>7.4666666666666668</v>
      </c>
    </row>
    <row r="8" spans="1:20" x14ac:dyDescent="0.25">
      <c r="A8" s="7" t="s">
        <v>19</v>
      </c>
      <c r="B8" s="1">
        <v>0.4</v>
      </c>
      <c r="C8" s="57">
        <v>0.1</v>
      </c>
      <c r="D8" s="66"/>
      <c r="E8" s="41" t="s">
        <v>19</v>
      </c>
      <c r="F8" s="3">
        <f t="shared" si="3"/>
        <v>0</v>
      </c>
      <c r="G8" s="3">
        <f t="shared" si="0"/>
        <v>0</v>
      </c>
      <c r="H8" s="3">
        <f t="shared" si="0"/>
        <v>0</v>
      </c>
      <c r="I8" s="3">
        <f t="shared" si="0"/>
        <v>0</v>
      </c>
      <c r="J8" s="3">
        <f t="shared" si="0"/>
        <v>0</v>
      </c>
      <c r="K8" s="16">
        <f t="shared" si="1"/>
        <v>0</v>
      </c>
      <c r="L8" s="57">
        <f t="shared" si="2"/>
        <v>0</v>
      </c>
      <c r="O8" s="7"/>
      <c r="T8" s="7"/>
    </row>
    <row r="9" spans="1:20" x14ac:dyDescent="0.25">
      <c r="A9" s="7" t="s">
        <v>20</v>
      </c>
      <c r="B9" s="1">
        <v>0.5</v>
      </c>
      <c r="C9" s="57">
        <v>0.1</v>
      </c>
      <c r="D9" s="66"/>
      <c r="E9" s="41" t="s">
        <v>20</v>
      </c>
      <c r="F9" s="3">
        <f t="shared" si="3"/>
        <v>0</v>
      </c>
      <c r="G9" s="3">
        <f t="shared" si="0"/>
        <v>0</v>
      </c>
      <c r="H9" s="3">
        <f t="shared" si="0"/>
        <v>0</v>
      </c>
      <c r="I9" s="3">
        <f t="shared" si="0"/>
        <v>0</v>
      </c>
      <c r="J9" s="3">
        <f t="shared" si="0"/>
        <v>0</v>
      </c>
      <c r="K9" s="16">
        <f t="shared" si="1"/>
        <v>0</v>
      </c>
      <c r="L9" s="57">
        <f t="shared" si="2"/>
        <v>0</v>
      </c>
      <c r="O9" s="7"/>
      <c r="T9" s="7"/>
    </row>
    <row r="10" spans="1:20" ht="30" x14ac:dyDescent="0.25">
      <c r="A10" s="7" t="s">
        <v>21</v>
      </c>
      <c r="B10" s="1">
        <v>0.1</v>
      </c>
      <c r="C10" s="57">
        <v>0.05</v>
      </c>
      <c r="D10" s="66"/>
      <c r="E10" s="41" t="s">
        <v>21</v>
      </c>
      <c r="F10" s="3">
        <f t="shared" si="3"/>
        <v>0</v>
      </c>
      <c r="G10" s="3">
        <f t="shared" si="0"/>
        <v>0</v>
      </c>
      <c r="H10" s="3">
        <f t="shared" si="0"/>
        <v>0</v>
      </c>
      <c r="I10" s="3">
        <f t="shared" si="0"/>
        <v>0</v>
      </c>
      <c r="J10" s="3">
        <f t="shared" si="0"/>
        <v>0</v>
      </c>
      <c r="K10" s="16">
        <f t="shared" si="1"/>
        <v>0</v>
      </c>
      <c r="L10" s="57">
        <f t="shared" si="2"/>
        <v>0</v>
      </c>
      <c r="O10" s="7"/>
      <c r="T10" s="7"/>
    </row>
    <row r="11" spans="1:20" x14ac:dyDescent="0.25">
      <c r="A11" s="7" t="s">
        <v>22</v>
      </c>
      <c r="B11" s="1">
        <v>0.2</v>
      </c>
      <c r="C11" s="57">
        <v>0.1</v>
      </c>
      <c r="D11" s="66"/>
      <c r="E11" s="41" t="s">
        <v>22</v>
      </c>
      <c r="F11" s="3">
        <f t="shared" si="3"/>
        <v>0</v>
      </c>
      <c r="G11" s="3">
        <f t="shared" si="0"/>
        <v>0</v>
      </c>
      <c r="H11" s="3">
        <f t="shared" si="0"/>
        <v>0</v>
      </c>
      <c r="I11" s="3">
        <f t="shared" si="0"/>
        <v>0</v>
      </c>
      <c r="J11" s="3">
        <f t="shared" si="0"/>
        <v>0</v>
      </c>
      <c r="K11" s="16">
        <f t="shared" si="1"/>
        <v>0</v>
      </c>
      <c r="L11" s="57">
        <f t="shared" si="2"/>
        <v>0</v>
      </c>
      <c r="O11" s="7"/>
      <c r="T11" s="7"/>
    </row>
    <row r="12" spans="1:20" x14ac:dyDescent="0.25">
      <c r="A12" s="7" t="s">
        <v>23</v>
      </c>
      <c r="B12" s="1">
        <v>0.1</v>
      </c>
      <c r="C12" s="57">
        <v>0.1</v>
      </c>
      <c r="D12" s="66"/>
      <c r="E12" s="41" t="s">
        <v>23</v>
      </c>
      <c r="F12" s="3">
        <f t="shared" si="3"/>
        <v>0</v>
      </c>
      <c r="G12" s="3">
        <f t="shared" si="0"/>
        <v>0</v>
      </c>
      <c r="H12" s="3">
        <f t="shared" si="0"/>
        <v>0</v>
      </c>
      <c r="I12" s="3">
        <f t="shared" si="0"/>
        <v>0</v>
      </c>
      <c r="J12" s="3">
        <f t="shared" si="0"/>
        <v>0</v>
      </c>
      <c r="K12" s="16">
        <f t="shared" si="1"/>
        <v>0</v>
      </c>
      <c r="L12" s="57">
        <f t="shared" si="2"/>
        <v>0</v>
      </c>
      <c r="O12" s="7"/>
      <c r="T12" s="7"/>
    </row>
    <row r="13" spans="1:20" x14ac:dyDescent="0.25">
      <c r="A13" s="7" t="s">
        <v>24</v>
      </c>
      <c r="B13" s="1">
        <v>0.1</v>
      </c>
      <c r="C13" s="57">
        <v>0.1</v>
      </c>
      <c r="D13" s="66"/>
      <c r="E13" s="41" t="s">
        <v>24</v>
      </c>
      <c r="F13" s="3">
        <f t="shared" si="3"/>
        <v>0</v>
      </c>
      <c r="G13" s="3">
        <f t="shared" si="0"/>
        <v>0</v>
      </c>
      <c r="H13" s="3">
        <f t="shared" si="0"/>
        <v>0</v>
      </c>
      <c r="I13" s="3">
        <f t="shared" si="0"/>
        <v>0</v>
      </c>
      <c r="J13" s="3">
        <f t="shared" si="0"/>
        <v>0</v>
      </c>
      <c r="K13" s="16">
        <f t="shared" si="1"/>
        <v>0</v>
      </c>
      <c r="L13" s="57">
        <f t="shared" si="2"/>
        <v>0</v>
      </c>
      <c r="O13" s="7"/>
      <c r="T13" s="7"/>
    </row>
    <row r="14" spans="1:20" x14ac:dyDescent="0.25">
      <c r="A14" s="7" t="s">
        <v>25</v>
      </c>
      <c r="B14" s="1">
        <v>0.4</v>
      </c>
      <c r="C14" s="57">
        <v>0.1</v>
      </c>
      <c r="D14" s="66"/>
      <c r="E14" s="41" t="s">
        <v>25</v>
      </c>
      <c r="F14" s="3">
        <f t="shared" si="3"/>
        <v>0</v>
      </c>
      <c r="G14" s="3">
        <f t="shared" si="0"/>
        <v>0</v>
      </c>
      <c r="H14" s="3">
        <f t="shared" si="0"/>
        <v>0</v>
      </c>
      <c r="I14" s="3">
        <f t="shared" si="0"/>
        <v>0</v>
      </c>
      <c r="J14" s="3">
        <f t="shared" si="0"/>
        <v>0</v>
      </c>
      <c r="K14" s="16">
        <f t="shared" si="1"/>
        <v>0</v>
      </c>
      <c r="L14" s="57">
        <f t="shared" si="2"/>
        <v>0</v>
      </c>
      <c r="O14" s="7"/>
      <c r="T14" s="7"/>
    </row>
    <row r="15" spans="1:20" x14ac:dyDescent="0.25">
      <c r="A15" s="7" t="s">
        <v>26</v>
      </c>
      <c r="B15" s="1">
        <v>4</v>
      </c>
      <c r="C15" s="57">
        <v>0.6</v>
      </c>
      <c r="D15" s="66"/>
      <c r="E15" s="41" t="s">
        <v>26</v>
      </c>
      <c r="F15" s="3">
        <f t="shared" si="3"/>
        <v>1.3333333333333335</v>
      </c>
      <c r="G15" s="3">
        <f t="shared" si="0"/>
        <v>1.3333333333333335</v>
      </c>
      <c r="H15" s="3">
        <f t="shared" si="0"/>
        <v>1.3333333333333335</v>
      </c>
      <c r="I15" s="3">
        <f t="shared" si="0"/>
        <v>1.3333333333333335</v>
      </c>
      <c r="J15" s="3">
        <f t="shared" si="0"/>
        <v>1.3333333333333335</v>
      </c>
      <c r="K15" s="3">
        <f t="shared" si="1"/>
        <v>6.666666666666667</v>
      </c>
      <c r="L15" s="57">
        <f t="shared" si="2"/>
        <v>1</v>
      </c>
      <c r="O15" s="7"/>
      <c r="T15" s="7"/>
    </row>
    <row r="16" spans="1:20" x14ac:dyDescent="0.25">
      <c r="A16" s="7" t="s">
        <v>27</v>
      </c>
      <c r="B16" s="1">
        <v>0.3</v>
      </c>
      <c r="C16" s="57">
        <v>0.1</v>
      </c>
      <c r="D16" s="66"/>
      <c r="E16" s="41" t="s">
        <v>27</v>
      </c>
      <c r="F16" s="3">
        <f t="shared" si="3"/>
        <v>0</v>
      </c>
      <c r="G16" s="3">
        <f t="shared" si="0"/>
        <v>0</v>
      </c>
      <c r="H16" s="3">
        <f t="shared" si="0"/>
        <v>0</v>
      </c>
      <c r="I16" s="3">
        <f t="shared" si="0"/>
        <v>0</v>
      </c>
      <c r="J16" s="3">
        <f t="shared" si="0"/>
        <v>0</v>
      </c>
      <c r="K16" s="16">
        <f t="shared" si="1"/>
        <v>0</v>
      </c>
      <c r="L16" s="57">
        <f t="shared" si="2"/>
        <v>0</v>
      </c>
      <c r="O16" s="7"/>
      <c r="T16" s="7"/>
    </row>
    <row r="17" spans="1:20" x14ac:dyDescent="0.25">
      <c r="A17" s="7" t="s">
        <v>28</v>
      </c>
      <c r="B17" s="1">
        <v>0.8</v>
      </c>
      <c r="C17" s="57">
        <v>1</v>
      </c>
      <c r="D17" s="66"/>
      <c r="E17" s="41" t="s">
        <v>28</v>
      </c>
      <c r="F17" s="3">
        <f t="shared" si="3"/>
        <v>0.16</v>
      </c>
      <c r="G17" s="3">
        <f t="shared" si="0"/>
        <v>0.16</v>
      </c>
      <c r="H17" s="3">
        <f t="shared" si="0"/>
        <v>0.16</v>
      </c>
      <c r="I17" s="3">
        <f t="shared" si="0"/>
        <v>0.16</v>
      </c>
      <c r="J17" s="3">
        <f t="shared" si="0"/>
        <v>0.16</v>
      </c>
      <c r="K17" s="16">
        <f t="shared" si="1"/>
        <v>0.8</v>
      </c>
      <c r="L17" s="57">
        <f t="shared" si="2"/>
        <v>1</v>
      </c>
      <c r="O17" s="7"/>
      <c r="T17" s="7"/>
    </row>
    <row r="18" spans="1:20" x14ac:dyDescent="0.25">
      <c r="A18" s="61" t="s">
        <v>3</v>
      </c>
      <c r="B18" s="53">
        <f>SUM(B5:B17)</f>
        <v>16.299999999999997</v>
      </c>
      <c r="E18" s="60" t="s">
        <v>3</v>
      </c>
      <c r="F18" s="3">
        <f>SUM(F5:F17)</f>
        <v>4.7733333333333334</v>
      </c>
      <c r="G18" s="3">
        <f t="shared" ref="G18:J18" si="5">SUM(G5:G17)</f>
        <v>4.7733333333333334</v>
      </c>
      <c r="H18" s="3">
        <f t="shared" si="5"/>
        <v>4.7733333333333334</v>
      </c>
      <c r="I18" s="3">
        <f t="shared" si="5"/>
        <v>4.7733333333333334</v>
      </c>
      <c r="J18" s="3">
        <f t="shared" si="5"/>
        <v>4.7733333333333334</v>
      </c>
      <c r="K18" s="3">
        <f>SUM(F18:J18)</f>
        <v>23.866666666666667</v>
      </c>
      <c r="O18" s="7"/>
    </row>
    <row r="19" spans="1:20" x14ac:dyDescent="0.25">
      <c r="E19" s="7"/>
      <c r="O19" s="7"/>
    </row>
    <row r="20" spans="1:20" x14ac:dyDescent="0.25">
      <c r="E20" s="7"/>
      <c r="O20" s="7"/>
    </row>
    <row r="21" spans="1:20" x14ac:dyDescent="0.25">
      <c r="E21" s="7"/>
      <c r="O21" s="7"/>
    </row>
  </sheetData>
  <mergeCells count="1">
    <mergeCell ref="K1:L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opLeftCell="A13" workbookViewId="0">
      <selection activeCell="F26" sqref="F26"/>
    </sheetView>
  </sheetViews>
  <sheetFormatPr defaultRowHeight="15" x14ac:dyDescent="0.25"/>
  <cols>
    <col min="1" max="1" width="32.7109375" style="16" customWidth="1"/>
    <col min="2" max="2" width="11.7109375" style="16" bestFit="1" customWidth="1"/>
    <col min="3" max="6" width="11.5703125" style="16" bestFit="1" customWidth="1"/>
    <col min="7" max="7" width="11.140625" style="16" bestFit="1" customWidth="1"/>
    <col min="8" max="8" width="9.140625" style="16"/>
    <col min="9" max="9" width="21.42578125" style="16" customWidth="1"/>
    <col min="10" max="16384" width="9.140625" style="16"/>
  </cols>
  <sheetData>
    <row r="1" spans="1:13" x14ac:dyDescent="0.25">
      <c r="A1" s="5" t="s">
        <v>4</v>
      </c>
    </row>
    <row r="2" spans="1:13" x14ac:dyDescent="0.25">
      <c r="A2" s="16" t="s">
        <v>52</v>
      </c>
      <c r="B2" s="54"/>
      <c r="C2" s="54"/>
      <c r="D2" s="54"/>
      <c r="E2" s="54"/>
      <c r="F2" s="54"/>
      <c r="G2" s="54"/>
      <c r="H2" s="54"/>
      <c r="I2" s="54"/>
    </row>
    <row r="3" spans="1:13" s="8" customFormat="1" ht="30" x14ac:dyDescent="0.25">
      <c r="B3" s="72"/>
      <c r="C3" s="72"/>
      <c r="D3" s="72"/>
      <c r="E3" s="72"/>
      <c r="F3" s="72"/>
      <c r="G3" s="72"/>
      <c r="H3" s="72"/>
      <c r="I3" s="68" t="s">
        <v>49</v>
      </c>
    </row>
    <row r="4" spans="1:13" x14ac:dyDescent="0.25">
      <c r="A4" s="16" t="s">
        <v>50</v>
      </c>
      <c r="B4" s="5">
        <v>2016</v>
      </c>
      <c r="C4" s="5">
        <v>2017</v>
      </c>
      <c r="D4" s="5">
        <v>2018</v>
      </c>
      <c r="E4" s="5">
        <v>2019</v>
      </c>
      <c r="F4" s="5">
        <v>2020</v>
      </c>
      <c r="G4" s="53" t="s">
        <v>3</v>
      </c>
      <c r="H4" s="53"/>
    </row>
    <row r="5" spans="1:13" ht="60" x14ac:dyDescent="0.25">
      <c r="A5" s="7" t="s">
        <v>6</v>
      </c>
      <c r="B5" s="55">
        <f>119500/10^6</f>
        <v>0.1195</v>
      </c>
      <c r="C5" s="55">
        <f>59750/10^6</f>
        <v>5.9749999999999998E-2</v>
      </c>
      <c r="D5" s="2">
        <v>0</v>
      </c>
      <c r="E5" s="2">
        <v>0</v>
      </c>
      <c r="F5" s="2">
        <v>0</v>
      </c>
      <c r="G5" s="62">
        <f>SUM(B5:F5)</f>
        <v>0.17924999999999999</v>
      </c>
      <c r="H5" s="53"/>
      <c r="J5" s="8" t="s">
        <v>8</v>
      </c>
    </row>
    <row r="6" spans="1:13" x14ac:dyDescent="0.25">
      <c r="A6" s="16" t="s">
        <v>7</v>
      </c>
      <c r="B6" s="59">
        <f>24500/10^6</f>
        <v>2.4500000000000001E-2</v>
      </c>
      <c r="C6" s="59">
        <f>12250/10^6</f>
        <v>1.225E-2</v>
      </c>
      <c r="D6" s="58">
        <v>0</v>
      </c>
      <c r="E6" s="58">
        <v>0</v>
      </c>
      <c r="F6" s="58">
        <v>0</v>
      </c>
      <c r="G6" s="62">
        <f t="shared" ref="G6:G7" si="0">SUM(B6:F6)</f>
        <v>3.6750000000000005E-2</v>
      </c>
      <c r="I6" s="75">
        <v>1</v>
      </c>
    </row>
    <row r="7" spans="1:13" x14ac:dyDescent="0.25">
      <c r="A7" s="1" t="s">
        <v>3</v>
      </c>
      <c r="B7" s="65">
        <f>SUM(B5:B6)</f>
        <v>0.14399999999999999</v>
      </c>
      <c r="C7" s="65">
        <f>SUM(C5:C6)</f>
        <v>7.1999999999999995E-2</v>
      </c>
      <c r="D7" s="65">
        <f t="shared" ref="D7:E7" si="1">SUM(D5:D6)</f>
        <v>0</v>
      </c>
      <c r="E7" s="65">
        <f t="shared" si="1"/>
        <v>0</v>
      </c>
      <c r="F7" s="65">
        <f>SUM(F5:F6)</f>
        <v>0</v>
      </c>
      <c r="G7" s="62">
        <f t="shared" si="0"/>
        <v>0.21599999999999997</v>
      </c>
      <c r="I7" s="75">
        <v>1</v>
      </c>
    </row>
    <row r="8" spans="1:13" x14ac:dyDescent="0.25">
      <c r="B8" s="58"/>
      <c r="C8" s="58"/>
      <c r="D8" s="58"/>
      <c r="E8" s="58"/>
      <c r="F8" s="58"/>
      <c r="G8" s="73"/>
      <c r="I8" s="4"/>
      <c r="M8" s="8"/>
    </row>
    <row r="9" spans="1:13" ht="30" x14ac:dyDescent="0.25">
      <c r="A9" s="16" t="s">
        <v>48</v>
      </c>
      <c r="B9" s="5">
        <v>2016</v>
      </c>
      <c r="C9" s="5">
        <v>2017</v>
      </c>
      <c r="D9" s="5">
        <v>2018</v>
      </c>
      <c r="E9" s="5">
        <v>2019</v>
      </c>
      <c r="F9" s="5">
        <v>2020</v>
      </c>
      <c r="G9" s="53" t="s">
        <v>3</v>
      </c>
      <c r="I9" s="68" t="s">
        <v>49</v>
      </c>
    </row>
    <row r="10" spans="1:13" ht="60" x14ac:dyDescent="0.25">
      <c r="A10" s="7" t="s">
        <v>6</v>
      </c>
      <c r="B10" s="59">
        <f>B5</f>
        <v>0.1195</v>
      </c>
      <c r="C10" s="59">
        <f t="shared" ref="C10:F10" si="2">C5</f>
        <v>5.9749999999999998E-2</v>
      </c>
      <c r="D10" s="59">
        <f t="shared" si="2"/>
        <v>0</v>
      </c>
      <c r="E10" s="59">
        <f t="shared" si="2"/>
        <v>0</v>
      </c>
      <c r="F10" s="59">
        <f t="shared" si="2"/>
        <v>0</v>
      </c>
      <c r="G10" s="73">
        <f>SUM(B10:F10)</f>
        <v>0.17924999999999999</v>
      </c>
      <c r="I10" s="57">
        <f>IF(I6&gt;=50%,1,0)</f>
        <v>1</v>
      </c>
    </row>
    <row r="11" spans="1:13" x14ac:dyDescent="0.25">
      <c r="A11" s="16" t="s">
        <v>7</v>
      </c>
      <c r="B11" s="77">
        <f>B6</f>
        <v>2.4500000000000001E-2</v>
      </c>
      <c r="C11" s="77">
        <f t="shared" ref="C11:F11" si="3">C6</f>
        <v>1.225E-2</v>
      </c>
      <c r="D11" s="77">
        <f t="shared" si="3"/>
        <v>0</v>
      </c>
      <c r="E11" s="77">
        <f t="shared" si="3"/>
        <v>0</v>
      </c>
      <c r="F11" s="77">
        <f t="shared" si="3"/>
        <v>0</v>
      </c>
      <c r="G11" s="73">
        <f t="shared" ref="G11:G12" si="4">SUM(B11:F11)</f>
        <v>3.6750000000000005E-2</v>
      </c>
      <c r="I11" s="57">
        <f>IF(I7&gt;=50%,1,0)</f>
        <v>1</v>
      </c>
    </row>
    <row r="12" spans="1:13" x14ac:dyDescent="0.25">
      <c r="A12" s="1" t="s">
        <v>3</v>
      </c>
      <c r="B12" s="65">
        <f>SUM(B10:B11)</f>
        <v>0.14399999999999999</v>
      </c>
      <c r="C12" s="65">
        <f t="shared" ref="C12:F12" si="5">SUM(C10:C11)</f>
        <v>7.1999999999999995E-2</v>
      </c>
      <c r="D12" s="65">
        <f t="shared" si="5"/>
        <v>0</v>
      </c>
      <c r="E12" s="65">
        <f t="shared" si="5"/>
        <v>0</v>
      </c>
      <c r="F12" s="65">
        <f t="shared" si="5"/>
        <v>0</v>
      </c>
      <c r="G12" s="74">
        <f t="shared" si="4"/>
        <v>0.21599999999999997</v>
      </c>
      <c r="I12" s="57"/>
    </row>
    <row r="13" spans="1:13" x14ac:dyDescent="0.25">
      <c r="B13" s="58"/>
      <c r="C13" s="58"/>
      <c r="D13" s="58"/>
      <c r="E13" s="58"/>
      <c r="F13" s="58"/>
      <c r="G13" s="73"/>
      <c r="H13" s="53"/>
    </row>
    <row r="14" spans="1:13" x14ac:dyDescent="0.25">
      <c r="A14" s="16" t="s">
        <v>39</v>
      </c>
      <c r="B14" s="5">
        <v>2016</v>
      </c>
      <c r="C14" s="5">
        <v>2017</v>
      </c>
      <c r="D14" s="5">
        <v>2018</v>
      </c>
      <c r="E14" s="5">
        <v>2019</v>
      </c>
      <c r="F14" s="5">
        <v>2020</v>
      </c>
      <c r="G14" s="53" t="s">
        <v>3</v>
      </c>
      <c r="I14" s="4"/>
    </row>
    <row r="15" spans="1:13" ht="60" x14ac:dyDescent="0.25">
      <c r="A15" s="7" t="s">
        <v>6</v>
      </c>
      <c r="B15" s="59">
        <f>B10</f>
        <v>0.1195</v>
      </c>
      <c r="C15" s="59">
        <f t="shared" ref="C15:F15" si="6">C10</f>
        <v>5.9749999999999998E-2</v>
      </c>
      <c r="D15" s="59">
        <f t="shared" si="6"/>
        <v>0</v>
      </c>
      <c r="E15" s="59">
        <f t="shared" si="6"/>
        <v>0</v>
      </c>
      <c r="F15" s="59">
        <f t="shared" si="6"/>
        <v>0</v>
      </c>
      <c r="G15" s="73">
        <f>SUM(B15:F15)</f>
        <v>0.17924999999999999</v>
      </c>
      <c r="I15" s="4"/>
    </row>
    <row r="16" spans="1:13" x14ac:dyDescent="0.25">
      <c r="A16" s="16" t="s">
        <v>7</v>
      </c>
      <c r="B16" s="77">
        <f>B11</f>
        <v>2.4500000000000001E-2</v>
      </c>
      <c r="C16" s="77">
        <f t="shared" ref="C16:F16" si="7">C11</f>
        <v>1.225E-2</v>
      </c>
      <c r="D16" s="77">
        <f t="shared" si="7"/>
        <v>0</v>
      </c>
      <c r="E16" s="77">
        <f t="shared" si="7"/>
        <v>0</v>
      </c>
      <c r="F16" s="77">
        <f t="shared" si="7"/>
        <v>0</v>
      </c>
      <c r="G16" s="73">
        <f t="shared" ref="G16:G17" si="8">SUM(B16:F16)</f>
        <v>3.6750000000000005E-2</v>
      </c>
      <c r="I16" s="4"/>
    </row>
    <row r="17" spans="1:7" x14ac:dyDescent="0.25">
      <c r="A17" s="1" t="s">
        <v>3</v>
      </c>
      <c r="B17" s="65">
        <f>SUM(B15:B16)</f>
        <v>0.14399999999999999</v>
      </c>
      <c r="C17" s="65">
        <f t="shared" ref="C17" si="9">SUM(C15:C16)</f>
        <v>7.1999999999999995E-2</v>
      </c>
      <c r="D17" s="65">
        <f t="shared" ref="D17" si="10">SUM(D15:D16)</f>
        <v>0</v>
      </c>
      <c r="E17" s="65">
        <f t="shared" ref="E17" si="11">SUM(E15:E16)</f>
        <v>0</v>
      </c>
      <c r="F17" s="65">
        <f t="shared" ref="F17" si="12">SUM(F15:F16)</f>
        <v>0</v>
      </c>
      <c r="G17" s="74">
        <f t="shared" si="8"/>
        <v>0.21599999999999997</v>
      </c>
    </row>
    <row r="18" spans="1:7" x14ac:dyDescent="0.25">
      <c r="A18" s="7"/>
      <c r="B18" s="12"/>
      <c r="C18" s="12"/>
      <c r="D18" s="12"/>
      <c r="E18" s="6"/>
    </row>
    <row r="19" spans="1:7" x14ac:dyDescent="0.25">
      <c r="B19" s="6"/>
      <c r="C19" s="12"/>
      <c r="D19" s="6"/>
      <c r="E19" s="6"/>
    </row>
    <row r="20" spans="1:7" x14ac:dyDescent="0.25">
      <c r="B20" s="6"/>
      <c r="C20" s="6"/>
      <c r="D20" s="6"/>
      <c r="E20" s="6"/>
    </row>
    <row r="21" spans="1:7" x14ac:dyDescent="0.25">
      <c r="B21" s="6"/>
      <c r="C21" s="6"/>
      <c r="D21" s="6"/>
      <c r="E21" s="6"/>
    </row>
    <row r="23" spans="1:7" x14ac:dyDescent="0.25">
      <c r="A23" s="1"/>
      <c r="B23" s="73"/>
      <c r="C23" s="73"/>
      <c r="D23" s="73"/>
      <c r="E23" s="73"/>
      <c r="F23" s="73"/>
      <c r="G23" s="74"/>
    </row>
    <row r="28" spans="1:7" x14ac:dyDescent="0.25">
      <c r="B28" s="6"/>
      <c r="C28" s="6"/>
      <c r="D28" s="6"/>
      <c r="E28" s="6"/>
      <c r="F28" s="6"/>
    </row>
    <row r="29" spans="1:7" x14ac:dyDescent="0.25">
      <c r="B29" s="6"/>
      <c r="C29" s="6"/>
      <c r="D29" s="6"/>
      <c r="E29" s="6"/>
      <c r="F29" s="6"/>
    </row>
    <row r="30" spans="1:7" x14ac:dyDescent="0.25">
      <c r="B30" s="6"/>
      <c r="C30" s="6"/>
      <c r="D30" s="6"/>
      <c r="E30" s="6"/>
      <c r="F30" s="6"/>
    </row>
    <row r="31" spans="1:7" x14ac:dyDescent="0.25">
      <c r="B31" s="6"/>
      <c r="C31" s="6"/>
      <c r="D31" s="6"/>
      <c r="E31" s="6"/>
      <c r="F31" s="6"/>
    </row>
    <row r="32" spans="1:7" x14ac:dyDescent="0.25">
      <c r="B32" s="6"/>
      <c r="C32" s="6"/>
      <c r="D32" s="6"/>
      <c r="E32" s="6"/>
      <c r="F32" s="6"/>
    </row>
    <row r="33" spans="1:9" x14ac:dyDescent="0.25">
      <c r="B33" s="6"/>
      <c r="C33" s="6"/>
      <c r="D33" s="6"/>
      <c r="E33" s="6"/>
      <c r="F33" s="6"/>
    </row>
    <row r="35" spans="1:9" x14ac:dyDescent="0.25">
      <c r="B35" s="11"/>
      <c r="C35" s="11"/>
      <c r="D35" s="11"/>
      <c r="E35" s="11"/>
      <c r="F35" s="11"/>
      <c r="G35" s="50"/>
    </row>
    <row r="44" spans="1:9" x14ac:dyDescent="0.25">
      <c r="A44" s="1" t="s">
        <v>3</v>
      </c>
      <c r="B44" s="73">
        <f>SUM(B41:B43)</f>
        <v>0</v>
      </c>
      <c r="C44" s="73">
        <f t="shared" ref="C44:F44" si="13">SUM(C41:C43)</f>
        <v>0</v>
      </c>
      <c r="D44" s="73">
        <f t="shared" si="13"/>
        <v>0</v>
      </c>
      <c r="E44" s="73">
        <f t="shared" si="13"/>
        <v>0</v>
      </c>
      <c r="F44" s="73">
        <f t="shared" si="13"/>
        <v>0</v>
      </c>
      <c r="G44" s="74">
        <f>SUM(B44:F44)</f>
        <v>0</v>
      </c>
    </row>
    <row r="46" spans="1:9" ht="30" x14ac:dyDescent="0.25">
      <c r="G46" s="13"/>
      <c r="I46" s="68" t="s">
        <v>49</v>
      </c>
    </row>
    <row r="47" spans="1:9" x14ac:dyDescent="0.25">
      <c r="A47" s="16" t="s">
        <v>48</v>
      </c>
      <c r="B47" s="5">
        <v>2016</v>
      </c>
      <c r="C47" s="5">
        <v>2017</v>
      </c>
      <c r="D47" s="5">
        <v>2018</v>
      </c>
      <c r="E47" s="5">
        <v>2019</v>
      </c>
      <c r="F47" s="5">
        <v>2020</v>
      </c>
      <c r="G47" s="53" t="s">
        <v>3</v>
      </c>
      <c r="H47" s="53"/>
    </row>
    <row r="48" spans="1:9" x14ac:dyDescent="0.25">
      <c r="B48" s="13"/>
      <c r="C48" s="13"/>
      <c r="D48" s="13"/>
      <c r="E48" s="13"/>
      <c r="F48" s="13"/>
      <c r="G48" s="73">
        <f>SUM(B48:F48)</f>
        <v>0</v>
      </c>
      <c r="I48" s="4">
        <v>1</v>
      </c>
    </row>
    <row r="49" spans="1:9" x14ac:dyDescent="0.25">
      <c r="B49" s="13"/>
      <c r="C49" s="13"/>
      <c r="D49" s="13"/>
      <c r="E49" s="13"/>
      <c r="F49" s="13"/>
      <c r="G49" s="73">
        <f t="shared" ref="G49:G51" si="14">SUM(B49:F49)</f>
        <v>0</v>
      </c>
      <c r="I49" s="4">
        <v>1</v>
      </c>
    </row>
    <row r="50" spans="1:9" x14ac:dyDescent="0.25">
      <c r="B50" s="13"/>
      <c r="C50" s="13"/>
      <c r="D50" s="13"/>
      <c r="E50" s="13"/>
      <c r="F50" s="13"/>
      <c r="G50" s="73">
        <f t="shared" si="14"/>
        <v>0</v>
      </c>
      <c r="I50" s="4">
        <v>1</v>
      </c>
    </row>
    <row r="51" spans="1:9" x14ac:dyDescent="0.25">
      <c r="A51" s="1" t="s">
        <v>3</v>
      </c>
      <c r="B51" s="73">
        <f>SUM(B48:B50)</f>
        <v>0</v>
      </c>
      <c r="C51" s="73">
        <f t="shared" ref="C51:F51" si="15">SUM(C48:C50)</f>
        <v>0</v>
      </c>
      <c r="D51" s="73">
        <f t="shared" si="15"/>
        <v>0</v>
      </c>
      <c r="E51" s="73">
        <f t="shared" si="15"/>
        <v>0</v>
      </c>
      <c r="F51" s="73">
        <f t="shared" si="15"/>
        <v>0</v>
      </c>
      <c r="G51" s="74">
        <f t="shared" si="14"/>
        <v>0</v>
      </c>
    </row>
    <row r="53" spans="1:9" x14ac:dyDescent="0.25">
      <c r="A53" s="16" t="s">
        <v>39</v>
      </c>
      <c r="B53" s="5">
        <v>2016</v>
      </c>
      <c r="C53" s="5">
        <v>2017</v>
      </c>
      <c r="D53" s="5">
        <v>2018</v>
      </c>
      <c r="E53" s="5">
        <v>2019</v>
      </c>
      <c r="F53" s="5">
        <v>2020</v>
      </c>
      <c r="G53" s="53" t="s">
        <v>3</v>
      </c>
    </row>
    <row r="54" spans="1:9" x14ac:dyDescent="0.25">
      <c r="B54" s="13"/>
      <c r="C54" s="13"/>
      <c r="D54" s="13"/>
      <c r="E54" s="13"/>
      <c r="F54" s="13"/>
      <c r="G54" s="73">
        <f>SUM(B54:F54)</f>
        <v>0</v>
      </c>
    </row>
    <row r="55" spans="1:9" x14ac:dyDescent="0.25">
      <c r="B55" s="13"/>
      <c r="C55" s="13"/>
      <c r="D55" s="13"/>
      <c r="E55" s="13"/>
      <c r="F55" s="13"/>
      <c r="G55" s="73">
        <f t="shared" ref="G55:G57" si="16">SUM(B55:F55)</f>
        <v>0</v>
      </c>
    </row>
    <row r="56" spans="1:9" x14ac:dyDescent="0.25">
      <c r="B56" s="13"/>
      <c r="C56" s="13"/>
      <c r="D56" s="13"/>
      <c r="E56" s="13"/>
      <c r="F56" s="13"/>
      <c r="G56" s="73">
        <f t="shared" si="16"/>
        <v>0</v>
      </c>
    </row>
    <row r="57" spans="1:9" x14ac:dyDescent="0.25">
      <c r="A57" s="1" t="s">
        <v>3</v>
      </c>
      <c r="B57" s="73">
        <f>SUM(B54:B56)</f>
        <v>0</v>
      </c>
      <c r="C57" s="73">
        <f t="shared" ref="C57:F57" si="17">SUM(C54:C56)</f>
        <v>0</v>
      </c>
      <c r="D57" s="73">
        <f t="shared" si="17"/>
        <v>0</v>
      </c>
      <c r="E57" s="73">
        <f t="shared" si="17"/>
        <v>0</v>
      </c>
      <c r="F57" s="73">
        <f t="shared" si="17"/>
        <v>0</v>
      </c>
      <c r="G57" s="74">
        <f t="shared" si="16"/>
        <v>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66"/>
  </sheetPr>
  <dimension ref="A1"/>
  <sheetViews>
    <sheetView workbookViewId="0">
      <selection activeCell="K41" sqref="K41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253"/>
  <sheetViews>
    <sheetView tabSelected="1" zoomScale="70" zoomScaleNormal="70" workbookViewId="0">
      <selection activeCell="K13" sqref="K13"/>
    </sheetView>
  </sheetViews>
  <sheetFormatPr defaultRowHeight="15" x14ac:dyDescent="0.25"/>
  <cols>
    <col min="1" max="1" width="9.140625" style="16"/>
    <col min="2" max="2" width="59.140625" style="16" customWidth="1"/>
    <col min="3" max="9" width="15.7109375" style="16" customWidth="1"/>
    <col min="10" max="10" width="20.7109375" style="16" customWidth="1"/>
    <col min="11" max="11" width="59.140625" style="16" bestFit="1" customWidth="1"/>
    <col min="12" max="18" width="15.7109375" style="16" customWidth="1"/>
    <col min="19" max="27" width="9.140625" style="16" customWidth="1"/>
    <col min="28" max="16384" width="9.140625" style="16"/>
  </cols>
  <sheetData>
    <row r="1" spans="2:33" x14ac:dyDescent="0.25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8"/>
      <c r="T1" s="90"/>
      <c r="U1" s="90"/>
      <c r="V1" s="90"/>
      <c r="W1" s="90"/>
      <c r="X1" s="90"/>
      <c r="Y1" s="90"/>
      <c r="Z1" s="90"/>
      <c r="AA1" s="90"/>
      <c r="AB1" s="88"/>
      <c r="AC1" s="88"/>
      <c r="AD1" s="88"/>
      <c r="AE1" s="88"/>
      <c r="AF1" s="88"/>
      <c r="AG1" s="88"/>
    </row>
    <row r="2" spans="2:33" x14ac:dyDescent="0.25">
      <c r="B2" s="91" t="s">
        <v>63</v>
      </c>
      <c r="C2" s="91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8"/>
      <c r="T2" s="90"/>
      <c r="U2" s="90"/>
      <c r="V2" s="90"/>
      <c r="W2" s="90"/>
      <c r="X2" s="90"/>
      <c r="Y2" s="90"/>
      <c r="Z2" s="90"/>
      <c r="AA2" s="90"/>
      <c r="AB2" s="88"/>
      <c r="AC2" s="88"/>
      <c r="AD2" s="88"/>
      <c r="AE2" s="88"/>
      <c r="AF2" s="88"/>
      <c r="AG2" s="88"/>
    </row>
    <row r="3" spans="2:33" x14ac:dyDescent="0.25">
      <c r="B3" s="5"/>
      <c r="C3" s="5"/>
      <c r="S3" s="88"/>
      <c r="T3" s="90"/>
      <c r="U3" s="90"/>
      <c r="V3" s="90"/>
      <c r="W3" s="90"/>
      <c r="X3" s="90"/>
      <c r="Y3" s="90"/>
      <c r="Z3" s="90"/>
      <c r="AA3" s="90"/>
      <c r="AB3" s="88"/>
      <c r="AC3" s="88"/>
      <c r="AD3" s="88"/>
      <c r="AE3" s="88"/>
      <c r="AF3" s="88"/>
      <c r="AG3" s="88"/>
    </row>
    <row r="4" spans="2:33" x14ac:dyDescent="0.25">
      <c r="B4" s="5" t="s">
        <v>107</v>
      </c>
      <c r="C4" s="5" t="str">
        <f>IF(ROUND(I18,2)=ROUND('[3]PTRM input'!$Q$174,2),"OK","CHECK")</f>
        <v>OK</v>
      </c>
      <c r="S4" s="88"/>
      <c r="T4" s="90"/>
      <c r="U4" s="90"/>
      <c r="V4" s="90"/>
      <c r="W4" s="90"/>
      <c r="X4" s="90"/>
      <c r="Y4" s="90"/>
      <c r="Z4" s="90"/>
      <c r="AA4" s="90"/>
      <c r="AB4" s="88"/>
      <c r="AC4" s="88"/>
      <c r="AD4" s="88"/>
      <c r="AE4" s="88"/>
      <c r="AF4" s="88"/>
      <c r="AG4" s="88"/>
    </row>
    <row r="5" spans="2:33" x14ac:dyDescent="0.25">
      <c r="B5" s="5" t="s">
        <v>108</v>
      </c>
      <c r="C5" s="5"/>
      <c r="S5" s="88"/>
      <c r="T5" s="90"/>
      <c r="U5" s="90"/>
      <c r="V5" s="90"/>
      <c r="W5" s="90"/>
      <c r="X5" s="90"/>
      <c r="Y5" s="90"/>
      <c r="Z5" s="90"/>
      <c r="AA5" s="90"/>
      <c r="AB5" s="88"/>
      <c r="AC5" s="88"/>
      <c r="AD5" s="88"/>
      <c r="AE5" s="88"/>
      <c r="AF5" s="88"/>
      <c r="AG5" s="88"/>
    </row>
    <row r="6" spans="2:33" x14ac:dyDescent="0.25">
      <c r="B6" s="5"/>
      <c r="C6" s="5"/>
      <c r="S6" s="88"/>
      <c r="T6" s="90"/>
      <c r="U6" s="90"/>
      <c r="V6" s="90"/>
      <c r="W6" s="90"/>
      <c r="X6" s="90"/>
      <c r="Y6" s="90"/>
      <c r="Z6" s="90"/>
      <c r="AA6" s="90"/>
      <c r="AB6" s="88"/>
      <c r="AC6" s="88"/>
      <c r="AD6" s="88"/>
      <c r="AE6" s="88"/>
      <c r="AF6" s="88"/>
      <c r="AG6" s="88"/>
    </row>
    <row r="7" spans="2:33" x14ac:dyDescent="0.25">
      <c r="B7" s="92"/>
      <c r="C7" s="92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88"/>
      <c r="T7" s="90"/>
      <c r="U7" s="90"/>
      <c r="V7" s="90"/>
      <c r="W7" s="90"/>
      <c r="X7" s="90"/>
      <c r="Y7" s="90"/>
      <c r="Z7" s="90"/>
      <c r="AA7" s="90"/>
      <c r="AB7" s="88"/>
      <c r="AC7" s="88"/>
      <c r="AD7" s="88"/>
      <c r="AE7" s="88"/>
      <c r="AF7" s="88"/>
      <c r="AG7" s="88"/>
    </row>
    <row r="8" spans="2:33" x14ac:dyDescent="0.25">
      <c r="B8" s="91" t="s">
        <v>64</v>
      </c>
      <c r="C8" s="92"/>
      <c r="D8" s="93"/>
      <c r="E8" s="93"/>
      <c r="F8" s="93"/>
      <c r="G8" s="93"/>
      <c r="H8" s="93"/>
      <c r="I8" s="93"/>
      <c r="J8" s="93"/>
      <c r="K8" s="91" t="s">
        <v>65</v>
      </c>
      <c r="L8" s="93"/>
      <c r="M8" s="93"/>
      <c r="N8" s="93"/>
      <c r="O8" s="93"/>
      <c r="P8" s="93"/>
      <c r="Q8" s="93"/>
      <c r="R8" s="93"/>
      <c r="S8" s="88"/>
      <c r="T8" s="90"/>
      <c r="U8" s="90"/>
      <c r="V8" s="90"/>
      <c r="W8" s="90"/>
      <c r="X8" s="90"/>
      <c r="Y8" s="90"/>
      <c r="Z8" s="90"/>
      <c r="AA8" s="90"/>
      <c r="AB8" s="88"/>
      <c r="AC8" s="88"/>
      <c r="AD8" s="88"/>
      <c r="AE8" s="88"/>
      <c r="AF8" s="88"/>
      <c r="AG8" s="88"/>
    </row>
    <row r="9" spans="2:33" x14ac:dyDescent="0.25">
      <c r="B9" s="92"/>
      <c r="C9" s="92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88"/>
      <c r="T9" s="90"/>
      <c r="U9" s="90"/>
      <c r="V9" s="90"/>
      <c r="W9" s="90"/>
      <c r="X9" s="90"/>
      <c r="Y9" s="90"/>
      <c r="Z9" s="90"/>
      <c r="AA9" s="90"/>
      <c r="AB9" s="88"/>
      <c r="AC9" s="88"/>
      <c r="AD9" s="88"/>
      <c r="AE9" s="88"/>
      <c r="AF9" s="88"/>
      <c r="AG9" s="88"/>
    </row>
    <row r="10" spans="2:33" x14ac:dyDescent="0.25">
      <c r="B10" s="5"/>
      <c r="C10" s="5"/>
      <c r="S10" s="88"/>
      <c r="T10" s="90"/>
      <c r="U10" s="90"/>
      <c r="V10" s="90"/>
      <c r="W10" s="90"/>
      <c r="X10" s="90"/>
      <c r="Y10" s="90"/>
      <c r="Z10" s="90"/>
      <c r="AA10" s="90"/>
      <c r="AB10" s="88"/>
      <c r="AC10" s="88"/>
      <c r="AD10" s="88"/>
      <c r="AE10" s="88"/>
      <c r="AF10" s="88"/>
      <c r="AG10" s="88"/>
    </row>
    <row r="11" spans="2:33" x14ac:dyDescent="0.25">
      <c r="B11" s="5"/>
      <c r="C11" s="5"/>
      <c r="S11" s="88"/>
      <c r="T11" s="90"/>
      <c r="U11" s="90"/>
      <c r="V11" s="90"/>
      <c r="W11" s="90"/>
      <c r="X11" s="90"/>
      <c r="Y11" s="90"/>
      <c r="Z11" s="90"/>
      <c r="AA11" s="90"/>
      <c r="AB11" s="88"/>
      <c r="AC11" s="88"/>
      <c r="AD11" s="88"/>
      <c r="AE11" s="88"/>
      <c r="AF11" s="88"/>
      <c r="AG11" s="88"/>
    </row>
    <row r="12" spans="2:33" x14ac:dyDescent="0.25">
      <c r="B12" s="5"/>
      <c r="C12" s="5"/>
      <c r="D12" s="5">
        <v>2016</v>
      </c>
      <c r="E12" s="5">
        <v>2017</v>
      </c>
      <c r="F12" s="5">
        <v>2018</v>
      </c>
      <c r="G12" s="5">
        <v>2019</v>
      </c>
      <c r="H12" s="5">
        <v>2020</v>
      </c>
      <c r="I12" s="94" t="s">
        <v>3</v>
      </c>
      <c r="K12" s="5"/>
      <c r="L12" s="5"/>
      <c r="M12" s="5">
        <v>2016</v>
      </c>
      <c r="N12" s="5">
        <v>2017</v>
      </c>
      <c r="O12" s="5">
        <v>2018</v>
      </c>
      <c r="P12" s="5">
        <v>2019</v>
      </c>
      <c r="Q12" s="5">
        <v>2020</v>
      </c>
      <c r="R12" s="94" t="s">
        <v>3</v>
      </c>
      <c r="S12" s="88"/>
      <c r="T12" s="90"/>
      <c r="U12" s="90"/>
      <c r="V12" s="90"/>
      <c r="W12" s="90"/>
      <c r="X12" s="90"/>
      <c r="Y12" s="90"/>
      <c r="Z12" s="90"/>
      <c r="AA12" s="90"/>
      <c r="AB12" s="88"/>
      <c r="AC12" s="88"/>
      <c r="AD12" s="88"/>
      <c r="AE12" s="88"/>
      <c r="AF12" s="88"/>
      <c r="AG12" s="88"/>
    </row>
    <row r="13" spans="2:33" x14ac:dyDescent="0.25">
      <c r="B13" s="5" t="s">
        <v>105</v>
      </c>
      <c r="C13" s="5"/>
      <c r="D13" s="5"/>
      <c r="E13" s="5"/>
      <c r="F13" s="5"/>
      <c r="G13" s="5"/>
      <c r="H13" s="5"/>
      <c r="I13" s="94"/>
      <c r="K13" s="5" t="s">
        <v>105</v>
      </c>
      <c r="L13" s="5"/>
      <c r="M13" s="5"/>
      <c r="N13" s="5"/>
      <c r="O13" s="5"/>
      <c r="P13" s="5"/>
      <c r="Q13" s="5"/>
      <c r="R13" s="94"/>
      <c r="S13" s="88"/>
      <c r="T13" s="90"/>
      <c r="U13" s="90"/>
      <c r="V13" s="90"/>
      <c r="W13" s="90"/>
      <c r="X13" s="90"/>
      <c r="Y13" s="90"/>
      <c r="Z13" s="90"/>
      <c r="AA13" s="90"/>
      <c r="AB13" s="88"/>
      <c r="AC13" s="88"/>
      <c r="AD13" s="88"/>
      <c r="AE13" s="88"/>
      <c r="AF13" s="88"/>
      <c r="AG13" s="88"/>
    </row>
    <row r="14" spans="2:33" x14ac:dyDescent="0.25">
      <c r="B14" s="5"/>
      <c r="C14" s="5"/>
      <c r="D14" s="5"/>
      <c r="E14" s="5"/>
      <c r="F14" s="5"/>
      <c r="G14" s="5"/>
      <c r="H14" s="5"/>
      <c r="K14" s="5"/>
      <c r="L14" s="5"/>
      <c r="M14" s="5"/>
      <c r="N14" s="5"/>
      <c r="O14" s="5"/>
      <c r="P14" s="5"/>
      <c r="Q14" s="5"/>
      <c r="S14" s="88"/>
      <c r="T14" s="90"/>
      <c r="U14" s="90"/>
      <c r="V14" s="90"/>
      <c r="W14" s="90"/>
      <c r="X14" s="90"/>
      <c r="Y14" s="90"/>
      <c r="Z14" s="90"/>
      <c r="AA14" s="90"/>
      <c r="AB14" s="88"/>
      <c r="AC14" s="88"/>
      <c r="AD14" s="88"/>
      <c r="AE14" s="88"/>
      <c r="AF14" s="88"/>
      <c r="AG14" s="88"/>
    </row>
    <row r="15" spans="2:33" x14ac:dyDescent="0.25">
      <c r="B15" s="2" t="s">
        <v>88</v>
      </c>
      <c r="C15" s="5"/>
      <c r="D15" s="105">
        <f>D189/10^6</f>
        <v>2.9630000000000001</v>
      </c>
      <c r="E15" s="105">
        <f t="shared" ref="E15:I15" si="0">E189/10^6</f>
        <v>1.0660000000000001</v>
      </c>
      <c r="F15" s="105">
        <f t="shared" si="0"/>
        <v>0.629</v>
      </c>
      <c r="G15" s="105">
        <f t="shared" si="0"/>
        <v>0.65700000000000003</v>
      </c>
      <c r="H15" s="105">
        <f t="shared" si="0"/>
        <v>0.67400000000000004</v>
      </c>
      <c r="I15" s="105">
        <f t="shared" si="0"/>
        <v>5.9889999999999999</v>
      </c>
      <c r="K15" s="2" t="s">
        <v>88</v>
      </c>
      <c r="L15" s="5"/>
      <c r="M15" s="105">
        <f>M189/10^6</f>
        <v>2.9630000000000001</v>
      </c>
      <c r="N15" s="105">
        <f t="shared" ref="N15:R15" si="1">N189/10^6</f>
        <v>1.0660000000000001</v>
      </c>
      <c r="O15" s="105">
        <f t="shared" si="1"/>
        <v>0.629</v>
      </c>
      <c r="P15" s="105">
        <f t="shared" si="1"/>
        <v>0.65700000000000003</v>
      </c>
      <c r="Q15" s="105">
        <f t="shared" si="1"/>
        <v>0.67400000000000004</v>
      </c>
      <c r="R15" s="105">
        <f t="shared" si="1"/>
        <v>5.9889999999999999</v>
      </c>
      <c r="S15" s="88"/>
      <c r="T15" s="90"/>
      <c r="U15" s="90"/>
      <c r="V15" s="90"/>
      <c r="W15" s="90"/>
      <c r="X15" s="90"/>
      <c r="Y15" s="90"/>
      <c r="Z15" s="90"/>
      <c r="AA15" s="90"/>
      <c r="AB15" s="88"/>
      <c r="AC15" s="88"/>
      <c r="AD15" s="88"/>
      <c r="AE15" s="88"/>
      <c r="AF15" s="88"/>
      <c r="AG15" s="88"/>
    </row>
    <row r="16" spans="2:33" x14ac:dyDescent="0.25">
      <c r="B16" s="2" t="s">
        <v>1</v>
      </c>
      <c r="C16" s="5"/>
      <c r="D16" s="105">
        <f t="shared" ref="D16:I16" si="2">D190/10^6</f>
        <v>1.4933333333333334</v>
      </c>
      <c r="E16" s="105">
        <f t="shared" si="2"/>
        <v>1.4933333333333334</v>
      </c>
      <c r="F16" s="105">
        <f t="shared" si="2"/>
        <v>1.4933333333333334</v>
      </c>
      <c r="G16" s="105">
        <f t="shared" si="2"/>
        <v>1.4933333333333334</v>
      </c>
      <c r="H16" s="105">
        <f t="shared" si="2"/>
        <v>1.4933333333333334</v>
      </c>
      <c r="I16" s="105">
        <f t="shared" si="2"/>
        <v>7.4666666666666677</v>
      </c>
      <c r="K16" s="2" t="s">
        <v>1</v>
      </c>
      <c r="L16" s="5"/>
      <c r="M16" s="105">
        <f t="shared" ref="M16:R16" si="3">M190/10^6</f>
        <v>1.4933333333333334</v>
      </c>
      <c r="N16" s="105">
        <f t="shared" si="3"/>
        <v>1.4933333333333334</v>
      </c>
      <c r="O16" s="105">
        <f t="shared" si="3"/>
        <v>1.4933333333333334</v>
      </c>
      <c r="P16" s="105">
        <f t="shared" si="3"/>
        <v>1.4933333333333334</v>
      </c>
      <c r="Q16" s="105">
        <f t="shared" si="3"/>
        <v>1.4933333333333334</v>
      </c>
      <c r="R16" s="105">
        <f t="shared" si="3"/>
        <v>7.4666666666666677</v>
      </c>
      <c r="S16" s="88"/>
      <c r="T16" s="90"/>
      <c r="U16" s="90"/>
      <c r="V16" s="90"/>
      <c r="W16" s="90"/>
      <c r="X16" s="90"/>
      <c r="Y16" s="90"/>
      <c r="Z16" s="90"/>
      <c r="AA16" s="90"/>
      <c r="AB16" s="88"/>
      <c r="AC16" s="88"/>
      <c r="AD16" s="88"/>
      <c r="AE16" s="88"/>
      <c r="AF16" s="88"/>
      <c r="AG16" s="88"/>
    </row>
    <row r="17" spans="2:33" x14ac:dyDescent="0.25">
      <c r="B17" s="2" t="s">
        <v>89</v>
      </c>
      <c r="C17" s="5"/>
      <c r="D17" s="105">
        <f t="shared" ref="D17:I17" si="4">D191/10^6</f>
        <v>0.14405200000000001</v>
      </c>
      <c r="E17" s="105">
        <f t="shared" si="4"/>
        <v>0.13200000000000001</v>
      </c>
      <c r="F17" s="105">
        <f t="shared" si="4"/>
        <v>0</v>
      </c>
      <c r="G17" s="105">
        <f t="shared" si="4"/>
        <v>0</v>
      </c>
      <c r="H17" s="105">
        <f t="shared" si="4"/>
        <v>0</v>
      </c>
      <c r="I17" s="105">
        <f t="shared" si="4"/>
        <v>0.27605200000000002</v>
      </c>
      <c r="K17" s="2" t="s">
        <v>89</v>
      </c>
      <c r="L17" s="5"/>
      <c r="M17" s="105">
        <f t="shared" ref="M17:R17" si="5">M191/10^6</f>
        <v>0.14405200000000001</v>
      </c>
      <c r="N17" s="105">
        <f t="shared" si="5"/>
        <v>0.13200000000000001</v>
      </c>
      <c r="O17" s="105">
        <f t="shared" si="5"/>
        <v>0</v>
      </c>
      <c r="P17" s="105">
        <f t="shared" si="5"/>
        <v>0</v>
      </c>
      <c r="Q17" s="105">
        <f t="shared" si="5"/>
        <v>0</v>
      </c>
      <c r="R17" s="105">
        <f t="shared" si="5"/>
        <v>0.27605200000000002</v>
      </c>
      <c r="S17" s="88"/>
      <c r="T17" s="90"/>
      <c r="U17" s="90"/>
      <c r="V17" s="90"/>
      <c r="W17" s="90"/>
      <c r="X17" s="90"/>
      <c r="Y17" s="90"/>
      <c r="Z17" s="90"/>
      <c r="AA17" s="90"/>
      <c r="AB17" s="88"/>
      <c r="AC17" s="88"/>
      <c r="AD17" s="88"/>
      <c r="AE17" s="88"/>
      <c r="AF17" s="88"/>
      <c r="AG17" s="88"/>
    </row>
    <row r="18" spans="2:33" x14ac:dyDescent="0.25">
      <c r="B18" s="2" t="s">
        <v>69</v>
      </c>
      <c r="C18" s="5"/>
      <c r="D18" s="96">
        <f>SUM(D15:D17)</f>
        <v>4.6003853333333335</v>
      </c>
      <c r="E18" s="96">
        <f t="shared" ref="E18:I18" si="6">SUM(E15:E17)</f>
        <v>2.6913333333333336</v>
      </c>
      <c r="F18" s="96">
        <f t="shared" si="6"/>
        <v>2.1223333333333336</v>
      </c>
      <c r="G18" s="96">
        <f t="shared" si="6"/>
        <v>2.1503333333333332</v>
      </c>
      <c r="H18" s="96">
        <f t="shared" si="6"/>
        <v>2.1673333333333336</v>
      </c>
      <c r="I18" s="96">
        <f t="shared" si="6"/>
        <v>13.731718666666668</v>
      </c>
      <c r="K18" s="2" t="s">
        <v>69</v>
      </c>
      <c r="L18" s="5"/>
      <c r="M18" s="96">
        <f>SUM(M15:M17)</f>
        <v>4.6003853333333335</v>
      </c>
      <c r="N18" s="96">
        <f t="shared" ref="N18" si="7">SUM(N15:N17)</f>
        <v>2.6913333333333336</v>
      </c>
      <c r="O18" s="96">
        <f t="shared" ref="O18" si="8">SUM(O15:O17)</f>
        <v>2.1223333333333336</v>
      </c>
      <c r="P18" s="96">
        <f t="shared" ref="P18" si="9">SUM(P15:P17)</f>
        <v>2.1503333333333332</v>
      </c>
      <c r="Q18" s="96">
        <f t="shared" ref="Q18" si="10">SUM(Q15:Q17)</f>
        <v>2.1673333333333336</v>
      </c>
      <c r="R18" s="96">
        <f t="shared" ref="R18" si="11">SUM(R15:R17)</f>
        <v>13.731718666666668</v>
      </c>
      <c r="S18" s="88"/>
      <c r="T18" s="90"/>
      <c r="U18" s="90"/>
      <c r="V18" s="90"/>
      <c r="W18" s="90"/>
      <c r="X18" s="90"/>
      <c r="Y18" s="90"/>
      <c r="Z18" s="90"/>
      <c r="AA18" s="90"/>
      <c r="AB18" s="88"/>
      <c r="AC18" s="88"/>
      <c r="AD18" s="88"/>
      <c r="AE18" s="88"/>
      <c r="AF18" s="88"/>
      <c r="AG18" s="88"/>
    </row>
    <row r="19" spans="2:33" x14ac:dyDescent="0.25">
      <c r="B19" s="2"/>
      <c r="C19" s="5"/>
      <c r="D19" s="111"/>
      <c r="E19" s="111"/>
      <c r="F19" s="111"/>
      <c r="G19" s="111"/>
      <c r="H19" s="111"/>
      <c r="I19" s="104"/>
      <c r="K19" s="2"/>
      <c r="L19" s="5"/>
      <c r="M19" s="108"/>
      <c r="N19" s="108"/>
      <c r="O19" s="108"/>
      <c r="P19" s="108"/>
      <c r="Q19" s="108"/>
      <c r="R19" s="108"/>
      <c r="S19" s="88"/>
      <c r="T19" s="90"/>
      <c r="U19" s="90"/>
      <c r="V19" s="90"/>
      <c r="W19" s="90"/>
      <c r="X19" s="90"/>
      <c r="Y19" s="90"/>
      <c r="Z19" s="90"/>
      <c r="AA19" s="90"/>
      <c r="AB19" s="88"/>
      <c r="AC19" s="88"/>
      <c r="AD19" s="88"/>
      <c r="AE19" s="88"/>
      <c r="AF19" s="88"/>
      <c r="AG19" s="88"/>
    </row>
    <row r="20" spans="2:33" x14ac:dyDescent="0.25">
      <c r="B20" s="2"/>
      <c r="C20" s="5"/>
      <c r="D20" s="111"/>
      <c r="E20" s="111"/>
      <c r="F20" s="111"/>
      <c r="G20" s="111"/>
      <c r="H20" s="111"/>
      <c r="I20" s="104"/>
      <c r="K20" s="2"/>
      <c r="L20" s="5"/>
      <c r="M20" s="108"/>
      <c r="N20" s="108"/>
      <c r="O20" s="108"/>
      <c r="P20" s="108"/>
      <c r="Q20" s="108"/>
      <c r="R20" s="108"/>
      <c r="S20" s="88"/>
      <c r="T20" s="90"/>
      <c r="U20" s="90"/>
      <c r="V20" s="90"/>
      <c r="W20" s="90"/>
      <c r="X20" s="90"/>
      <c r="Y20" s="90"/>
      <c r="Z20" s="90"/>
      <c r="AA20" s="90"/>
      <c r="AB20" s="88"/>
      <c r="AC20" s="88"/>
      <c r="AD20" s="88"/>
      <c r="AE20" s="88"/>
      <c r="AF20" s="88"/>
      <c r="AG20" s="88"/>
    </row>
    <row r="21" spans="2:33" x14ac:dyDescent="0.25">
      <c r="B21" s="2" t="s">
        <v>110</v>
      </c>
      <c r="C21" s="113">
        <f>I18-R18</f>
        <v>0</v>
      </c>
      <c r="D21" s="111"/>
      <c r="E21" s="111"/>
      <c r="F21" s="111"/>
      <c r="G21" s="111"/>
      <c r="H21" s="111"/>
      <c r="I21" s="104"/>
      <c r="K21" s="2"/>
      <c r="L21" s="5"/>
      <c r="M21" s="108"/>
      <c r="N21" s="108"/>
      <c r="O21" s="108"/>
      <c r="P21" s="108"/>
      <c r="Q21" s="108"/>
      <c r="R21" s="108"/>
      <c r="S21" s="88"/>
      <c r="T21" s="90"/>
      <c r="U21" s="90"/>
      <c r="V21" s="90"/>
      <c r="W21" s="90"/>
      <c r="X21" s="90"/>
      <c r="Y21" s="90"/>
      <c r="Z21" s="90"/>
      <c r="AA21" s="90"/>
      <c r="AB21" s="88"/>
      <c r="AC21" s="88"/>
      <c r="AD21" s="88"/>
      <c r="AE21" s="88"/>
      <c r="AF21" s="88"/>
      <c r="AG21" s="88"/>
    </row>
    <row r="22" spans="2:33" x14ac:dyDescent="0.25">
      <c r="B22" s="2" t="s">
        <v>109</v>
      </c>
      <c r="C22" s="66">
        <f>R18/I18</f>
        <v>1</v>
      </c>
      <c r="D22" s="111"/>
      <c r="E22" s="111"/>
      <c r="F22" s="111"/>
      <c r="G22" s="111"/>
      <c r="H22" s="111"/>
      <c r="I22" s="104"/>
      <c r="K22" s="2"/>
      <c r="L22" s="5"/>
      <c r="M22" s="108"/>
      <c r="N22" s="108"/>
      <c r="O22" s="108"/>
      <c r="P22" s="108"/>
      <c r="Q22" s="108"/>
      <c r="R22" s="108"/>
      <c r="S22" s="88"/>
      <c r="T22" s="90"/>
      <c r="U22" s="90"/>
      <c r="V22" s="90"/>
      <c r="W22" s="90"/>
      <c r="X22" s="90"/>
      <c r="Y22" s="90"/>
      <c r="Z22" s="90"/>
      <c r="AA22" s="90"/>
      <c r="AB22" s="88"/>
      <c r="AC22" s="88"/>
      <c r="AD22" s="88"/>
      <c r="AE22" s="88"/>
      <c r="AF22" s="88"/>
      <c r="AG22" s="88"/>
    </row>
    <row r="23" spans="2:33" x14ac:dyDescent="0.25">
      <c r="B23" s="5"/>
      <c r="C23" s="5"/>
      <c r="D23" s="9"/>
      <c r="E23" s="9"/>
      <c r="F23" s="9"/>
      <c r="G23" s="9"/>
      <c r="H23" s="9"/>
      <c r="S23" s="88"/>
      <c r="T23" s="90"/>
      <c r="U23" s="90"/>
      <c r="V23" s="90"/>
      <c r="W23" s="90"/>
      <c r="X23" s="90"/>
      <c r="Y23" s="90"/>
      <c r="Z23" s="90"/>
      <c r="AA23" s="90"/>
      <c r="AB23" s="88"/>
      <c r="AC23" s="88"/>
      <c r="AD23" s="88"/>
      <c r="AE23" s="88"/>
      <c r="AF23" s="88"/>
      <c r="AG23" s="88"/>
    </row>
    <row r="24" spans="2:33" x14ac:dyDescent="0.25"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88"/>
      <c r="T24" s="90"/>
      <c r="U24" s="90"/>
      <c r="V24" s="90"/>
      <c r="W24" s="90"/>
      <c r="X24" s="90"/>
      <c r="Y24" s="90"/>
      <c r="Z24" s="90"/>
      <c r="AA24" s="90"/>
      <c r="AB24" s="88"/>
      <c r="AC24" s="88"/>
      <c r="AD24" s="88"/>
      <c r="AE24" s="88"/>
      <c r="AF24" s="88"/>
      <c r="AG24" s="88"/>
    </row>
    <row r="25" spans="2:33" x14ac:dyDescent="0.25">
      <c r="B25" s="91" t="s">
        <v>70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88"/>
      <c r="T25" s="90"/>
      <c r="U25" s="90"/>
      <c r="V25" s="90"/>
      <c r="W25" s="90"/>
      <c r="X25" s="90"/>
      <c r="Y25" s="90"/>
      <c r="Z25" s="90"/>
      <c r="AA25" s="90"/>
      <c r="AB25" s="88"/>
      <c r="AC25" s="88"/>
      <c r="AD25" s="88"/>
      <c r="AE25" s="88"/>
      <c r="AF25" s="88"/>
      <c r="AG25" s="88"/>
    </row>
    <row r="26" spans="2:33" x14ac:dyDescent="0.25"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88"/>
      <c r="T26" s="90"/>
      <c r="U26" s="90"/>
      <c r="V26" s="90"/>
      <c r="W26" s="90"/>
      <c r="X26" s="90"/>
      <c r="Y26" s="90"/>
      <c r="Z26" s="90"/>
      <c r="AA26" s="90"/>
      <c r="AB26" s="88"/>
      <c r="AC26" s="88"/>
      <c r="AD26" s="88"/>
      <c r="AE26" s="88"/>
      <c r="AF26" s="88"/>
      <c r="AG26" s="88"/>
    </row>
    <row r="27" spans="2:33" x14ac:dyDescent="0.25">
      <c r="B27" s="5"/>
      <c r="C27" s="5"/>
      <c r="S27" s="88"/>
      <c r="T27" s="90"/>
      <c r="U27" s="90"/>
      <c r="V27" s="90"/>
      <c r="W27" s="90"/>
      <c r="X27" s="90"/>
      <c r="Y27" s="90"/>
      <c r="Z27" s="90"/>
      <c r="AA27" s="90"/>
      <c r="AB27" s="88"/>
      <c r="AC27" s="88"/>
      <c r="AD27" s="88"/>
      <c r="AE27" s="88"/>
      <c r="AF27" s="88"/>
      <c r="AG27" s="88"/>
    </row>
    <row r="28" spans="2:33" x14ac:dyDescent="0.25"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88"/>
      <c r="T28" s="90"/>
      <c r="U28" s="90"/>
      <c r="V28" s="90"/>
      <c r="W28" s="90"/>
      <c r="X28" s="90"/>
      <c r="Y28" s="90"/>
      <c r="Z28" s="90"/>
      <c r="AA28" s="90"/>
      <c r="AB28" s="88"/>
      <c r="AC28" s="88"/>
      <c r="AD28" s="88"/>
      <c r="AE28" s="88"/>
      <c r="AF28" s="88"/>
      <c r="AG28" s="88"/>
    </row>
    <row r="29" spans="2:33" x14ac:dyDescent="0.25">
      <c r="B29" s="98" t="s">
        <v>71</v>
      </c>
      <c r="C29" s="98"/>
      <c r="D29" s="98"/>
      <c r="E29" s="98"/>
      <c r="F29" s="98"/>
      <c r="G29" s="98"/>
      <c r="H29" s="98"/>
      <c r="I29" s="98"/>
      <c r="J29" s="98"/>
      <c r="K29" s="98" t="s">
        <v>72</v>
      </c>
      <c r="L29" s="98"/>
      <c r="M29" s="98"/>
      <c r="N29" s="98"/>
      <c r="O29" s="98"/>
      <c r="P29" s="98"/>
      <c r="Q29" s="98"/>
      <c r="R29" s="98"/>
      <c r="S29" s="88"/>
      <c r="T29" s="90"/>
      <c r="U29" s="90"/>
      <c r="V29" s="90"/>
      <c r="W29" s="90"/>
      <c r="X29" s="90"/>
      <c r="Y29" s="90"/>
      <c r="Z29" s="90"/>
      <c r="AA29" s="90"/>
      <c r="AB29" s="88"/>
      <c r="AC29" s="88"/>
      <c r="AD29" s="88"/>
      <c r="AE29" s="88"/>
      <c r="AF29" s="88"/>
      <c r="AG29" s="88"/>
    </row>
    <row r="30" spans="2:33" x14ac:dyDescent="0.25"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88"/>
      <c r="T30" s="90"/>
      <c r="U30" s="90"/>
      <c r="V30" s="90"/>
      <c r="W30" s="90"/>
      <c r="X30" s="90"/>
      <c r="Y30" s="90"/>
      <c r="Z30" s="90"/>
      <c r="AA30" s="90"/>
      <c r="AB30" s="88"/>
      <c r="AC30" s="88"/>
      <c r="AD30" s="88"/>
      <c r="AE30" s="88"/>
      <c r="AF30" s="88"/>
      <c r="AG30" s="88"/>
    </row>
    <row r="31" spans="2:33" x14ac:dyDescent="0.25">
      <c r="Y31" s="90"/>
      <c r="Z31" s="90"/>
      <c r="AA31" s="90"/>
      <c r="AB31" s="88"/>
      <c r="AC31" s="88"/>
      <c r="AD31" s="88"/>
      <c r="AE31" s="88"/>
      <c r="AF31" s="88"/>
      <c r="AG31" s="88"/>
    </row>
    <row r="32" spans="2:33" x14ac:dyDescent="0.25">
      <c r="S32" s="88"/>
      <c r="T32" s="90"/>
      <c r="U32" s="90"/>
      <c r="V32" s="90"/>
      <c r="W32" s="90"/>
      <c r="X32" s="90"/>
      <c r="Y32" s="90"/>
      <c r="Z32" s="90"/>
      <c r="AA32" s="90"/>
      <c r="AB32" s="88"/>
      <c r="AC32" s="88"/>
      <c r="AD32" s="88"/>
      <c r="AE32" s="88"/>
      <c r="AF32" s="88"/>
      <c r="AG32" s="88"/>
    </row>
    <row r="33" spans="2:33" x14ac:dyDescent="0.25">
      <c r="D33" s="5">
        <v>2016</v>
      </c>
      <c r="E33" s="5">
        <v>2017</v>
      </c>
      <c r="F33" s="5">
        <v>2018</v>
      </c>
      <c r="G33" s="5">
        <v>2019</v>
      </c>
      <c r="H33" s="5">
        <v>2020</v>
      </c>
      <c r="I33" s="5"/>
      <c r="M33" s="5">
        <v>2016</v>
      </c>
      <c r="N33" s="5">
        <v>2017</v>
      </c>
      <c r="O33" s="5">
        <v>2018</v>
      </c>
      <c r="P33" s="5">
        <v>2019</v>
      </c>
      <c r="Q33" s="5">
        <v>2020</v>
      </c>
      <c r="S33" s="88"/>
      <c r="T33" s="90"/>
      <c r="U33" s="90"/>
      <c r="V33" s="90"/>
      <c r="W33" s="90"/>
      <c r="X33" s="90"/>
      <c r="Y33" s="90"/>
      <c r="Z33" s="90"/>
      <c r="AA33" s="90"/>
      <c r="AB33" s="88"/>
      <c r="AC33" s="88"/>
      <c r="AD33" s="88"/>
      <c r="AE33" s="88"/>
      <c r="AF33" s="88"/>
      <c r="AG33" s="88"/>
    </row>
    <row r="34" spans="2:33" x14ac:dyDescent="0.25">
      <c r="S34" s="88"/>
      <c r="T34" s="90"/>
      <c r="U34" s="90"/>
      <c r="V34" s="90"/>
      <c r="W34" s="90"/>
      <c r="X34" s="90"/>
      <c r="Y34" s="90"/>
      <c r="Z34" s="90"/>
      <c r="AA34" s="90"/>
      <c r="AB34" s="88"/>
      <c r="AC34" s="88"/>
      <c r="AD34" s="88"/>
      <c r="AE34" s="88"/>
      <c r="AF34" s="88"/>
      <c r="AG34" s="88"/>
    </row>
    <row r="35" spans="2:33" x14ac:dyDescent="0.25">
      <c r="B35" s="5" t="s">
        <v>73</v>
      </c>
      <c r="C35" s="5"/>
      <c r="K35" s="5" t="s">
        <v>73</v>
      </c>
      <c r="L35" s="5"/>
      <c r="S35" s="88"/>
      <c r="T35" s="90"/>
      <c r="U35" s="90"/>
      <c r="V35" s="90"/>
      <c r="W35" s="90"/>
      <c r="X35" s="90"/>
      <c r="Y35" s="90"/>
      <c r="Z35" s="90"/>
      <c r="AA35" s="90"/>
      <c r="AB35" s="88"/>
      <c r="AC35" s="88"/>
      <c r="AD35" s="88"/>
      <c r="AE35" s="88"/>
      <c r="AF35" s="88"/>
      <c r="AG35" s="88"/>
    </row>
    <row r="36" spans="2:33" x14ac:dyDescent="0.25">
      <c r="S36" s="88"/>
      <c r="T36" s="90"/>
      <c r="U36" s="90"/>
      <c r="V36" s="90"/>
      <c r="W36" s="90"/>
      <c r="X36" s="90"/>
      <c r="Y36" s="90"/>
      <c r="Z36" s="90"/>
      <c r="AA36" s="90"/>
      <c r="AB36" s="88"/>
      <c r="AC36" s="88"/>
      <c r="AD36" s="88"/>
      <c r="AE36" s="88"/>
      <c r="AF36" s="88"/>
      <c r="AG36" s="88"/>
    </row>
    <row r="37" spans="2:33" x14ac:dyDescent="0.25">
      <c r="B37" s="16" t="str">
        <f>[4]Inputs!D13</f>
        <v>Labour cost escalation</v>
      </c>
      <c r="D37" s="99">
        <v>0</v>
      </c>
      <c r="E37" s="99">
        <v>0</v>
      </c>
      <c r="F37" s="99">
        <v>0</v>
      </c>
      <c r="G37" s="99">
        <v>0</v>
      </c>
      <c r="H37" s="99">
        <v>0</v>
      </c>
      <c r="I37" s="99"/>
      <c r="K37" s="16" t="s">
        <v>74</v>
      </c>
      <c r="M37" s="99">
        <f>D37</f>
        <v>0</v>
      </c>
      <c r="N37" s="99">
        <f t="shared" ref="N37:Q45" si="12">E37</f>
        <v>0</v>
      </c>
      <c r="O37" s="99">
        <f t="shared" si="12"/>
        <v>0</v>
      </c>
      <c r="P37" s="99">
        <f t="shared" si="12"/>
        <v>0</v>
      </c>
      <c r="Q37" s="99">
        <f t="shared" si="12"/>
        <v>0</v>
      </c>
      <c r="S37" s="88"/>
      <c r="T37" s="90"/>
      <c r="U37" s="90"/>
      <c r="V37" s="90"/>
      <c r="W37" s="90"/>
      <c r="X37" s="90"/>
      <c r="Y37" s="90"/>
      <c r="Z37" s="90"/>
      <c r="AA37" s="90"/>
      <c r="AB37" s="88"/>
      <c r="AC37" s="88"/>
      <c r="AD37" s="88"/>
      <c r="AE37" s="88"/>
      <c r="AF37" s="88"/>
      <c r="AG37" s="88"/>
    </row>
    <row r="38" spans="2:33" x14ac:dyDescent="0.25">
      <c r="B38" s="16" t="str">
        <f>[4]Inputs!D14</f>
        <v>Materials cost escalation</v>
      </c>
      <c r="D38" s="99">
        <v>0</v>
      </c>
      <c r="E38" s="99">
        <v>0</v>
      </c>
      <c r="F38" s="99">
        <v>0</v>
      </c>
      <c r="G38" s="99">
        <v>0</v>
      </c>
      <c r="H38" s="99">
        <v>0</v>
      </c>
      <c r="I38" s="99"/>
      <c r="K38" s="16" t="s">
        <v>75</v>
      </c>
      <c r="M38" s="99">
        <f t="shared" ref="M38:M45" si="13">D38</f>
        <v>0</v>
      </c>
      <c r="N38" s="99">
        <f t="shared" si="12"/>
        <v>0</v>
      </c>
      <c r="O38" s="99">
        <f t="shared" si="12"/>
        <v>0</v>
      </c>
      <c r="P38" s="99">
        <f t="shared" si="12"/>
        <v>0</v>
      </c>
      <c r="Q38" s="99">
        <f t="shared" si="12"/>
        <v>0</v>
      </c>
      <c r="S38" s="88"/>
      <c r="T38" s="90"/>
      <c r="U38" s="90"/>
      <c r="V38" s="90"/>
      <c r="W38" s="90"/>
      <c r="X38" s="90"/>
      <c r="Y38" s="90"/>
      <c r="Z38" s="90"/>
      <c r="AA38" s="90"/>
      <c r="AB38" s="88"/>
      <c r="AC38" s="88"/>
      <c r="AD38" s="88"/>
      <c r="AE38" s="88"/>
      <c r="AF38" s="88"/>
      <c r="AG38" s="88"/>
    </row>
    <row r="39" spans="2:33" x14ac:dyDescent="0.25">
      <c r="B39" s="16" t="str">
        <f>[4]Inputs!D15</f>
        <v>Contracts cost escalation</v>
      </c>
      <c r="D39" s="99">
        <v>0</v>
      </c>
      <c r="E39" s="99">
        <v>0</v>
      </c>
      <c r="F39" s="99">
        <v>0</v>
      </c>
      <c r="G39" s="99">
        <v>0</v>
      </c>
      <c r="H39" s="99">
        <v>0</v>
      </c>
      <c r="I39" s="99"/>
      <c r="K39" s="16" t="s">
        <v>76</v>
      </c>
      <c r="M39" s="99">
        <f t="shared" si="13"/>
        <v>0</v>
      </c>
      <c r="N39" s="99">
        <f t="shared" si="12"/>
        <v>0</v>
      </c>
      <c r="O39" s="99">
        <f t="shared" si="12"/>
        <v>0</v>
      </c>
      <c r="P39" s="99">
        <f t="shared" si="12"/>
        <v>0</v>
      </c>
      <c r="Q39" s="99">
        <f t="shared" si="12"/>
        <v>0</v>
      </c>
      <c r="S39" s="88"/>
      <c r="T39" s="90"/>
      <c r="U39" s="90"/>
      <c r="V39" s="90"/>
      <c r="W39" s="90"/>
      <c r="X39" s="90"/>
      <c r="Y39" s="90"/>
      <c r="Z39" s="90"/>
      <c r="AA39" s="90"/>
      <c r="AB39" s="88"/>
      <c r="AC39" s="88"/>
      <c r="AD39" s="88"/>
      <c r="AE39" s="88"/>
      <c r="AF39" s="88"/>
      <c r="AG39" s="88"/>
    </row>
    <row r="40" spans="2:33" x14ac:dyDescent="0.25">
      <c r="D40" s="99"/>
      <c r="E40" s="99"/>
      <c r="F40" s="99"/>
      <c r="G40" s="99"/>
      <c r="H40" s="99"/>
      <c r="M40" s="99"/>
      <c r="N40" s="99"/>
      <c r="O40" s="99"/>
      <c r="P40" s="99"/>
      <c r="Q40" s="99"/>
      <c r="S40" s="88"/>
      <c r="T40" s="90"/>
      <c r="U40" s="90"/>
      <c r="V40" s="90"/>
      <c r="W40" s="90"/>
      <c r="X40" s="90"/>
      <c r="Y40" s="90"/>
      <c r="Z40" s="90"/>
      <c r="AA40" s="90"/>
      <c r="AB40" s="88"/>
      <c r="AC40" s="88"/>
      <c r="AD40" s="88"/>
      <c r="AE40" s="88"/>
      <c r="AF40" s="88"/>
      <c r="AG40" s="88"/>
    </row>
    <row r="41" spans="2:33" x14ac:dyDescent="0.25">
      <c r="B41" s="5" t="s">
        <v>77</v>
      </c>
      <c r="C41" s="5"/>
      <c r="D41" s="99"/>
      <c r="E41" s="99"/>
      <c r="F41" s="99"/>
      <c r="G41" s="99"/>
      <c r="H41" s="99"/>
      <c r="K41" s="5" t="s">
        <v>77</v>
      </c>
      <c r="L41" s="5"/>
      <c r="M41" s="99"/>
      <c r="N41" s="99"/>
      <c r="O41" s="99"/>
      <c r="P41" s="99"/>
      <c r="Q41" s="99"/>
      <c r="S41" s="88"/>
      <c r="T41" s="90"/>
      <c r="U41" s="90"/>
      <c r="V41" s="90"/>
      <c r="W41" s="90"/>
      <c r="X41" s="90"/>
      <c r="Y41" s="90"/>
      <c r="Z41" s="90"/>
      <c r="AA41" s="90"/>
      <c r="AB41" s="88"/>
      <c r="AC41" s="88"/>
      <c r="AD41" s="88"/>
      <c r="AE41" s="88"/>
      <c r="AF41" s="88"/>
      <c r="AG41" s="88"/>
    </row>
    <row r="42" spans="2:33" x14ac:dyDescent="0.25">
      <c r="D42" s="99"/>
      <c r="E42" s="99"/>
      <c r="F42" s="99"/>
      <c r="G42" s="99"/>
      <c r="H42" s="99"/>
      <c r="M42" s="99"/>
      <c r="N42" s="99"/>
      <c r="O42" s="99"/>
      <c r="P42" s="99"/>
      <c r="Q42" s="99"/>
      <c r="S42" s="88"/>
      <c r="T42" s="90"/>
      <c r="U42" s="90"/>
      <c r="V42" s="90"/>
      <c r="W42" s="90"/>
      <c r="X42" s="90"/>
      <c r="Y42" s="90"/>
      <c r="Z42" s="90"/>
      <c r="AA42" s="90"/>
      <c r="AB42" s="88"/>
      <c r="AC42" s="88"/>
      <c r="AD42" s="88"/>
      <c r="AE42" s="88"/>
      <c r="AF42" s="88"/>
      <c r="AG42" s="88"/>
    </row>
    <row r="43" spans="2:33" x14ac:dyDescent="0.25">
      <c r="B43" s="16" t="str">
        <f>[4]Inputs!D17</f>
        <v>Labour cost escalation</v>
      </c>
      <c r="D43" s="99">
        <v>0</v>
      </c>
      <c r="E43" s="99">
        <v>0</v>
      </c>
      <c r="F43" s="99">
        <v>0</v>
      </c>
      <c r="G43" s="99">
        <v>0</v>
      </c>
      <c r="H43" s="99">
        <v>0</v>
      </c>
      <c r="I43" s="99"/>
      <c r="K43" s="16" t="s">
        <v>74</v>
      </c>
      <c r="M43" s="99">
        <f t="shared" si="13"/>
        <v>0</v>
      </c>
      <c r="N43" s="99">
        <f t="shared" si="12"/>
        <v>0</v>
      </c>
      <c r="O43" s="99">
        <f t="shared" si="12"/>
        <v>0</v>
      </c>
      <c r="P43" s="99">
        <f t="shared" si="12"/>
        <v>0</v>
      </c>
      <c r="Q43" s="99">
        <f t="shared" si="12"/>
        <v>0</v>
      </c>
      <c r="S43" s="88"/>
      <c r="T43" s="90"/>
      <c r="U43" s="90"/>
      <c r="V43" s="90"/>
      <c r="W43" s="90"/>
      <c r="X43" s="90"/>
      <c r="Y43" s="90"/>
      <c r="Z43" s="90"/>
      <c r="AA43" s="90"/>
      <c r="AB43" s="88"/>
      <c r="AC43" s="88"/>
      <c r="AD43" s="88"/>
      <c r="AE43" s="88"/>
      <c r="AF43" s="88"/>
      <c r="AG43" s="88"/>
    </row>
    <row r="44" spans="2:33" x14ac:dyDescent="0.25">
      <c r="B44" s="16" t="str">
        <f>[4]Inputs!D18</f>
        <v>Materials cost escalation</v>
      </c>
      <c r="D44" s="99">
        <v>0</v>
      </c>
      <c r="E44" s="99">
        <v>0</v>
      </c>
      <c r="F44" s="99">
        <v>0</v>
      </c>
      <c r="G44" s="99">
        <v>0</v>
      </c>
      <c r="H44" s="99">
        <v>0</v>
      </c>
      <c r="I44" s="99"/>
      <c r="K44" s="16" t="s">
        <v>75</v>
      </c>
      <c r="M44" s="99">
        <f t="shared" si="13"/>
        <v>0</v>
      </c>
      <c r="N44" s="99">
        <f t="shared" si="12"/>
        <v>0</v>
      </c>
      <c r="O44" s="99">
        <f t="shared" si="12"/>
        <v>0</v>
      </c>
      <c r="P44" s="99">
        <f t="shared" si="12"/>
        <v>0</v>
      </c>
      <c r="Q44" s="99">
        <f t="shared" si="12"/>
        <v>0</v>
      </c>
      <c r="S44" s="88"/>
      <c r="T44" s="90"/>
      <c r="U44" s="90"/>
      <c r="V44" s="90"/>
      <c r="W44" s="90"/>
      <c r="X44" s="90"/>
      <c r="Y44" s="90"/>
      <c r="Z44" s="90"/>
      <c r="AA44" s="90"/>
      <c r="AB44" s="88"/>
      <c r="AC44" s="88"/>
      <c r="AD44" s="88"/>
      <c r="AE44" s="88"/>
      <c r="AF44" s="88"/>
      <c r="AG44" s="88"/>
    </row>
    <row r="45" spans="2:33" x14ac:dyDescent="0.25">
      <c r="B45" s="16" t="str">
        <f>[4]Inputs!D19</f>
        <v>Contracts cost escalation</v>
      </c>
      <c r="D45" s="99">
        <v>0</v>
      </c>
      <c r="E45" s="99">
        <v>0</v>
      </c>
      <c r="F45" s="99">
        <v>0</v>
      </c>
      <c r="G45" s="99">
        <v>0</v>
      </c>
      <c r="H45" s="99">
        <v>0</v>
      </c>
      <c r="I45" s="99"/>
      <c r="K45" s="16" t="s">
        <v>76</v>
      </c>
      <c r="M45" s="99">
        <f t="shared" si="13"/>
        <v>0</v>
      </c>
      <c r="N45" s="99">
        <f t="shared" si="12"/>
        <v>0</v>
      </c>
      <c r="O45" s="99">
        <f t="shared" si="12"/>
        <v>0</v>
      </c>
      <c r="P45" s="99">
        <f t="shared" si="12"/>
        <v>0</v>
      </c>
      <c r="Q45" s="99">
        <f t="shared" si="12"/>
        <v>0</v>
      </c>
      <c r="S45" s="88"/>
      <c r="T45" s="90"/>
      <c r="U45" s="90"/>
      <c r="V45" s="90"/>
      <c r="W45" s="90"/>
      <c r="X45" s="90"/>
      <c r="Y45" s="90"/>
      <c r="Z45" s="90"/>
      <c r="AA45" s="90"/>
      <c r="AB45" s="88"/>
      <c r="AC45" s="88"/>
      <c r="AD45" s="88"/>
      <c r="AE45" s="88"/>
      <c r="AF45" s="88"/>
      <c r="AG45" s="88"/>
    </row>
    <row r="46" spans="2:33" x14ac:dyDescent="0.25">
      <c r="D46" s="99"/>
      <c r="E46" s="99"/>
      <c r="F46" s="99"/>
      <c r="G46" s="99"/>
      <c r="H46" s="99"/>
      <c r="I46" s="99"/>
      <c r="M46" s="99"/>
      <c r="N46" s="99"/>
      <c r="O46" s="99"/>
      <c r="P46" s="99"/>
      <c r="Q46" s="99"/>
      <c r="S46" s="88"/>
      <c r="T46" s="90"/>
      <c r="U46" s="90"/>
      <c r="V46" s="90"/>
      <c r="W46" s="90"/>
      <c r="X46" s="90"/>
      <c r="Y46" s="90"/>
      <c r="Z46" s="90"/>
      <c r="AA46" s="90"/>
      <c r="AB46" s="88"/>
      <c r="AC46" s="88"/>
      <c r="AD46" s="88"/>
      <c r="AE46" s="88"/>
      <c r="AF46" s="88"/>
      <c r="AG46" s="88"/>
    </row>
    <row r="47" spans="2:33" x14ac:dyDescent="0.25">
      <c r="B47" s="5"/>
      <c r="C47" s="5"/>
      <c r="D47" s="99"/>
      <c r="E47" s="99"/>
      <c r="F47" s="99"/>
      <c r="G47" s="99"/>
      <c r="H47" s="99"/>
      <c r="I47" s="99"/>
      <c r="M47" s="99"/>
      <c r="N47" s="99"/>
      <c r="O47" s="99"/>
      <c r="P47" s="99"/>
      <c r="Q47" s="99"/>
      <c r="S47" s="88"/>
      <c r="T47" s="90"/>
      <c r="U47" s="90"/>
      <c r="V47" s="90"/>
      <c r="W47" s="90"/>
      <c r="X47" s="90"/>
      <c r="Y47" s="90"/>
      <c r="Z47" s="90"/>
      <c r="AA47" s="90"/>
      <c r="AB47" s="88"/>
      <c r="AC47" s="88"/>
      <c r="AD47" s="88"/>
      <c r="AE47" s="88"/>
      <c r="AF47" s="88"/>
      <c r="AG47" s="88"/>
    </row>
    <row r="48" spans="2:33" x14ac:dyDescent="0.25"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88"/>
      <c r="T48" s="90"/>
      <c r="U48" s="90"/>
      <c r="V48" s="90"/>
      <c r="W48" s="90"/>
      <c r="X48" s="90"/>
      <c r="Y48" s="90"/>
      <c r="Z48" s="90"/>
      <c r="AA48" s="90"/>
      <c r="AB48" s="88"/>
      <c r="AC48" s="88"/>
      <c r="AD48" s="88"/>
      <c r="AE48" s="88"/>
      <c r="AF48" s="88"/>
      <c r="AG48" s="88"/>
    </row>
    <row r="49" spans="2:33" x14ac:dyDescent="0.25">
      <c r="B49" s="98" t="s">
        <v>90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88"/>
      <c r="T49" s="90"/>
      <c r="U49" s="90"/>
      <c r="V49" s="90"/>
      <c r="W49" s="90"/>
      <c r="X49" s="90"/>
      <c r="Y49" s="90"/>
      <c r="Z49" s="90"/>
      <c r="AA49" s="90"/>
      <c r="AB49" s="88"/>
      <c r="AC49" s="88"/>
      <c r="AD49" s="88"/>
      <c r="AE49" s="88"/>
      <c r="AF49" s="88"/>
      <c r="AG49" s="88"/>
    </row>
    <row r="50" spans="2:33" x14ac:dyDescent="0.25"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88"/>
      <c r="T50" s="90"/>
      <c r="U50" s="90"/>
      <c r="V50" s="90"/>
      <c r="W50" s="90"/>
      <c r="X50" s="90"/>
      <c r="Y50" s="90"/>
      <c r="Z50" s="90"/>
      <c r="AA50" s="90"/>
      <c r="AB50" s="88"/>
      <c r="AC50" s="88"/>
      <c r="AD50" s="88"/>
      <c r="AE50" s="88"/>
      <c r="AF50" s="88"/>
      <c r="AG50" s="88"/>
    </row>
    <row r="51" spans="2:33" x14ac:dyDescent="0.25">
      <c r="D51" s="99"/>
      <c r="E51" s="99"/>
      <c r="F51" s="99"/>
      <c r="G51" s="99"/>
      <c r="H51" s="99"/>
      <c r="I51" s="99"/>
      <c r="M51" s="99"/>
      <c r="N51" s="99"/>
      <c r="O51" s="99"/>
      <c r="P51" s="99"/>
      <c r="Q51" s="99"/>
      <c r="S51" s="88"/>
      <c r="T51" s="90"/>
      <c r="U51" s="90"/>
      <c r="V51" s="90"/>
      <c r="W51" s="90"/>
      <c r="X51" s="90"/>
      <c r="Y51" s="90"/>
      <c r="Z51" s="90"/>
      <c r="AA51" s="90"/>
      <c r="AB51" s="88"/>
      <c r="AC51" s="88"/>
      <c r="AD51" s="88"/>
      <c r="AE51" s="88"/>
      <c r="AF51" s="88"/>
      <c r="AG51" s="88"/>
    </row>
    <row r="52" spans="2:33" x14ac:dyDescent="0.25">
      <c r="D52" s="99"/>
      <c r="E52" s="99"/>
      <c r="F52" s="99"/>
      <c r="G52" s="99"/>
      <c r="H52" s="99"/>
      <c r="I52" s="99"/>
      <c r="M52" s="99"/>
      <c r="N52" s="99"/>
      <c r="O52" s="99"/>
      <c r="P52" s="99"/>
      <c r="Q52" s="99"/>
      <c r="S52" s="88"/>
      <c r="T52" s="90"/>
      <c r="U52" s="90"/>
      <c r="V52" s="90"/>
      <c r="W52" s="90"/>
      <c r="X52" s="90"/>
      <c r="Y52" s="90"/>
      <c r="Z52" s="90"/>
      <c r="AA52" s="90"/>
      <c r="AB52" s="88"/>
      <c r="AC52" s="88"/>
      <c r="AD52" s="88"/>
      <c r="AE52" s="88"/>
      <c r="AF52" s="88"/>
      <c r="AG52" s="88"/>
    </row>
    <row r="53" spans="2:33" x14ac:dyDescent="0.25">
      <c r="D53" s="5">
        <v>2016</v>
      </c>
      <c r="E53" s="5">
        <v>2017</v>
      </c>
      <c r="F53" s="5">
        <v>2018</v>
      </c>
      <c r="G53" s="5">
        <v>2019</v>
      </c>
      <c r="H53" s="5">
        <v>2020</v>
      </c>
      <c r="I53" s="99"/>
      <c r="M53" s="5">
        <v>2016</v>
      </c>
      <c r="N53" s="5">
        <v>2017</v>
      </c>
      <c r="O53" s="5">
        <v>2018</v>
      </c>
      <c r="P53" s="5">
        <v>2019</v>
      </c>
      <c r="Q53" s="5">
        <v>2020</v>
      </c>
      <c r="S53" s="88"/>
      <c r="T53" s="90"/>
      <c r="U53" s="90"/>
      <c r="V53" s="90"/>
      <c r="W53" s="90"/>
      <c r="X53" s="90"/>
      <c r="Y53" s="90"/>
      <c r="Z53" s="90"/>
      <c r="AA53" s="90"/>
      <c r="AB53" s="88"/>
      <c r="AC53" s="88"/>
      <c r="AD53" s="88"/>
      <c r="AE53" s="88"/>
      <c r="AF53" s="88"/>
      <c r="AG53" s="88"/>
    </row>
    <row r="54" spans="2:33" x14ac:dyDescent="0.25">
      <c r="D54" s="99"/>
      <c r="E54" s="99"/>
      <c r="F54" s="99"/>
      <c r="G54" s="99"/>
      <c r="H54" s="99"/>
      <c r="I54" s="99"/>
      <c r="M54" s="99"/>
      <c r="N54" s="99"/>
      <c r="O54" s="99"/>
      <c r="P54" s="99"/>
      <c r="Q54" s="99"/>
      <c r="S54" s="88"/>
      <c r="T54" s="90"/>
      <c r="U54" s="90"/>
      <c r="V54" s="90"/>
      <c r="W54" s="90"/>
      <c r="X54" s="90"/>
      <c r="Y54" s="90"/>
      <c r="Z54" s="90"/>
      <c r="AA54" s="90"/>
      <c r="AB54" s="88"/>
      <c r="AC54" s="88"/>
      <c r="AD54" s="88"/>
      <c r="AE54" s="88"/>
      <c r="AF54" s="88"/>
      <c r="AG54" s="88"/>
    </row>
    <row r="55" spans="2:33" x14ac:dyDescent="0.25">
      <c r="B55" s="16" t="s">
        <v>91</v>
      </c>
      <c r="D55" s="100">
        <v>0.7</v>
      </c>
      <c r="E55" s="100">
        <v>0.7</v>
      </c>
      <c r="F55" s="100">
        <v>0.7</v>
      </c>
      <c r="G55" s="100">
        <v>0.7</v>
      </c>
      <c r="H55" s="100">
        <v>0.7</v>
      </c>
      <c r="I55" s="99"/>
      <c r="K55" s="16" t="s">
        <v>91</v>
      </c>
      <c r="M55" s="100">
        <f>D55</f>
        <v>0.7</v>
      </c>
      <c r="N55" s="100">
        <f t="shared" ref="N55:Q55" si="14">E55</f>
        <v>0.7</v>
      </c>
      <c r="O55" s="100">
        <f t="shared" si="14"/>
        <v>0.7</v>
      </c>
      <c r="P55" s="100">
        <f t="shared" si="14"/>
        <v>0.7</v>
      </c>
      <c r="Q55" s="100">
        <f t="shared" si="14"/>
        <v>0.7</v>
      </c>
      <c r="S55" s="88"/>
      <c r="T55" s="90"/>
      <c r="U55" s="90"/>
      <c r="V55" s="90"/>
      <c r="W55" s="90"/>
      <c r="X55" s="90"/>
      <c r="Y55" s="90"/>
      <c r="Z55" s="90"/>
      <c r="AA55" s="90"/>
      <c r="AB55" s="88"/>
      <c r="AC55" s="88"/>
      <c r="AD55" s="88"/>
      <c r="AE55" s="88"/>
      <c r="AF55" s="88"/>
      <c r="AG55" s="88"/>
    </row>
    <row r="56" spans="2:33" x14ac:dyDescent="0.25">
      <c r="D56" s="99"/>
      <c r="E56" s="99"/>
      <c r="F56" s="99"/>
      <c r="G56" s="99"/>
      <c r="H56" s="99"/>
      <c r="I56" s="99"/>
      <c r="M56" s="99"/>
      <c r="N56" s="99"/>
      <c r="O56" s="99"/>
      <c r="P56" s="99"/>
      <c r="Q56" s="99"/>
      <c r="S56" s="88"/>
      <c r="T56" s="90"/>
      <c r="U56" s="90"/>
      <c r="V56" s="90"/>
      <c r="W56" s="90"/>
      <c r="X56" s="90"/>
      <c r="Y56" s="90"/>
      <c r="Z56" s="90"/>
      <c r="AA56" s="90"/>
      <c r="AB56" s="88"/>
      <c r="AC56" s="88"/>
      <c r="AD56" s="88"/>
      <c r="AE56" s="88"/>
      <c r="AF56" s="88"/>
      <c r="AG56" s="88"/>
    </row>
    <row r="57" spans="2:33" x14ac:dyDescent="0.25">
      <c r="B57" s="5"/>
      <c r="C57" s="5"/>
      <c r="S57" s="88"/>
      <c r="T57" s="90"/>
      <c r="U57" s="90"/>
      <c r="V57" s="90"/>
      <c r="W57" s="90"/>
      <c r="X57" s="90"/>
      <c r="Y57" s="90"/>
      <c r="Z57" s="90"/>
      <c r="AA57" s="90"/>
      <c r="AB57" s="88"/>
      <c r="AC57" s="88"/>
      <c r="AD57" s="88"/>
      <c r="AE57" s="88"/>
      <c r="AF57" s="88"/>
      <c r="AG57" s="88"/>
    </row>
    <row r="58" spans="2:33" x14ac:dyDescent="0.25">
      <c r="B58" s="101"/>
      <c r="C58" s="101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8"/>
      <c r="T58" s="90"/>
      <c r="U58" s="90"/>
      <c r="V58" s="90"/>
      <c r="W58" s="90"/>
      <c r="X58" s="90"/>
      <c r="Y58" s="90"/>
      <c r="Z58" s="90"/>
      <c r="AA58" s="90"/>
      <c r="AB58" s="88"/>
      <c r="AC58" s="88"/>
      <c r="AD58" s="88"/>
      <c r="AE58" s="88"/>
      <c r="AF58" s="88"/>
      <c r="AG58" s="88"/>
    </row>
    <row r="59" spans="2:33" x14ac:dyDescent="0.25">
      <c r="B59" s="91" t="s">
        <v>66</v>
      </c>
      <c r="C59" s="101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8"/>
      <c r="T59" s="90"/>
      <c r="U59" s="90"/>
      <c r="V59" s="90"/>
      <c r="W59" s="90"/>
      <c r="X59" s="90"/>
      <c r="Y59" s="90"/>
      <c r="Z59" s="90"/>
      <c r="AA59" s="90"/>
      <c r="AB59" s="88"/>
      <c r="AC59" s="88"/>
      <c r="AD59" s="88"/>
      <c r="AE59" s="88"/>
      <c r="AF59" s="88"/>
      <c r="AG59" s="88"/>
    </row>
    <row r="60" spans="2:33" x14ac:dyDescent="0.25">
      <c r="B60" s="101"/>
      <c r="C60" s="101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8"/>
      <c r="T60" s="90"/>
      <c r="U60" s="90"/>
      <c r="V60" s="90"/>
      <c r="W60" s="90"/>
      <c r="X60" s="90"/>
      <c r="Y60" s="90"/>
      <c r="Z60" s="90"/>
      <c r="AA60" s="90"/>
      <c r="AB60" s="88"/>
      <c r="AC60" s="88"/>
      <c r="AD60" s="88"/>
      <c r="AE60" s="88"/>
      <c r="AF60" s="88"/>
      <c r="AG60" s="88"/>
    </row>
    <row r="61" spans="2:33" x14ac:dyDescent="0.25">
      <c r="S61" s="88"/>
      <c r="T61" s="90"/>
      <c r="U61" s="90"/>
      <c r="V61" s="90"/>
      <c r="W61" s="90"/>
      <c r="X61" s="90"/>
      <c r="Y61" s="90"/>
      <c r="Z61" s="90"/>
      <c r="AA61" s="90"/>
      <c r="AB61" s="88"/>
      <c r="AC61" s="88"/>
      <c r="AD61" s="88"/>
      <c r="AE61" s="88"/>
      <c r="AF61" s="88"/>
      <c r="AG61" s="88"/>
    </row>
    <row r="62" spans="2:33" x14ac:dyDescent="0.25"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88"/>
      <c r="T62" s="90"/>
      <c r="U62" s="90"/>
      <c r="V62" s="90"/>
      <c r="W62" s="90"/>
      <c r="X62" s="90"/>
      <c r="Y62" s="90"/>
      <c r="Z62" s="90"/>
      <c r="AA62" s="90"/>
      <c r="AB62" s="88"/>
      <c r="AC62" s="88"/>
      <c r="AD62" s="88"/>
      <c r="AE62" s="88"/>
      <c r="AF62" s="88"/>
      <c r="AG62" s="88"/>
    </row>
    <row r="63" spans="2:33" x14ac:dyDescent="0.25">
      <c r="B63" s="98" t="s">
        <v>78</v>
      </c>
      <c r="C63" s="98"/>
      <c r="D63" s="97"/>
      <c r="E63" s="97"/>
      <c r="F63" s="97"/>
      <c r="G63" s="97"/>
      <c r="H63" s="97"/>
      <c r="I63" s="97"/>
      <c r="J63" s="97"/>
      <c r="K63" s="98" t="s">
        <v>79</v>
      </c>
      <c r="L63" s="98"/>
      <c r="M63" s="97"/>
      <c r="N63" s="97"/>
      <c r="O63" s="97"/>
      <c r="P63" s="97"/>
      <c r="Q63" s="97"/>
      <c r="R63" s="97"/>
      <c r="S63" s="88"/>
      <c r="T63" s="90"/>
      <c r="U63" s="90"/>
      <c r="V63" s="90"/>
      <c r="W63" s="90"/>
      <c r="X63" s="90"/>
      <c r="Y63" s="90"/>
      <c r="Z63" s="90"/>
      <c r="AA63" s="90"/>
      <c r="AB63" s="88"/>
      <c r="AC63" s="88"/>
      <c r="AD63" s="88"/>
      <c r="AE63" s="88"/>
      <c r="AF63" s="88"/>
      <c r="AG63" s="88"/>
    </row>
    <row r="64" spans="2:33" x14ac:dyDescent="0.25"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88"/>
      <c r="T64" s="90"/>
      <c r="U64" s="90"/>
      <c r="V64" s="90"/>
      <c r="W64" s="90"/>
      <c r="X64" s="90"/>
      <c r="Y64" s="90"/>
      <c r="Z64" s="90"/>
      <c r="AA64" s="90"/>
      <c r="AB64" s="88"/>
      <c r="AC64" s="88"/>
      <c r="AD64" s="88"/>
      <c r="AE64" s="88"/>
      <c r="AF64" s="88"/>
      <c r="AG64" s="88"/>
    </row>
    <row r="65" spans="2:33" x14ac:dyDescent="0.25">
      <c r="S65" s="88"/>
      <c r="T65" s="90"/>
      <c r="U65" s="90"/>
      <c r="V65" s="90"/>
      <c r="W65" s="90"/>
      <c r="X65" s="90"/>
      <c r="Y65" s="90"/>
      <c r="Z65" s="90"/>
      <c r="AA65" s="90"/>
      <c r="AB65" s="88"/>
      <c r="AC65" s="88"/>
      <c r="AD65" s="88"/>
      <c r="AE65" s="88"/>
      <c r="AF65" s="88"/>
      <c r="AG65" s="88"/>
    </row>
    <row r="66" spans="2:33" x14ac:dyDescent="0.25">
      <c r="D66" s="5">
        <v>2016</v>
      </c>
      <c r="E66" s="5">
        <v>2017</v>
      </c>
      <c r="F66" s="5">
        <v>2018</v>
      </c>
      <c r="G66" s="5">
        <v>2019</v>
      </c>
      <c r="H66" s="5">
        <v>2020</v>
      </c>
      <c r="I66" s="5"/>
      <c r="M66" s="5">
        <v>2016</v>
      </c>
      <c r="N66" s="5">
        <v>2017</v>
      </c>
      <c r="O66" s="5">
        <v>2018</v>
      </c>
      <c r="P66" s="5">
        <v>2019</v>
      </c>
      <c r="Q66" s="5">
        <v>2020</v>
      </c>
      <c r="R66" s="5"/>
      <c r="S66" s="88"/>
      <c r="T66" s="90"/>
      <c r="U66" s="90"/>
      <c r="V66" s="90"/>
      <c r="W66" s="90"/>
      <c r="X66" s="90"/>
      <c r="Y66" s="90"/>
      <c r="Z66" s="90"/>
      <c r="AA66" s="90"/>
      <c r="AB66" s="88"/>
      <c r="AC66" s="88"/>
      <c r="AD66" s="88"/>
      <c r="AE66" s="88"/>
      <c r="AF66" s="88"/>
      <c r="AG66" s="88"/>
    </row>
    <row r="67" spans="2:33" x14ac:dyDescent="0.25">
      <c r="D67" s="5"/>
      <c r="E67" s="5"/>
      <c r="F67" s="5"/>
      <c r="G67" s="5"/>
      <c r="H67" s="5"/>
      <c r="I67" s="5"/>
      <c r="M67" s="5"/>
      <c r="N67" s="5"/>
      <c r="O67" s="5"/>
      <c r="P67" s="5"/>
      <c r="Q67" s="5"/>
      <c r="R67" s="5"/>
      <c r="S67" s="88"/>
      <c r="T67" s="90"/>
      <c r="U67" s="90"/>
      <c r="V67" s="90"/>
      <c r="W67" s="90"/>
      <c r="X67" s="90"/>
      <c r="Y67" s="90"/>
      <c r="Z67" s="90"/>
      <c r="AA67" s="90"/>
      <c r="AB67" s="88"/>
      <c r="AC67" s="88"/>
      <c r="AD67" s="88"/>
      <c r="AE67" s="88"/>
      <c r="AF67" s="88"/>
      <c r="AG67" s="88"/>
    </row>
    <row r="68" spans="2:33" x14ac:dyDescent="0.25">
      <c r="B68" s="5" t="s">
        <v>80</v>
      </c>
      <c r="D68" s="5"/>
      <c r="E68" s="5"/>
      <c r="F68" s="5"/>
      <c r="G68" s="5"/>
      <c r="H68" s="5"/>
      <c r="I68" s="5"/>
      <c r="K68" s="5" t="s">
        <v>80</v>
      </c>
      <c r="M68" s="5"/>
      <c r="N68" s="5"/>
      <c r="O68" s="5"/>
      <c r="P68" s="5"/>
      <c r="Q68" s="5"/>
      <c r="R68" s="5"/>
      <c r="S68" s="88"/>
      <c r="T68" s="90"/>
      <c r="U68" s="90"/>
      <c r="V68" s="90"/>
      <c r="W68" s="90"/>
      <c r="X68" s="90"/>
      <c r="Y68" s="90"/>
      <c r="Z68" s="90"/>
      <c r="AA68" s="90"/>
      <c r="AB68" s="88"/>
      <c r="AC68" s="88"/>
      <c r="AD68" s="88"/>
      <c r="AE68" s="88"/>
      <c r="AF68" s="88"/>
      <c r="AG68" s="88"/>
    </row>
    <row r="69" spans="2:33" x14ac:dyDescent="0.25">
      <c r="D69" s="5"/>
      <c r="E69" s="5"/>
      <c r="F69" s="5"/>
      <c r="G69" s="5"/>
      <c r="H69" s="5"/>
      <c r="I69" s="5"/>
      <c r="M69" s="5"/>
      <c r="N69" s="5"/>
      <c r="O69" s="5"/>
      <c r="P69" s="5"/>
      <c r="Q69" s="5"/>
      <c r="R69" s="5"/>
      <c r="S69" s="88"/>
      <c r="T69" s="90"/>
      <c r="U69" s="90"/>
      <c r="V69" s="90"/>
      <c r="W69" s="90"/>
      <c r="X69" s="90"/>
      <c r="Y69" s="90"/>
      <c r="Z69" s="90"/>
      <c r="AA69" s="90"/>
      <c r="AB69" s="88"/>
      <c r="AC69" s="88"/>
      <c r="AD69" s="88"/>
      <c r="AE69" s="88"/>
      <c r="AF69" s="88"/>
      <c r="AG69" s="88"/>
    </row>
    <row r="70" spans="2:33" x14ac:dyDescent="0.25">
      <c r="B70" s="1" t="s">
        <v>81</v>
      </c>
      <c r="D70" s="5"/>
      <c r="E70" s="5"/>
      <c r="F70" s="5"/>
      <c r="G70" s="5"/>
      <c r="H70" s="5"/>
      <c r="I70" s="5"/>
      <c r="K70" s="1" t="s">
        <v>81</v>
      </c>
      <c r="M70" s="5"/>
      <c r="N70" s="5"/>
      <c r="O70" s="5"/>
      <c r="P70" s="5"/>
      <c r="Q70" s="5"/>
      <c r="R70" s="5"/>
      <c r="S70" s="88"/>
      <c r="T70" s="90"/>
      <c r="U70" s="90"/>
      <c r="V70" s="90"/>
      <c r="W70" s="90"/>
      <c r="X70" s="90"/>
      <c r="Y70" s="90"/>
      <c r="Z70" s="90"/>
      <c r="AA70" s="90"/>
      <c r="AB70" s="88"/>
      <c r="AC70" s="88"/>
      <c r="AD70" s="88"/>
      <c r="AE70" s="88"/>
      <c r="AF70" s="88"/>
      <c r="AG70" s="88"/>
    </row>
    <row r="71" spans="2:33" x14ac:dyDescent="0.25">
      <c r="D71" s="5"/>
      <c r="E71" s="5"/>
      <c r="F71" s="5"/>
      <c r="G71" s="5"/>
      <c r="H71" s="5"/>
      <c r="I71" s="5"/>
      <c r="M71" s="5"/>
      <c r="N71" s="5"/>
      <c r="O71" s="5"/>
      <c r="P71" s="5"/>
      <c r="Q71" s="5"/>
      <c r="R71" s="5"/>
      <c r="S71" s="88"/>
      <c r="T71" s="90"/>
      <c r="U71" s="90"/>
      <c r="V71" s="90"/>
      <c r="W71" s="90"/>
      <c r="X71" s="90"/>
      <c r="Y71" s="90"/>
      <c r="Z71" s="90"/>
      <c r="AA71" s="90"/>
      <c r="AB71" s="88"/>
      <c r="AC71" s="88"/>
      <c r="AD71" s="88"/>
      <c r="AE71" s="88"/>
      <c r="AF71" s="88"/>
      <c r="AG71" s="88"/>
    </row>
    <row r="72" spans="2:33" x14ac:dyDescent="0.25">
      <c r="B72" s="16" t="s">
        <v>10</v>
      </c>
      <c r="D72" s="55">
        <f>'PD hardware unit costs'!$C4*D$55</f>
        <v>164.5</v>
      </c>
      <c r="E72" s="55">
        <f>'PD hardware unit costs'!$C4*E$55</f>
        <v>164.5</v>
      </c>
      <c r="F72" s="55">
        <f>'PD hardware unit costs'!$C4*F$55</f>
        <v>164.5</v>
      </c>
      <c r="G72" s="55">
        <f>'PD hardware unit costs'!$C4*G$55</f>
        <v>164.5</v>
      </c>
      <c r="H72" s="55">
        <f>'PD hardware unit costs'!$C4*H$55</f>
        <v>164.5</v>
      </c>
      <c r="I72" s="5"/>
      <c r="K72" s="16" t="s">
        <v>10</v>
      </c>
      <c r="M72" s="55">
        <f>'PD hardware unit costs'!$C4*D$55</f>
        <v>164.5</v>
      </c>
      <c r="N72" s="55">
        <f>'PD hardware unit costs'!$C4*E$55</f>
        <v>164.5</v>
      </c>
      <c r="O72" s="55">
        <f>'PD hardware unit costs'!$C4*F$55</f>
        <v>164.5</v>
      </c>
      <c r="P72" s="55">
        <f>'PD hardware unit costs'!$C4*G$55</f>
        <v>164.5</v>
      </c>
      <c r="Q72" s="55">
        <f>'PD hardware unit costs'!$C4*H$55</f>
        <v>164.5</v>
      </c>
      <c r="R72" s="5"/>
      <c r="S72" s="88"/>
      <c r="T72" s="90"/>
      <c r="U72" s="90"/>
      <c r="V72" s="90"/>
      <c r="W72" s="90"/>
      <c r="X72" s="90"/>
      <c r="Y72" s="90"/>
      <c r="Z72" s="90"/>
      <c r="AA72" s="90"/>
      <c r="AB72" s="88"/>
      <c r="AC72" s="88"/>
      <c r="AD72" s="88"/>
      <c r="AE72" s="88"/>
      <c r="AF72" s="88"/>
      <c r="AG72" s="88"/>
    </row>
    <row r="73" spans="2:33" x14ac:dyDescent="0.25">
      <c r="B73" s="16" t="s">
        <v>11</v>
      </c>
      <c r="D73" s="55">
        <f>'PD hardware unit costs'!$C5*D$55</f>
        <v>184.79999999999998</v>
      </c>
      <c r="E73" s="55">
        <f>'PD hardware unit costs'!$C5*E$55</f>
        <v>184.79999999999998</v>
      </c>
      <c r="F73" s="55">
        <f>'PD hardware unit costs'!$C5*F$55</f>
        <v>184.79999999999998</v>
      </c>
      <c r="G73" s="55">
        <f>'PD hardware unit costs'!$C5*G$55</f>
        <v>184.79999999999998</v>
      </c>
      <c r="H73" s="55">
        <f>'PD hardware unit costs'!$C5*H$55</f>
        <v>184.79999999999998</v>
      </c>
      <c r="I73" s="5"/>
      <c r="K73" s="16" t="s">
        <v>11</v>
      </c>
      <c r="M73" s="55">
        <f>'PD hardware unit costs'!$C5*D$55</f>
        <v>184.79999999999998</v>
      </c>
      <c r="N73" s="55">
        <f>'PD hardware unit costs'!$C5*E$55</f>
        <v>184.79999999999998</v>
      </c>
      <c r="O73" s="55">
        <f>'PD hardware unit costs'!$C5*F$55</f>
        <v>184.79999999999998</v>
      </c>
      <c r="P73" s="55">
        <f>'PD hardware unit costs'!$C5*G$55</f>
        <v>184.79999999999998</v>
      </c>
      <c r="Q73" s="55">
        <f>'PD hardware unit costs'!$C5*H$55</f>
        <v>184.79999999999998</v>
      </c>
      <c r="R73" s="5"/>
      <c r="S73" s="88"/>
      <c r="T73" s="90"/>
      <c r="U73" s="90"/>
      <c r="V73" s="90"/>
      <c r="W73" s="90"/>
      <c r="X73" s="90"/>
      <c r="Y73" s="90"/>
      <c r="Z73" s="90"/>
      <c r="AA73" s="90"/>
      <c r="AB73" s="88"/>
      <c r="AC73" s="88"/>
      <c r="AD73" s="88"/>
      <c r="AE73" s="88"/>
      <c r="AF73" s="88"/>
      <c r="AG73" s="88"/>
    </row>
    <row r="74" spans="2:33" x14ac:dyDescent="0.25">
      <c r="B74" s="16" t="s">
        <v>12</v>
      </c>
      <c r="D74" s="55">
        <f>'PD hardware unit costs'!$C6*D$55</f>
        <v>214.2</v>
      </c>
      <c r="E74" s="55">
        <f>'PD hardware unit costs'!$C6*E$55</f>
        <v>214.2</v>
      </c>
      <c r="F74" s="55">
        <f>'PD hardware unit costs'!$C6*F$55</f>
        <v>214.2</v>
      </c>
      <c r="G74" s="55">
        <f>'PD hardware unit costs'!$C6*G$55</f>
        <v>214.2</v>
      </c>
      <c r="H74" s="55">
        <f>'PD hardware unit costs'!$C6*H$55</f>
        <v>214.2</v>
      </c>
      <c r="I74" s="5"/>
      <c r="K74" s="16" t="s">
        <v>12</v>
      </c>
      <c r="M74" s="55">
        <f>'PD hardware unit costs'!$C6*D$55</f>
        <v>214.2</v>
      </c>
      <c r="N74" s="55">
        <f>'PD hardware unit costs'!$C6*E$55</f>
        <v>214.2</v>
      </c>
      <c r="O74" s="55">
        <f>'PD hardware unit costs'!$C6*F$55</f>
        <v>214.2</v>
      </c>
      <c r="P74" s="55">
        <f>'PD hardware unit costs'!$C6*G$55</f>
        <v>214.2</v>
      </c>
      <c r="Q74" s="55">
        <f>'PD hardware unit costs'!$C6*H$55</f>
        <v>214.2</v>
      </c>
      <c r="R74" s="5"/>
      <c r="S74" s="88"/>
      <c r="T74" s="90"/>
      <c r="U74" s="90"/>
      <c r="V74" s="90"/>
      <c r="W74" s="90"/>
      <c r="X74" s="90"/>
      <c r="Y74" s="90"/>
      <c r="Z74" s="90"/>
      <c r="AA74" s="90"/>
      <c r="AB74" s="88"/>
      <c r="AC74" s="88"/>
      <c r="AD74" s="88"/>
      <c r="AE74" s="88"/>
      <c r="AF74" s="88"/>
      <c r="AG74" s="88"/>
    </row>
    <row r="75" spans="2:33" x14ac:dyDescent="0.25">
      <c r="B75" s="16" t="s">
        <v>13</v>
      </c>
      <c r="D75" s="55">
        <f>'PD hardware unit costs'!$C7*D$55</f>
        <v>277.2</v>
      </c>
      <c r="E75" s="55">
        <f>'PD hardware unit costs'!$C7*E$55</f>
        <v>277.2</v>
      </c>
      <c r="F75" s="55">
        <f>'PD hardware unit costs'!$C7*F$55</f>
        <v>277.2</v>
      </c>
      <c r="G75" s="55">
        <f>'PD hardware unit costs'!$C7*G$55</f>
        <v>277.2</v>
      </c>
      <c r="H75" s="55">
        <f>'PD hardware unit costs'!$C7*H$55</f>
        <v>277.2</v>
      </c>
      <c r="I75" s="5"/>
      <c r="K75" s="16" t="s">
        <v>13</v>
      </c>
      <c r="M75" s="55">
        <f>'PD hardware unit costs'!$C7*D$55</f>
        <v>277.2</v>
      </c>
      <c r="N75" s="55">
        <f>'PD hardware unit costs'!$C7*E$55</f>
        <v>277.2</v>
      </c>
      <c r="O75" s="55">
        <f>'PD hardware unit costs'!$C7*F$55</f>
        <v>277.2</v>
      </c>
      <c r="P75" s="55">
        <f>'PD hardware unit costs'!$C7*G$55</f>
        <v>277.2</v>
      </c>
      <c r="Q75" s="55">
        <f>'PD hardware unit costs'!$C7*H$55</f>
        <v>277.2</v>
      </c>
      <c r="R75" s="5"/>
      <c r="S75" s="88"/>
      <c r="T75" s="90"/>
      <c r="U75" s="90"/>
      <c r="V75" s="90"/>
      <c r="W75" s="90"/>
      <c r="X75" s="90"/>
      <c r="Y75" s="90"/>
      <c r="Z75" s="90"/>
      <c r="AA75" s="90"/>
      <c r="AB75" s="88"/>
      <c r="AC75" s="88"/>
      <c r="AD75" s="88"/>
      <c r="AE75" s="88"/>
      <c r="AF75" s="88"/>
      <c r="AG75" s="88"/>
    </row>
    <row r="76" spans="2:33" x14ac:dyDescent="0.25">
      <c r="B76" s="16" t="s">
        <v>14</v>
      </c>
      <c r="D76" s="55">
        <f>'PD hardware unit costs'!$C8*D$55</f>
        <v>305.2</v>
      </c>
      <c r="E76" s="55">
        <f>'PD hardware unit costs'!$C8*E$55</f>
        <v>305.2</v>
      </c>
      <c r="F76" s="55">
        <f>'PD hardware unit costs'!$C8*F$55</f>
        <v>305.2</v>
      </c>
      <c r="G76" s="55">
        <f>'PD hardware unit costs'!$C8*G$55</f>
        <v>305.2</v>
      </c>
      <c r="H76" s="55">
        <f>'PD hardware unit costs'!$C8*H$55</f>
        <v>305.2</v>
      </c>
      <c r="I76" s="5"/>
      <c r="K76" s="16" t="s">
        <v>14</v>
      </c>
      <c r="M76" s="55">
        <f>'PD hardware unit costs'!$C8*D$55</f>
        <v>305.2</v>
      </c>
      <c r="N76" s="55">
        <f>'PD hardware unit costs'!$C8*E$55</f>
        <v>305.2</v>
      </c>
      <c r="O76" s="55">
        <f>'PD hardware unit costs'!$C8*F$55</f>
        <v>305.2</v>
      </c>
      <c r="P76" s="55">
        <f>'PD hardware unit costs'!$C8*G$55</f>
        <v>305.2</v>
      </c>
      <c r="Q76" s="55">
        <f>'PD hardware unit costs'!$C8*H$55</f>
        <v>305.2</v>
      </c>
      <c r="R76" s="5"/>
      <c r="S76" s="88"/>
      <c r="T76" s="90"/>
      <c r="U76" s="90"/>
      <c r="V76" s="90"/>
      <c r="W76" s="90"/>
      <c r="X76" s="90"/>
      <c r="Y76" s="90"/>
      <c r="Z76" s="90"/>
      <c r="AA76" s="90"/>
      <c r="AB76" s="88"/>
      <c r="AC76" s="88"/>
      <c r="AD76" s="88"/>
      <c r="AE76" s="88"/>
      <c r="AF76" s="88"/>
      <c r="AG76" s="88"/>
    </row>
    <row r="77" spans="2:33" x14ac:dyDescent="0.25">
      <c r="B77" s="16" t="s">
        <v>9</v>
      </c>
      <c r="D77" s="55">
        <f>'PD hardware unit costs'!$C9*D$55</f>
        <v>336.7</v>
      </c>
      <c r="E77" s="55">
        <f>'PD hardware unit costs'!$C9*E$55</f>
        <v>336.7</v>
      </c>
      <c r="F77" s="55">
        <f>'PD hardware unit costs'!$C9*F$55</f>
        <v>336.7</v>
      </c>
      <c r="G77" s="55">
        <f>'PD hardware unit costs'!$C9*G$55</f>
        <v>336.7</v>
      </c>
      <c r="H77" s="55">
        <f>'PD hardware unit costs'!$C9*H$55</f>
        <v>336.7</v>
      </c>
      <c r="I77" s="5"/>
      <c r="K77" s="16" t="s">
        <v>9</v>
      </c>
      <c r="M77" s="55">
        <f>'PD hardware unit costs'!$C9*D$55</f>
        <v>336.7</v>
      </c>
      <c r="N77" s="55">
        <f>'PD hardware unit costs'!$C9*E$55</f>
        <v>336.7</v>
      </c>
      <c r="O77" s="55">
        <f>'PD hardware unit costs'!$C9*F$55</f>
        <v>336.7</v>
      </c>
      <c r="P77" s="55">
        <f>'PD hardware unit costs'!$C9*G$55</f>
        <v>336.7</v>
      </c>
      <c r="Q77" s="55">
        <f>'PD hardware unit costs'!$C9*H$55</f>
        <v>336.7</v>
      </c>
      <c r="R77" s="5"/>
      <c r="S77" s="88"/>
      <c r="T77" s="90"/>
      <c r="U77" s="90"/>
      <c r="V77" s="90"/>
      <c r="W77" s="90"/>
      <c r="X77" s="90"/>
      <c r="Y77" s="90"/>
      <c r="Z77" s="90"/>
      <c r="AA77" s="90"/>
      <c r="AB77" s="88"/>
      <c r="AC77" s="88"/>
      <c r="AD77" s="88"/>
      <c r="AE77" s="88"/>
      <c r="AF77" s="88"/>
      <c r="AG77" s="88"/>
    </row>
    <row r="78" spans="2:33" x14ac:dyDescent="0.25">
      <c r="D78" s="2"/>
      <c r="E78" s="2"/>
      <c r="F78" s="2"/>
      <c r="G78" s="2"/>
      <c r="H78" s="2"/>
      <c r="I78" s="5"/>
      <c r="M78" s="2"/>
      <c r="N78" s="2"/>
      <c r="O78" s="2"/>
      <c r="P78" s="2"/>
      <c r="Q78" s="2"/>
      <c r="R78" s="5"/>
      <c r="S78" s="88"/>
      <c r="T78" s="90"/>
      <c r="U78" s="90"/>
      <c r="V78" s="90"/>
      <c r="W78" s="90"/>
      <c r="X78" s="90"/>
      <c r="Y78" s="90"/>
      <c r="Z78" s="90"/>
      <c r="AA78" s="90"/>
      <c r="AB78" s="88"/>
      <c r="AC78" s="88"/>
      <c r="AD78" s="88"/>
      <c r="AE78" s="88"/>
      <c r="AF78" s="88"/>
      <c r="AG78" s="88"/>
    </row>
    <row r="79" spans="2:33" x14ac:dyDescent="0.25">
      <c r="D79" s="2"/>
      <c r="E79" s="2"/>
      <c r="F79" s="2"/>
      <c r="G79" s="2"/>
      <c r="H79" s="2"/>
      <c r="I79" s="5"/>
      <c r="M79" s="2"/>
      <c r="N79" s="2"/>
      <c r="O79" s="2"/>
      <c r="P79" s="2"/>
      <c r="Q79" s="2"/>
      <c r="R79" s="5"/>
      <c r="S79" s="88"/>
      <c r="T79" s="90"/>
      <c r="U79" s="90"/>
      <c r="V79" s="90"/>
      <c r="W79" s="90"/>
      <c r="X79" s="90"/>
      <c r="Y79" s="90"/>
      <c r="Z79" s="90"/>
      <c r="AA79" s="90"/>
      <c r="AB79" s="88"/>
      <c r="AC79" s="88"/>
      <c r="AD79" s="88"/>
      <c r="AE79" s="88"/>
      <c r="AF79" s="88"/>
      <c r="AG79" s="88"/>
    </row>
    <row r="80" spans="2:33" x14ac:dyDescent="0.25">
      <c r="B80" s="1" t="s">
        <v>82</v>
      </c>
      <c r="D80" s="2"/>
      <c r="E80" s="2"/>
      <c r="F80" s="2"/>
      <c r="G80" s="2"/>
      <c r="H80" s="2"/>
      <c r="I80" s="5"/>
      <c r="K80" s="1" t="s">
        <v>82</v>
      </c>
      <c r="M80" s="2"/>
      <c r="N80" s="2"/>
      <c r="O80" s="2"/>
      <c r="P80" s="2"/>
      <c r="Q80" s="2"/>
      <c r="R80" s="5"/>
      <c r="S80" s="88"/>
      <c r="T80" s="90"/>
      <c r="U80" s="90"/>
      <c r="V80" s="90"/>
      <c r="W80" s="90"/>
      <c r="X80" s="90"/>
      <c r="Y80" s="90"/>
      <c r="Z80" s="90"/>
      <c r="AA80" s="90"/>
      <c r="AB80" s="88"/>
      <c r="AC80" s="88"/>
      <c r="AD80" s="88"/>
      <c r="AE80" s="88"/>
      <c r="AF80" s="88"/>
      <c r="AG80" s="88"/>
    </row>
    <row r="81" spans="2:33" x14ac:dyDescent="0.25">
      <c r="D81" s="2"/>
      <c r="E81" s="2"/>
      <c r="F81" s="2"/>
      <c r="G81" s="2"/>
      <c r="H81" s="2"/>
      <c r="I81" s="5"/>
      <c r="M81" s="2"/>
      <c r="N81" s="2"/>
      <c r="O81" s="2"/>
      <c r="P81" s="2"/>
      <c r="Q81" s="2"/>
      <c r="R81" s="5"/>
      <c r="S81" s="88"/>
      <c r="T81" s="90"/>
      <c r="U81" s="90"/>
      <c r="V81" s="90"/>
      <c r="W81" s="90"/>
      <c r="X81" s="90"/>
      <c r="Y81" s="90"/>
      <c r="Z81" s="90"/>
      <c r="AA81" s="90"/>
      <c r="AB81" s="88"/>
      <c r="AC81" s="88"/>
      <c r="AD81" s="88"/>
      <c r="AE81" s="88"/>
      <c r="AF81" s="88"/>
      <c r="AG81" s="88"/>
    </row>
    <row r="82" spans="2:33" x14ac:dyDescent="0.25">
      <c r="B82" s="16" t="s">
        <v>10</v>
      </c>
      <c r="D82" s="55">
        <f>D72/D$55</f>
        <v>235.00000000000003</v>
      </c>
      <c r="E82" s="55">
        <f t="shared" ref="E82:H82" si="15">E72/E$55</f>
        <v>235.00000000000003</v>
      </c>
      <c r="F82" s="55">
        <f t="shared" si="15"/>
        <v>235.00000000000003</v>
      </c>
      <c r="G82" s="55">
        <f t="shared" si="15"/>
        <v>235.00000000000003</v>
      </c>
      <c r="H82" s="55">
        <f t="shared" si="15"/>
        <v>235.00000000000003</v>
      </c>
      <c r="I82" s="5"/>
      <c r="K82" s="16" t="s">
        <v>10</v>
      </c>
      <c r="M82" s="55">
        <f>M72/M$55</f>
        <v>235.00000000000003</v>
      </c>
      <c r="N82" s="55">
        <f t="shared" ref="N82:Q82" si="16">N72/N$55</f>
        <v>235.00000000000003</v>
      </c>
      <c r="O82" s="55">
        <f t="shared" si="16"/>
        <v>235.00000000000003</v>
      </c>
      <c r="P82" s="55">
        <f t="shared" si="16"/>
        <v>235.00000000000003</v>
      </c>
      <c r="Q82" s="55">
        <f t="shared" si="16"/>
        <v>235.00000000000003</v>
      </c>
      <c r="R82" s="5"/>
      <c r="S82" s="88"/>
      <c r="T82" s="90"/>
      <c r="U82" s="90"/>
      <c r="V82" s="90"/>
      <c r="W82" s="90"/>
      <c r="X82" s="90"/>
      <c r="Y82" s="90"/>
      <c r="Z82" s="90"/>
      <c r="AA82" s="90"/>
      <c r="AB82" s="88"/>
      <c r="AC82" s="88"/>
      <c r="AD82" s="88"/>
      <c r="AE82" s="88"/>
      <c r="AF82" s="88"/>
      <c r="AG82" s="88"/>
    </row>
    <row r="83" spans="2:33" x14ac:dyDescent="0.25">
      <c r="B83" s="16" t="s">
        <v>11</v>
      </c>
      <c r="D83" s="55">
        <f t="shared" ref="D83:H83" si="17">D73/D$55</f>
        <v>264</v>
      </c>
      <c r="E83" s="55">
        <f t="shared" si="17"/>
        <v>264</v>
      </c>
      <c r="F83" s="55">
        <f t="shared" si="17"/>
        <v>264</v>
      </c>
      <c r="G83" s="55">
        <f t="shared" si="17"/>
        <v>264</v>
      </c>
      <c r="H83" s="55">
        <f t="shared" si="17"/>
        <v>264</v>
      </c>
      <c r="I83" s="5"/>
      <c r="K83" s="16" t="s">
        <v>11</v>
      </c>
      <c r="M83" s="55">
        <f t="shared" ref="M83:Q83" si="18">M73/M$55</f>
        <v>264</v>
      </c>
      <c r="N83" s="55">
        <f t="shared" si="18"/>
        <v>264</v>
      </c>
      <c r="O83" s="55">
        <f t="shared" si="18"/>
        <v>264</v>
      </c>
      <c r="P83" s="55">
        <f t="shared" si="18"/>
        <v>264</v>
      </c>
      <c r="Q83" s="55">
        <f t="shared" si="18"/>
        <v>264</v>
      </c>
      <c r="R83" s="5"/>
      <c r="S83" s="88"/>
      <c r="T83" s="90"/>
      <c r="U83" s="90"/>
      <c r="V83" s="90"/>
      <c r="W83" s="90"/>
      <c r="X83" s="90"/>
      <c r="Y83" s="90"/>
      <c r="Z83" s="90"/>
      <c r="AA83" s="90"/>
      <c r="AB83" s="88"/>
      <c r="AC83" s="88"/>
      <c r="AD83" s="88"/>
      <c r="AE83" s="88"/>
      <c r="AF83" s="88"/>
      <c r="AG83" s="88"/>
    </row>
    <row r="84" spans="2:33" x14ac:dyDescent="0.25">
      <c r="B84" s="16" t="s">
        <v>12</v>
      </c>
      <c r="D84" s="55">
        <f t="shared" ref="D84:H84" si="19">D74/D$55</f>
        <v>306</v>
      </c>
      <c r="E84" s="55">
        <f t="shared" si="19"/>
        <v>306</v>
      </c>
      <c r="F84" s="55">
        <f t="shared" si="19"/>
        <v>306</v>
      </c>
      <c r="G84" s="55">
        <f t="shared" si="19"/>
        <v>306</v>
      </c>
      <c r="H84" s="55">
        <f t="shared" si="19"/>
        <v>306</v>
      </c>
      <c r="I84" s="5"/>
      <c r="K84" s="16" t="s">
        <v>12</v>
      </c>
      <c r="M84" s="55">
        <f t="shared" ref="M84:Q84" si="20">M74/M$55</f>
        <v>306</v>
      </c>
      <c r="N84" s="55">
        <f t="shared" si="20"/>
        <v>306</v>
      </c>
      <c r="O84" s="55">
        <f t="shared" si="20"/>
        <v>306</v>
      </c>
      <c r="P84" s="55">
        <f t="shared" si="20"/>
        <v>306</v>
      </c>
      <c r="Q84" s="55">
        <f t="shared" si="20"/>
        <v>306</v>
      </c>
      <c r="R84" s="5"/>
      <c r="S84" s="88"/>
      <c r="T84" s="90"/>
      <c r="U84" s="90"/>
      <c r="V84" s="90"/>
      <c r="W84" s="90"/>
      <c r="X84" s="90"/>
      <c r="Y84" s="90"/>
      <c r="Z84" s="90"/>
      <c r="AA84" s="90"/>
      <c r="AB84" s="88"/>
      <c r="AC84" s="88"/>
      <c r="AD84" s="88"/>
      <c r="AE84" s="88"/>
      <c r="AF84" s="88"/>
      <c r="AG84" s="88"/>
    </row>
    <row r="85" spans="2:33" x14ac:dyDescent="0.25">
      <c r="B85" s="16" t="s">
        <v>13</v>
      </c>
      <c r="D85" s="55">
        <f t="shared" ref="D85:H85" si="21">D75/D$55</f>
        <v>396</v>
      </c>
      <c r="E85" s="55">
        <f t="shared" si="21"/>
        <v>396</v>
      </c>
      <c r="F85" s="55">
        <f t="shared" si="21"/>
        <v>396</v>
      </c>
      <c r="G85" s="55">
        <f t="shared" si="21"/>
        <v>396</v>
      </c>
      <c r="H85" s="55">
        <f t="shared" si="21"/>
        <v>396</v>
      </c>
      <c r="I85" s="5"/>
      <c r="K85" s="16" t="s">
        <v>13</v>
      </c>
      <c r="M85" s="55">
        <f t="shared" ref="M85:Q85" si="22">M75/M$55</f>
        <v>396</v>
      </c>
      <c r="N85" s="55">
        <f t="shared" si="22"/>
        <v>396</v>
      </c>
      <c r="O85" s="55">
        <f t="shared" si="22"/>
        <v>396</v>
      </c>
      <c r="P85" s="55">
        <f t="shared" si="22"/>
        <v>396</v>
      </c>
      <c r="Q85" s="55">
        <f t="shared" si="22"/>
        <v>396</v>
      </c>
      <c r="R85" s="5"/>
      <c r="S85" s="88"/>
      <c r="T85" s="90"/>
      <c r="U85" s="90"/>
      <c r="V85" s="90"/>
      <c r="W85" s="90"/>
      <c r="X85" s="90"/>
      <c r="Y85" s="90"/>
      <c r="Z85" s="90"/>
      <c r="AA85" s="90"/>
      <c r="AB85" s="88"/>
      <c r="AC85" s="88"/>
      <c r="AD85" s="88"/>
      <c r="AE85" s="88"/>
      <c r="AF85" s="88"/>
      <c r="AG85" s="88"/>
    </row>
    <row r="86" spans="2:33" x14ac:dyDescent="0.25">
      <c r="B86" s="16" t="s">
        <v>14</v>
      </c>
      <c r="D86" s="55">
        <f t="shared" ref="D86:H86" si="23">D76/D$55</f>
        <v>436</v>
      </c>
      <c r="E86" s="55">
        <f t="shared" si="23"/>
        <v>436</v>
      </c>
      <c r="F86" s="55">
        <f t="shared" si="23"/>
        <v>436</v>
      </c>
      <c r="G86" s="55">
        <f t="shared" si="23"/>
        <v>436</v>
      </c>
      <c r="H86" s="55">
        <f t="shared" si="23"/>
        <v>436</v>
      </c>
      <c r="I86" s="5"/>
      <c r="K86" s="16" t="s">
        <v>14</v>
      </c>
      <c r="M86" s="55">
        <f t="shared" ref="M86:Q86" si="24">M76/M$55</f>
        <v>436</v>
      </c>
      <c r="N86" s="55">
        <f t="shared" si="24"/>
        <v>436</v>
      </c>
      <c r="O86" s="55">
        <f t="shared" si="24"/>
        <v>436</v>
      </c>
      <c r="P86" s="55">
        <f t="shared" si="24"/>
        <v>436</v>
      </c>
      <c r="Q86" s="55">
        <f t="shared" si="24"/>
        <v>436</v>
      </c>
      <c r="R86" s="5"/>
      <c r="S86" s="88"/>
      <c r="T86" s="90"/>
      <c r="U86" s="90"/>
      <c r="V86" s="90"/>
      <c r="W86" s="90"/>
      <c r="X86" s="90"/>
      <c r="Y86" s="90"/>
      <c r="Z86" s="90"/>
      <c r="AA86" s="90"/>
      <c r="AB86" s="88"/>
      <c r="AC86" s="88"/>
      <c r="AD86" s="88"/>
      <c r="AE86" s="88"/>
      <c r="AF86" s="88"/>
      <c r="AG86" s="88"/>
    </row>
    <row r="87" spans="2:33" x14ac:dyDescent="0.25">
      <c r="B87" s="16" t="s">
        <v>9</v>
      </c>
      <c r="D87" s="55">
        <f t="shared" ref="D87:H87" si="25">D77/D$55</f>
        <v>481</v>
      </c>
      <c r="E87" s="55">
        <f t="shared" si="25"/>
        <v>481</v>
      </c>
      <c r="F87" s="55">
        <f t="shared" si="25"/>
        <v>481</v>
      </c>
      <c r="G87" s="55">
        <f t="shared" si="25"/>
        <v>481</v>
      </c>
      <c r="H87" s="55">
        <f t="shared" si="25"/>
        <v>481</v>
      </c>
      <c r="I87" s="5"/>
      <c r="K87" s="16" t="s">
        <v>9</v>
      </c>
      <c r="M87" s="55">
        <f t="shared" ref="M87:Q87" si="26">M77/M$55</f>
        <v>481</v>
      </c>
      <c r="N87" s="55">
        <f t="shared" si="26"/>
        <v>481</v>
      </c>
      <c r="O87" s="55">
        <f t="shared" si="26"/>
        <v>481</v>
      </c>
      <c r="P87" s="55">
        <f t="shared" si="26"/>
        <v>481</v>
      </c>
      <c r="Q87" s="55">
        <f t="shared" si="26"/>
        <v>481</v>
      </c>
      <c r="R87" s="5"/>
      <c r="S87" s="88"/>
      <c r="T87" s="90"/>
      <c r="U87" s="90"/>
      <c r="V87" s="90"/>
      <c r="W87" s="90"/>
      <c r="X87" s="90"/>
      <c r="Y87" s="90"/>
      <c r="Z87" s="90"/>
      <c r="AA87" s="90"/>
      <c r="AB87" s="88"/>
      <c r="AC87" s="88"/>
      <c r="AD87" s="88"/>
      <c r="AE87" s="88"/>
      <c r="AF87" s="88"/>
      <c r="AG87" s="88"/>
    </row>
    <row r="88" spans="2:33" x14ac:dyDescent="0.25">
      <c r="D88" s="55"/>
      <c r="E88" s="55"/>
      <c r="F88" s="55"/>
      <c r="G88" s="55"/>
      <c r="H88" s="55"/>
      <c r="I88" s="5"/>
      <c r="M88" s="55"/>
      <c r="N88" s="55"/>
      <c r="O88" s="55"/>
      <c r="P88" s="55"/>
      <c r="Q88" s="55"/>
      <c r="R88" s="5"/>
      <c r="S88" s="88"/>
      <c r="T88" s="90"/>
      <c r="U88" s="90"/>
      <c r="V88" s="90"/>
      <c r="W88" s="90"/>
      <c r="X88" s="90"/>
      <c r="Y88" s="90"/>
      <c r="Z88" s="90"/>
      <c r="AA88" s="90"/>
      <c r="AB88" s="88"/>
      <c r="AC88" s="88"/>
      <c r="AD88" s="88"/>
      <c r="AE88" s="88"/>
      <c r="AF88" s="88"/>
      <c r="AG88" s="88"/>
    </row>
    <row r="89" spans="2:33" x14ac:dyDescent="0.25">
      <c r="D89" s="5"/>
      <c r="E89" s="5"/>
      <c r="F89" s="5"/>
      <c r="G89" s="5"/>
      <c r="H89" s="5"/>
      <c r="I89" s="5"/>
      <c r="R89" s="5"/>
      <c r="S89" s="88"/>
      <c r="T89" s="90"/>
      <c r="U89" s="90"/>
      <c r="V89" s="90"/>
      <c r="W89" s="90"/>
      <c r="X89" s="90"/>
      <c r="Y89" s="90"/>
      <c r="Z89" s="90"/>
      <c r="AA89" s="90"/>
      <c r="AB89" s="88"/>
      <c r="AC89" s="88"/>
      <c r="AD89" s="88"/>
      <c r="AE89" s="88"/>
      <c r="AF89" s="88"/>
      <c r="AG89" s="88"/>
    </row>
    <row r="90" spans="2:33" x14ac:dyDescent="0.25"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88"/>
      <c r="T90" s="90"/>
      <c r="U90" s="90"/>
      <c r="V90" s="90"/>
      <c r="W90" s="90"/>
      <c r="X90" s="90"/>
      <c r="Y90" s="90"/>
      <c r="Z90" s="90"/>
      <c r="AA90" s="90"/>
    </row>
    <row r="91" spans="2:33" x14ac:dyDescent="0.25">
      <c r="B91" s="98" t="s">
        <v>83</v>
      </c>
      <c r="C91" s="98"/>
      <c r="D91" s="97"/>
      <c r="E91" s="97"/>
      <c r="F91" s="97"/>
      <c r="G91" s="97"/>
      <c r="H91" s="97"/>
      <c r="I91" s="97"/>
      <c r="J91" s="97"/>
      <c r="K91" s="98" t="s">
        <v>84</v>
      </c>
      <c r="L91" s="98"/>
      <c r="M91" s="97"/>
      <c r="N91" s="97"/>
      <c r="O91" s="97"/>
      <c r="P91" s="97"/>
      <c r="Q91" s="97"/>
      <c r="R91" s="97"/>
      <c r="S91" s="88"/>
      <c r="T91" s="90"/>
      <c r="U91" s="90"/>
      <c r="V91" s="90"/>
      <c r="W91" s="90"/>
      <c r="X91" s="90"/>
      <c r="Y91" s="90"/>
      <c r="Z91" s="90"/>
      <c r="AA91" s="90"/>
    </row>
    <row r="92" spans="2:33" x14ac:dyDescent="0.25"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88"/>
      <c r="T92" s="90"/>
      <c r="U92" s="90"/>
      <c r="V92" s="90"/>
      <c r="W92" s="90"/>
      <c r="X92" s="90"/>
      <c r="Y92" s="90"/>
      <c r="Z92" s="90"/>
      <c r="AA92" s="90"/>
    </row>
    <row r="93" spans="2:33" x14ac:dyDescent="0.25">
      <c r="S93" s="88"/>
    </row>
    <row r="94" spans="2:33" x14ac:dyDescent="0.25">
      <c r="S94" s="88"/>
    </row>
    <row r="95" spans="2:33" x14ac:dyDescent="0.25">
      <c r="D95" s="5">
        <v>2016</v>
      </c>
      <c r="E95" s="5">
        <v>2017</v>
      </c>
      <c r="F95" s="5">
        <v>2018</v>
      </c>
      <c r="G95" s="5">
        <v>2019</v>
      </c>
      <c r="H95" s="5">
        <v>2020</v>
      </c>
      <c r="I95" s="5"/>
      <c r="M95" s="5">
        <v>2016</v>
      </c>
      <c r="N95" s="5">
        <v>2017</v>
      </c>
      <c r="O95" s="5">
        <v>2018</v>
      </c>
      <c r="P95" s="5">
        <v>2019</v>
      </c>
      <c r="Q95" s="5">
        <v>2020</v>
      </c>
      <c r="R95" s="5"/>
      <c r="S95" s="88"/>
    </row>
    <row r="96" spans="2:33" x14ac:dyDescent="0.25">
      <c r="B96" s="5" t="s">
        <v>92</v>
      </c>
      <c r="C96" s="5"/>
      <c r="K96" s="5" t="s">
        <v>92</v>
      </c>
      <c r="L96" s="5"/>
      <c r="S96" s="88"/>
    </row>
    <row r="97" spans="2:18" x14ac:dyDescent="0.25">
      <c r="I97" s="13"/>
      <c r="M97" s="13"/>
      <c r="N97" s="13"/>
      <c r="O97" s="13"/>
      <c r="P97" s="13"/>
      <c r="Q97" s="13"/>
      <c r="R97" s="13"/>
    </row>
    <row r="98" spans="2:18" x14ac:dyDescent="0.25">
      <c r="B98" s="16" t="s">
        <v>10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/>
      <c r="K98" s="16" t="s">
        <v>10</v>
      </c>
      <c r="M98" s="9">
        <f>D98</f>
        <v>0</v>
      </c>
      <c r="N98" s="9">
        <f t="shared" ref="N98:Q98" si="27">E98</f>
        <v>0</v>
      </c>
      <c r="O98" s="9">
        <f t="shared" si="27"/>
        <v>0</v>
      </c>
      <c r="P98" s="9">
        <f t="shared" si="27"/>
        <v>0</v>
      </c>
      <c r="Q98" s="9">
        <f t="shared" si="27"/>
        <v>0</v>
      </c>
      <c r="R98" s="9"/>
    </row>
    <row r="99" spans="2:18" x14ac:dyDescent="0.25">
      <c r="B99" s="16" t="s">
        <v>11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/>
      <c r="K99" s="16" t="s">
        <v>11</v>
      </c>
      <c r="M99" s="9">
        <f t="shared" ref="M99:M103" si="28">D99</f>
        <v>0</v>
      </c>
      <c r="N99" s="9">
        <f t="shared" ref="N99:N103" si="29">E99</f>
        <v>0</v>
      </c>
      <c r="O99" s="9">
        <f t="shared" ref="O99:O103" si="30">F99</f>
        <v>0</v>
      </c>
      <c r="P99" s="9">
        <f t="shared" ref="P99:P103" si="31">G99</f>
        <v>0</v>
      </c>
      <c r="Q99" s="9">
        <f t="shared" ref="Q99:Q103" si="32">H99</f>
        <v>0</v>
      </c>
      <c r="R99" s="9"/>
    </row>
    <row r="100" spans="2:18" x14ac:dyDescent="0.25">
      <c r="B100" s="16" t="s">
        <v>12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/>
      <c r="K100" s="16" t="s">
        <v>12</v>
      </c>
      <c r="M100" s="9">
        <f t="shared" si="28"/>
        <v>0</v>
      </c>
      <c r="N100" s="9">
        <f t="shared" si="29"/>
        <v>0</v>
      </c>
      <c r="O100" s="9">
        <f t="shared" si="30"/>
        <v>0</v>
      </c>
      <c r="P100" s="9">
        <f t="shared" si="31"/>
        <v>0</v>
      </c>
      <c r="Q100" s="9">
        <f t="shared" si="32"/>
        <v>0</v>
      </c>
      <c r="R100" s="9"/>
    </row>
    <row r="101" spans="2:18" x14ac:dyDescent="0.25">
      <c r="B101" s="16" t="s">
        <v>13</v>
      </c>
      <c r="D101" s="9">
        <v>1800</v>
      </c>
      <c r="E101" s="9">
        <v>0</v>
      </c>
      <c r="F101" s="9">
        <v>0</v>
      </c>
      <c r="G101" s="9">
        <v>0</v>
      </c>
      <c r="H101" s="9">
        <v>0</v>
      </c>
      <c r="I101" s="9"/>
      <c r="K101" s="16" t="s">
        <v>13</v>
      </c>
      <c r="M101" s="9">
        <f t="shared" si="28"/>
        <v>1800</v>
      </c>
      <c r="N101" s="9">
        <f t="shared" si="29"/>
        <v>0</v>
      </c>
      <c r="O101" s="9">
        <f t="shared" si="30"/>
        <v>0</v>
      </c>
      <c r="P101" s="9">
        <f t="shared" si="31"/>
        <v>0</v>
      </c>
      <c r="Q101" s="9">
        <f t="shared" si="32"/>
        <v>0</v>
      </c>
      <c r="R101" s="9"/>
    </row>
    <row r="102" spans="2:18" x14ac:dyDescent="0.25">
      <c r="B102" s="16" t="s">
        <v>14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/>
      <c r="K102" s="16" t="s">
        <v>14</v>
      </c>
      <c r="M102" s="9">
        <f t="shared" si="28"/>
        <v>0</v>
      </c>
      <c r="N102" s="9">
        <f t="shared" si="29"/>
        <v>0</v>
      </c>
      <c r="O102" s="9">
        <f t="shared" si="30"/>
        <v>0</v>
      </c>
      <c r="P102" s="9">
        <f t="shared" si="31"/>
        <v>0</v>
      </c>
      <c r="Q102" s="9">
        <f t="shared" si="32"/>
        <v>0</v>
      </c>
      <c r="R102" s="9"/>
    </row>
    <row r="103" spans="2:18" x14ac:dyDescent="0.25">
      <c r="B103" s="16" t="s">
        <v>9</v>
      </c>
      <c r="D103" s="9">
        <v>200</v>
      </c>
      <c r="E103" s="9">
        <v>0</v>
      </c>
      <c r="F103" s="9">
        <v>0</v>
      </c>
      <c r="G103" s="9">
        <v>0</v>
      </c>
      <c r="H103" s="9">
        <v>0</v>
      </c>
      <c r="I103" s="9"/>
      <c r="K103" s="16" t="s">
        <v>9</v>
      </c>
      <c r="M103" s="9">
        <f t="shared" si="28"/>
        <v>200</v>
      </c>
      <c r="N103" s="9">
        <f t="shared" si="29"/>
        <v>0</v>
      </c>
      <c r="O103" s="9">
        <f t="shared" si="30"/>
        <v>0</v>
      </c>
      <c r="P103" s="9">
        <f t="shared" si="31"/>
        <v>0</v>
      </c>
      <c r="Q103" s="9">
        <f t="shared" si="32"/>
        <v>0</v>
      </c>
      <c r="R103" s="9"/>
    </row>
    <row r="104" spans="2:18" x14ac:dyDescent="0.25">
      <c r="B104" s="16" t="s">
        <v>3</v>
      </c>
      <c r="D104" s="102">
        <f>SUM(D98:D103)</f>
        <v>2000</v>
      </c>
      <c r="E104" s="102">
        <f>SUM(E98:E103)</f>
        <v>0</v>
      </c>
      <c r="F104" s="102">
        <f>SUM(F98:F103)</f>
        <v>0</v>
      </c>
      <c r="G104" s="102">
        <f>SUM(G98:G103)</f>
        <v>0</v>
      </c>
      <c r="H104" s="102">
        <f>SUM(H98:H103)</f>
        <v>0</v>
      </c>
      <c r="I104" s="48"/>
      <c r="K104" s="16" t="s">
        <v>3</v>
      </c>
      <c r="M104" s="102">
        <f>SUM(M98:M103)</f>
        <v>2000</v>
      </c>
      <c r="N104" s="102">
        <f t="shared" ref="N104:Q104" si="33">SUM(N98:N103)</f>
        <v>0</v>
      </c>
      <c r="O104" s="102">
        <f t="shared" si="33"/>
        <v>0</v>
      </c>
      <c r="P104" s="102">
        <f t="shared" si="33"/>
        <v>0</v>
      </c>
      <c r="Q104" s="102">
        <f t="shared" si="33"/>
        <v>0</v>
      </c>
      <c r="R104" s="48"/>
    </row>
    <row r="105" spans="2:18" x14ac:dyDescent="0.25">
      <c r="D105" s="48"/>
      <c r="E105" s="48"/>
      <c r="F105" s="48"/>
      <c r="G105" s="48"/>
      <c r="H105" s="48"/>
      <c r="I105" s="48"/>
      <c r="M105" s="48"/>
      <c r="N105" s="48"/>
      <c r="O105" s="48"/>
      <c r="P105" s="48"/>
      <c r="Q105" s="48"/>
      <c r="R105" s="48"/>
    </row>
    <row r="106" spans="2:18" x14ac:dyDescent="0.25">
      <c r="D106" s="48"/>
      <c r="E106" s="48"/>
      <c r="F106" s="48"/>
      <c r="G106" s="48"/>
      <c r="H106" s="48"/>
      <c r="I106" s="48"/>
      <c r="M106" s="48"/>
      <c r="N106" s="48"/>
      <c r="O106" s="48"/>
      <c r="P106" s="48"/>
      <c r="Q106" s="48"/>
      <c r="R106" s="48"/>
    </row>
    <row r="107" spans="2:18" x14ac:dyDescent="0.25"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</row>
    <row r="108" spans="2:18" x14ac:dyDescent="0.25">
      <c r="B108" s="98" t="s">
        <v>93</v>
      </c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</row>
    <row r="109" spans="2:18" x14ac:dyDescent="0.25"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</row>
    <row r="110" spans="2:18" x14ac:dyDescent="0.25">
      <c r="D110" s="48"/>
      <c r="E110" s="48"/>
      <c r="F110" s="48"/>
      <c r="G110" s="48"/>
      <c r="H110" s="48"/>
      <c r="I110" s="48"/>
      <c r="M110" s="48"/>
      <c r="N110" s="48"/>
      <c r="O110" s="48"/>
      <c r="P110" s="48"/>
      <c r="Q110" s="48"/>
      <c r="R110" s="48"/>
    </row>
    <row r="111" spans="2:18" x14ac:dyDescent="0.25">
      <c r="D111" s="48"/>
      <c r="E111" s="48"/>
      <c r="F111" s="48"/>
      <c r="G111" s="48"/>
      <c r="H111" s="48"/>
      <c r="I111" s="48"/>
      <c r="M111" s="48"/>
      <c r="N111" s="48"/>
      <c r="O111" s="48"/>
      <c r="P111" s="48"/>
      <c r="Q111" s="48"/>
      <c r="R111" s="48"/>
    </row>
    <row r="112" spans="2:18" x14ac:dyDescent="0.25">
      <c r="D112" s="5">
        <v>2016</v>
      </c>
      <c r="E112" s="5">
        <v>2017</v>
      </c>
      <c r="F112" s="5">
        <v>2018</v>
      </c>
      <c r="G112" s="5">
        <v>2019</v>
      </c>
      <c r="H112" s="5">
        <v>2020</v>
      </c>
      <c r="I112" s="48"/>
      <c r="M112" s="48"/>
      <c r="N112" s="48"/>
      <c r="O112" s="48"/>
      <c r="P112" s="48"/>
      <c r="Q112" s="48"/>
      <c r="R112" s="48"/>
    </row>
    <row r="113" spans="2:18" x14ac:dyDescent="0.25">
      <c r="D113" s="48"/>
      <c r="E113" s="48"/>
      <c r="F113" s="48"/>
      <c r="G113" s="48"/>
      <c r="H113" s="48"/>
      <c r="I113" s="48"/>
      <c r="M113" s="48"/>
      <c r="N113" s="48"/>
      <c r="O113" s="48"/>
      <c r="P113" s="48"/>
      <c r="Q113" s="48"/>
      <c r="R113" s="48"/>
    </row>
    <row r="114" spans="2:18" x14ac:dyDescent="0.25">
      <c r="B114" s="16" t="s">
        <v>94</v>
      </c>
      <c r="D114" s="108">
        <f>'PD meters'!O5</f>
        <v>2154000</v>
      </c>
      <c r="E114" s="108">
        <f>'PD meters'!P5</f>
        <v>1066000</v>
      </c>
      <c r="F114" s="108">
        <f>'PD meters'!Q5</f>
        <v>629000</v>
      </c>
      <c r="G114" s="108">
        <f>'PD meters'!R5</f>
        <v>657000</v>
      </c>
      <c r="H114" s="108">
        <f>'PD meters'!S5</f>
        <v>674000</v>
      </c>
      <c r="I114" s="48"/>
      <c r="M114" s="48"/>
      <c r="N114" s="48"/>
      <c r="O114" s="48"/>
      <c r="P114" s="48"/>
      <c r="Q114" s="48"/>
      <c r="R114" s="48"/>
    </row>
    <row r="115" spans="2:18" x14ac:dyDescent="0.25">
      <c r="D115" s="48"/>
      <c r="E115" s="48"/>
      <c r="F115" s="48"/>
      <c r="G115" s="48"/>
      <c r="H115" s="48"/>
      <c r="I115" s="48"/>
      <c r="M115" s="48"/>
      <c r="N115" s="48"/>
      <c r="O115" s="48"/>
      <c r="P115" s="48"/>
      <c r="Q115" s="48"/>
      <c r="R115" s="48"/>
    </row>
    <row r="117" spans="2:18" x14ac:dyDescent="0.25"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</row>
    <row r="118" spans="2:18" x14ac:dyDescent="0.25">
      <c r="B118" s="98" t="s">
        <v>85</v>
      </c>
      <c r="C118" s="98"/>
      <c r="D118" s="97"/>
      <c r="E118" s="97"/>
      <c r="F118" s="97"/>
      <c r="G118" s="97"/>
      <c r="H118" s="97"/>
      <c r="I118" s="97"/>
      <c r="J118" s="97"/>
      <c r="K118" s="98" t="s">
        <v>86</v>
      </c>
      <c r="L118" s="98"/>
      <c r="M118" s="97"/>
      <c r="N118" s="97"/>
      <c r="O118" s="97"/>
      <c r="P118" s="97"/>
      <c r="Q118" s="97"/>
      <c r="R118" s="97"/>
    </row>
    <row r="119" spans="2:18" x14ac:dyDescent="0.25"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</row>
    <row r="122" spans="2:18" x14ac:dyDescent="0.25">
      <c r="D122" s="5">
        <v>2016</v>
      </c>
      <c r="E122" s="5">
        <v>2017</v>
      </c>
      <c r="F122" s="5">
        <v>2018</v>
      </c>
      <c r="G122" s="5">
        <v>2019</v>
      </c>
      <c r="H122" s="5">
        <v>2020</v>
      </c>
      <c r="I122" s="5"/>
      <c r="M122" s="5">
        <v>2016</v>
      </c>
      <c r="N122" s="5">
        <v>2017</v>
      </c>
      <c r="O122" s="5">
        <v>2018</v>
      </c>
      <c r="P122" s="5">
        <v>2019</v>
      </c>
      <c r="Q122" s="5">
        <v>2020</v>
      </c>
    </row>
    <row r="123" spans="2:18" x14ac:dyDescent="0.25">
      <c r="B123" s="5" t="s">
        <v>42</v>
      </c>
      <c r="D123" s="5"/>
      <c r="E123" s="5"/>
      <c r="F123" s="5"/>
      <c r="G123" s="5"/>
      <c r="H123" s="5"/>
      <c r="I123" s="5"/>
      <c r="K123" s="5" t="s">
        <v>42</v>
      </c>
      <c r="M123" s="5"/>
      <c r="N123" s="5"/>
      <c r="O123" s="5"/>
      <c r="P123" s="5"/>
      <c r="Q123" s="5"/>
    </row>
    <row r="124" spans="2:18" x14ac:dyDescent="0.25">
      <c r="D124" s="5"/>
      <c r="E124" s="5"/>
      <c r="F124" s="5"/>
      <c r="G124" s="5"/>
      <c r="H124" s="5"/>
      <c r="I124" s="5"/>
      <c r="M124" s="5"/>
      <c r="N124" s="5"/>
      <c r="O124" s="5"/>
      <c r="P124" s="5"/>
      <c r="Q124" s="5"/>
    </row>
    <row r="125" spans="2:18" x14ac:dyDescent="0.25">
      <c r="B125" s="2" t="s">
        <v>10</v>
      </c>
      <c r="C125" s="5"/>
      <c r="D125" s="2">
        <f t="shared" ref="D125:H130" si="34">D82*D98</f>
        <v>0</v>
      </c>
      <c r="E125" s="2">
        <f t="shared" si="34"/>
        <v>0</v>
      </c>
      <c r="F125" s="2">
        <f t="shared" si="34"/>
        <v>0</v>
      </c>
      <c r="G125" s="2">
        <f t="shared" si="34"/>
        <v>0</v>
      </c>
      <c r="H125" s="2">
        <f t="shared" si="34"/>
        <v>0</v>
      </c>
      <c r="I125" s="5"/>
      <c r="J125" s="5"/>
      <c r="K125" s="2" t="s">
        <v>10</v>
      </c>
      <c r="L125" s="5"/>
      <c r="M125" s="2">
        <f t="shared" ref="M125:Q125" si="35">M82*M98</f>
        <v>0</v>
      </c>
      <c r="N125" s="2">
        <f t="shared" si="35"/>
        <v>0</v>
      </c>
      <c r="O125" s="2">
        <f t="shared" si="35"/>
        <v>0</v>
      </c>
      <c r="P125" s="2">
        <f t="shared" si="35"/>
        <v>0</v>
      </c>
      <c r="Q125" s="2">
        <f t="shared" si="35"/>
        <v>0</v>
      </c>
    </row>
    <row r="126" spans="2:18" x14ac:dyDescent="0.25">
      <c r="B126" s="2" t="s">
        <v>11</v>
      </c>
      <c r="C126" s="5"/>
      <c r="D126" s="2">
        <f t="shared" si="34"/>
        <v>0</v>
      </c>
      <c r="E126" s="2">
        <f t="shared" si="34"/>
        <v>0</v>
      </c>
      <c r="F126" s="2">
        <f t="shared" si="34"/>
        <v>0</v>
      </c>
      <c r="G126" s="2">
        <f t="shared" si="34"/>
        <v>0</v>
      </c>
      <c r="H126" s="2">
        <f t="shared" si="34"/>
        <v>0</v>
      </c>
      <c r="I126" s="5"/>
      <c r="J126" s="5"/>
      <c r="K126" s="2" t="s">
        <v>11</v>
      </c>
      <c r="L126" s="5"/>
      <c r="M126" s="2">
        <f t="shared" ref="M126:Q126" si="36">M83*M99</f>
        <v>0</v>
      </c>
      <c r="N126" s="2">
        <f t="shared" si="36"/>
        <v>0</v>
      </c>
      <c r="O126" s="2">
        <f t="shared" si="36"/>
        <v>0</v>
      </c>
      <c r="P126" s="2">
        <f t="shared" si="36"/>
        <v>0</v>
      </c>
      <c r="Q126" s="2">
        <f t="shared" si="36"/>
        <v>0</v>
      </c>
    </row>
    <row r="127" spans="2:18" x14ac:dyDescent="0.25">
      <c r="B127" s="2" t="s">
        <v>12</v>
      </c>
      <c r="C127" s="5"/>
      <c r="D127" s="2">
        <f t="shared" si="34"/>
        <v>0</v>
      </c>
      <c r="E127" s="2">
        <f t="shared" si="34"/>
        <v>0</v>
      </c>
      <c r="F127" s="2">
        <f t="shared" si="34"/>
        <v>0</v>
      </c>
      <c r="G127" s="2">
        <f t="shared" si="34"/>
        <v>0</v>
      </c>
      <c r="H127" s="2">
        <f t="shared" si="34"/>
        <v>0</v>
      </c>
      <c r="I127" s="5"/>
      <c r="J127" s="5"/>
      <c r="K127" s="2" t="s">
        <v>12</v>
      </c>
      <c r="L127" s="5"/>
      <c r="M127" s="2">
        <f t="shared" ref="M127:Q127" si="37">M84*M100</f>
        <v>0</v>
      </c>
      <c r="N127" s="2">
        <f t="shared" si="37"/>
        <v>0</v>
      </c>
      <c r="O127" s="2">
        <f t="shared" si="37"/>
        <v>0</v>
      </c>
      <c r="P127" s="2">
        <f t="shared" si="37"/>
        <v>0</v>
      </c>
      <c r="Q127" s="2">
        <f t="shared" si="37"/>
        <v>0</v>
      </c>
    </row>
    <row r="128" spans="2:18" x14ac:dyDescent="0.25">
      <c r="B128" s="2" t="s">
        <v>13</v>
      </c>
      <c r="C128" s="5"/>
      <c r="D128" s="2">
        <f t="shared" si="34"/>
        <v>712800</v>
      </c>
      <c r="E128" s="2">
        <f t="shared" si="34"/>
        <v>0</v>
      </c>
      <c r="F128" s="2">
        <f t="shared" si="34"/>
        <v>0</v>
      </c>
      <c r="G128" s="2">
        <f t="shared" si="34"/>
        <v>0</v>
      </c>
      <c r="H128" s="2">
        <f t="shared" si="34"/>
        <v>0</v>
      </c>
      <c r="I128" s="5"/>
      <c r="J128" s="5"/>
      <c r="K128" s="2" t="s">
        <v>13</v>
      </c>
      <c r="L128" s="5"/>
      <c r="M128" s="2">
        <f t="shared" ref="M128:Q128" si="38">M85*M101</f>
        <v>712800</v>
      </c>
      <c r="N128" s="2">
        <f t="shared" si="38"/>
        <v>0</v>
      </c>
      <c r="O128" s="2">
        <f t="shared" si="38"/>
        <v>0</v>
      </c>
      <c r="P128" s="2">
        <f t="shared" si="38"/>
        <v>0</v>
      </c>
      <c r="Q128" s="2">
        <f t="shared" si="38"/>
        <v>0</v>
      </c>
    </row>
    <row r="129" spans="2:18" x14ac:dyDescent="0.25">
      <c r="B129" s="2" t="s">
        <v>14</v>
      </c>
      <c r="C129" s="5"/>
      <c r="D129" s="2">
        <f t="shared" si="34"/>
        <v>0</v>
      </c>
      <c r="E129" s="2">
        <f t="shared" si="34"/>
        <v>0</v>
      </c>
      <c r="F129" s="2">
        <f t="shared" si="34"/>
        <v>0</v>
      </c>
      <c r="G129" s="2">
        <f t="shared" si="34"/>
        <v>0</v>
      </c>
      <c r="H129" s="2">
        <f t="shared" si="34"/>
        <v>0</v>
      </c>
      <c r="I129" s="5"/>
      <c r="J129" s="5"/>
      <c r="K129" s="2" t="s">
        <v>14</v>
      </c>
      <c r="L129" s="5"/>
      <c r="M129" s="2">
        <f t="shared" ref="M129:Q129" si="39">M86*M102</f>
        <v>0</v>
      </c>
      <c r="N129" s="2">
        <f t="shared" si="39"/>
        <v>0</v>
      </c>
      <c r="O129" s="2">
        <f t="shared" si="39"/>
        <v>0</v>
      </c>
      <c r="P129" s="2">
        <f t="shared" si="39"/>
        <v>0</v>
      </c>
      <c r="Q129" s="2">
        <f t="shared" si="39"/>
        <v>0</v>
      </c>
    </row>
    <row r="130" spans="2:18" x14ac:dyDescent="0.25">
      <c r="B130" s="2" t="s">
        <v>9</v>
      </c>
      <c r="C130" s="5"/>
      <c r="D130" s="2">
        <f t="shared" si="34"/>
        <v>96200</v>
      </c>
      <c r="E130" s="2">
        <f t="shared" si="34"/>
        <v>0</v>
      </c>
      <c r="F130" s="2">
        <f t="shared" si="34"/>
        <v>0</v>
      </c>
      <c r="G130" s="2">
        <f t="shared" si="34"/>
        <v>0</v>
      </c>
      <c r="H130" s="2">
        <f t="shared" si="34"/>
        <v>0</v>
      </c>
      <c r="I130" s="5"/>
      <c r="J130" s="5"/>
      <c r="K130" s="2" t="s">
        <v>9</v>
      </c>
      <c r="L130" s="5"/>
      <c r="M130" s="2">
        <f t="shared" ref="M130:Q130" si="40">M87*M103</f>
        <v>96200</v>
      </c>
      <c r="N130" s="2">
        <f t="shared" si="40"/>
        <v>0</v>
      </c>
      <c r="O130" s="2">
        <f t="shared" si="40"/>
        <v>0</v>
      </c>
      <c r="P130" s="2">
        <f t="shared" si="40"/>
        <v>0</v>
      </c>
      <c r="Q130" s="2">
        <f t="shared" si="40"/>
        <v>0</v>
      </c>
    </row>
    <row r="131" spans="2:18" x14ac:dyDescent="0.25">
      <c r="B131" s="2" t="s">
        <v>3</v>
      </c>
      <c r="C131" s="5"/>
      <c r="D131" s="107">
        <f>SUM(D125:D130)</f>
        <v>809000</v>
      </c>
      <c r="E131" s="107"/>
      <c r="F131" s="107"/>
      <c r="G131" s="107"/>
      <c r="H131" s="107"/>
      <c r="I131" s="5"/>
      <c r="J131" s="5"/>
      <c r="K131" s="2" t="s">
        <v>3</v>
      </c>
      <c r="L131" s="5"/>
      <c r="M131" s="107">
        <f>SUM(M125:M130)</f>
        <v>809000</v>
      </c>
      <c r="N131" s="107"/>
      <c r="O131" s="107"/>
      <c r="P131" s="107"/>
      <c r="Q131" s="107"/>
    </row>
    <row r="132" spans="2:18" x14ac:dyDescent="0.2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2:18" x14ac:dyDescent="0.2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2:18" x14ac:dyDescent="0.25">
      <c r="B134" s="5" t="s">
        <v>55</v>
      </c>
      <c r="C134" s="5"/>
      <c r="D134" s="5"/>
      <c r="E134" s="5"/>
      <c r="F134" s="5"/>
      <c r="G134" s="5"/>
      <c r="H134" s="5"/>
      <c r="I134" s="5"/>
      <c r="J134" s="5"/>
      <c r="K134" s="5" t="s">
        <v>55</v>
      </c>
      <c r="L134" s="5"/>
      <c r="M134" s="5"/>
      <c r="N134" s="5"/>
      <c r="O134" s="5"/>
      <c r="P134" s="5"/>
      <c r="Q134" s="5"/>
    </row>
    <row r="135" spans="2:18" x14ac:dyDescent="0.2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2:18" x14ac:dyDescent="0.25">
      <c r="B136" s="2" t="s">
        <v>95</v>
      </c>
      <c r="C136" s="5"/>
      <c r="D136" s="106">
        <f>D114</f>
        <v>2154000</v>
      </c>
      <c r="E136" s="106">
        <f t="shared" ref="E136:H136" si="41">E114</f>
        <v>1066000</v>
      </c>
      <c r="F136" s="106">
        <f t="shared" si="41"/>
        <v>629000</v>
      </c>
      <c r="G136" s="106">
        <f t="shared" si="41"/>
        <v>657000</v>
      </c>
      <c r="H136" s="106">
        <f t="shared" si="41"/>
        <v>674000</v>
      </c>
      <c r="I136" s="5"/>
      <c r="J136" s="5"/>
      <c r="K136" s="2" t="s">
        <v>95</v>
      </c>
      <c r="L136" s="5"/>
      <c r="M136" s="106">
        <f>D136</f>
        <v>2154000</v>
      </c>
      <c r="N136" s="106">
        <f t="shared" ref="N136:Q136" si="42">E136</f>
        <v>1066000</v>
      </c>
      <c r="O136" s="106">
        <f t="shared" si="42"/>
        <v>629000</v>
      </c>
      <c r="P136" s="106">
        <f t="shared" si="42"/>
        <v>657000</v>
      </c>
      <c r="Q136" s="106">
        <f t="shared" si="42"/>
        <v>674000</v>
      </c>
    </row>
    <row r="137" spans="2:18" x14ac:dyDescent="0.25">
      <c r="B137" s="5"/>
      <c r="C137" s="5"/>
      <c r="D137" s="109"/>
      <c r="E137" s="109"/>
      <c r="F137" s="109"/>
      <c r="G137" s="109"/>
      <c r="H137" s="109"/>
      <c r="I137" s="5"/>
      <c r="J137" s="5"/>
      <c r="K137" s="5"/>
      <c r="L137" s="5"/>
      <c r="M137" s="109"/>
      <c r="N137" s="109"/>
      <c r="O137" s="109"/>
      <c r="P137" s="109"/>
      <c r="Q137" s="109"/>
    </row>
    <row r="138" spans="2:18" x14ac:dyDescent="0.25">
      <c r="B138" s="5"/>
      <c r="C138" s="5"/>
      <c r="D138" s="109"/>
      <c r="E138" s="109"/>
      <c r="F138" s="109"/>
      <c r="G138" s="109"/>
      <c r="H138" s="109"/>
      <c r="I138" s="5"/>
      <c r="J138" s="5"/>
      <c r="K138" s="5"/>
      <c r="L138" s="5"/>
      <c r="M138" s="109"/>
      <c r="N138" s="109"/>
      <c r="O138" s="109"/>
      <c r="P138" s="109"/>
      <c r="Q138" s="109"/>
    </row>
    <row r="139" spans="2:18" x14ac:dyDescent="0.25">
      <c r="B139" s="5" t="s">
        <v>3</v>
      </c>
      <c r="C139" s="5"/>
      <c r="D139" s="106">
        <f>D131+D136</f>
        <v>2963000</v>
      </c>
      <c r="E139" s="106">
        <f t="shared" ref="E139:H139" si="43">E131+E136</f>
        <v>1066000</v>
      </c>
      <c r="F139" s="106">
        <f t="shared" si="43"/>
        <v>629000</v>
      </c>
      <c r="G139" s="106">
        <f t="shared" si="43"/>
        <v>657000</v>
      </c>
      <c r="H139" s="106">
        <f t="shared" si="43"/>
        <v>674000</v>
      </c>
      <c r="I139" s="5"/>
      <c r="J139" s="5"/>
      <c r="K139" s="5" t="s">
        <v>3</v>
      </c>
      <c r="L139" s="5"/>
      <c r="M139" s="106">
        <f>M131+M136</f>
        <v>2963000</v>
      </c>
      <c r="N139" s="106">
        <f t="shared" ref="N139:Q139" si="44">N131+N136</f>
        <v>1066000</v>
      </c>
      <c r="O139" s="106">
        <f t="shared" si="44"/>
        <v>629000</v>
      </c>
      <c r="P139" s="106">
        <f t="shared" si="44"/>
        <v>657000</v>
      </c>
      <c r="Q139" s="106">
        <f t="shared" si="44"/>
        <v>674000</v>
      </c>
    </row>
    <row r="140" spans="2:18" x14ac:dyDescent="0.25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2:18" x14ac:dyDescent="0.25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2:18" x14ac:dyDescent="0.25"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</row>
    <row r="143" spans="2:18" x14ac:dyDescent="0.25">
      <c r="B143" s="91" t="s">
        <v>1</v>
      </c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</row>
    <row r="144" spans="2:18" x14ac:dyDescent="0.25"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</row>
    <row r="147" spans="2:18" x14ac:dyDescent="0.25"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</row>
    <row r="148" spans="2:18" x14ac:dyDescent="0.25">
      <c r="B148" s="98" t="s">
        <v>96</v>
      </c>
      <c r="C148" s="98"/>
      <c r="D148" s="98"/>
      <c r="E148" s="98"/>
      <c r="F148" s="98"/>
      <c r="G148" s="98"/>
      <c r="H148" s="98"/>
      <c r="I148" s="98"/>
      <c r="J148" s="98"/>
      <c r="K148" s="98" t="s">
        <v>97</v>
      </c>
      <c r="L148" s="98"/>
      <c r="M148" s="98"/>
      <c r="N148" s="98"/>
      <c r="O148" s="98"/>
      <c r="P148" s="98"/>
      <c r="Q148" s="98"/>
      <c r="R148" s="98"/>
    </row>
    <row r="149" spans="2:18" x14ac:dyDescent="0.25"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</row>
    <row r="152" spans="2:18" x14ac:dyDescent="0.25">
      <c r="D152" s="5">
        <v>2016</v>
      </c>
      <c r="E152" s="5">
        <v>2017</v>
      </c>
      <c r="F152" s="5">
        <v>2018</v>
      </c>
      <c r="G152" s="5">
        <v>2019</v>
      </c>
      <c r="H152" s="5">
        <v>2020</v>
      </c>
      <c r="M152" s="5">
        <v>2016</v>
      </c>
      <c r="N152" s="5">
        <v>2017</v>
      </c>
      <c r="O152" s="5">
        <v>2018</v>
      </c>
      <c r="P152" s="5">
        <v>2019</v>
      </c>
      <c r="Q152" s="5">
        <v>2020</v>
      </c>
    </row>
    <row r="153" spans="2:18" x14ac:dyDescent="0.25">
      <c r="B153" s="5"/>
      <c r="K153" s="5"/>
    </row>
    <row r="154" spans="2:18" x14ac:dyDescent="0.25">
      <c r="B154" s="16" t="str">
        <f>'PD IT'!E15</f>
        <v>SSN UIQ Lifecycle Refresh</v>
      </c>
      <c r="D154" s="95">
        <f>'PD IT'!F15*10^6</f>
        <v>1333333.3333333335</v>
      </c>
      <c r="E154" s="95">
        <f>'PD IT'!G15*10^6</f>
        <v>1333333.3333333335</v>
      </c>
      <c r="F154" s="95">
        <f>'PD IT'!H15*10^6</f>
        <v>1333333.3333333335</v>
      </c>
      <c r="G154" s="95">
        <f>'PD IT'!I15*10^6</f>
        <v>1333333.3333333335</v>
      </c>
      <c r="H154" s="95">
        <f>'PD IT'!J15*10^6</f>
        <v>1333333.3333333335</v>
      </c>
      <c r="K154" s="16" t="s">
        <v>26</v>
      </c>
      <c r="M154" s="95">
        <f>D154</f>
        <v>1333333.3333333335</v>
      </c>
      <c r="N154" s="95">
        <f t="shared" ref="N154:Q155" si="45">E154</f>
        <v>1333333.3333333335</v>
      </c>
      <c r="O154" s="95">
        <f t="shared" si="45"/>
        <v>1333333.3333333335</v>
      </c>
      <c r="P154" s="95">
        <f t="shared" si="45"/>
        <v>1333333.3333333335</v>
      </c>
      <c r="Q154" s="95">
        <f t="shared" si="45"/>
        <v>1333333.3333333335</v>
      </c>
    </row>
    <row r="155" spans="2:18" x14ac:dyDescent="0.25">
      <c r="B155" s="16" t="str">
        <f>'PD IT'!E17</f>
        <v>Meter Asset Management</v>
      </c>
      <c r="D155" s="95">
        <f>'PD IT'!F17*10^6</f>
        <v>160000</v>
      </c>
      <c r="E155" s="95">
        <f>'PD IT'!G17*10^6</f>
        <v>160000</v>
      </c>
      <c r="F155" s="95">
        <f>'PD IT'!H17*10^6</f>
        <v>160000</v>
      </c>
      <c r="G155" s="95">
        <f>'PD IT'!I17*10^6</f>
        <v>160000</v>
      </c>
      <c r="H155" s="95">
        <f>'PD IT'!J17*10^6</f>
        <v>160000</v>
      </c>
      <c r="K155" s="16" t="s">
        <v>28</v>
      </c>
      <c r="M155" s="95">
        <f>D155</f>
        <v>160000</v>
      </c>
      <c r="N155" s="95">
        <f t="shared" si="45"/>
        <v>160000</v>
      </c>
      <c r="O155" s="95">
        <f t="shared" si="45"/>
        <v>160000</v>
      </c>
      <c r="P155" s="95">
        <f t="shared" si="45"/>
        <v>160000</v>
      </c>
      <c r="Q155" s="95">
        <f t="shared" si="45"/>
        <v>160000</v>
      </c>
    </row>
    <row r="156" spans="2:18" x14ac:dyDescent="0.25">
      <c r="D156" s="105"/>
      <c r="E156" s="105"/>
      <c r="F156" s="105"/>
      <c r="G156" s="105"/>
      <c r="H156" s="105"/>
      <c r="M156" s="105"/>
      <c r="N156" s="105"/>
      <c r="O156" s="105"/>
      <c r="P156" s="105"/>
      <c r="Q156" s="105"/>
    </row>
    <row r="157" spans="2:18" x14ac:dyDescent="0.25">
      <c r="B157" s="16" t="s">
        <v>3</v>
      </c>
      <c r="D157" s="103">
        <f>SUM(D154:D155)</f>
        <v>1493333.3333333335</v>
      </c>
      <c r="E157" s="103">
        <f t="shared" ref="E157:H157" si="46">SUM(E154:E155)</f>
        <v>1493333.3333333335</v>
      </c>
      <c r="F157" s="103">
        <f t="shared" si="46"/>
        <v>1493333.3333333335</v>
      </c>
      <c r="G157" s="103">
        <f t="shared" si="46"/>
        <v>1493333.3333333335</v>
      </c>
      <c r="H157" s="103">
        <f t="shared" si="46"/>
        <v>1493333.3333333335</v>
      </c>
      <c r="K157" s="16" t="s">
        <v>3</v>
      </c>
      <c r="M157" s="103">
        <f>SUM(M154:M155)</f>
        <v>1493333.3333333335</v>
      </c>
      <c r="N157" s="103">
        <f t="shared" ref="N157:Q157" si="47">SUM(N154:N155)</f>
        <v>1493333.3333333335</v>
      </c>
      <c r="O157" s="103">
        <f t="shared" si="47"/>
        <v>1493333.3333333335</v>
      </c>
      <c r="P157" s="103">
        <f t="shared" si="47"/>
        <v>1493333.3333333335</v>
      </c>
      <c r="Q157" s="103">
        <f t="shared" si="47"/>
        <v>1493333.3333333335</v>
      </c>
    </row>
    <row r="158" spans="2:18" x14ac:dyDescent="0.25">
      <c r="D158" s="95"/>
      <c r="E158" s="95"/>
      <c r="F158" s="95"/>
      <c r="G158" s="95"/>
      <c r="H158" s="95"/>
      <c r="M158" s="105"/>
      <c r="N158" s="105"/>
      <c r="O158" s="105"/>
      <c r="P158" s="105"/>
      <c r="Q158" s="105"/>
    </row>
    <row r="159" spans="2:18" x14ac:dyDescent="0.25"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</row>
    <row r="160" spans="2:18" x14ac:dyDescent="0.25">
      <c r="B160" s="91" t="s">
        <v>98</v>
      </c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</row>
    <row r="161" spans="2:18" x14ac:dyDescent="0.25"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</row>
    <row r="164" spans="2:18" x14ac:dyDescent="0.25"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</row>
    <row r="165" spans="2:18" x14ac:dyDescent="0.25">
      <c r="B165" s="98" t="s">
        <v>87</v>
      </c>
      <c r="C165" s="98"/>
      <c r="D165" s="98"/>
      <c r="E165" s="98"/>
      <c r="F165" s="98"/>
      <c r="G165" s="98"/>
      <c r="H165" s="98"/>
      <c r="I165" s="98"/>
      <c r="J165" s="98"/>
      <c r="K165" s="98" t="s">
        <v>103</v>
      </c>
      <c r="L165" s="98"/>
      <c r="M165" s="98"/>
      <c r="N165" s="98"/>
      <c r="O165" s="98"/>
      <c r="P165" s="98"/>
      <c r="Q165" s="98"/>
      <c r="R165" s="98"/>
    </row>
    <row r="166" spans="2:18" x14ac:dyDescent="0.25"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</row>
    <row r="169" spans="2:18" x14ac:dyDescent="0.25">
      <c r="D169" s="5">
        <v>2016</v>
      </c>
      <c r="E169" s="5">
        <v>2017</v>
      </c>
      <c r="F169" s="5">
        <v>2018</v>
      </c>
      <c r="G169" s="5">
        <v>2019</v>
      </c>
      <c r="H169" s="5">
        <v>2020</v>
      </c>
      <c r="M169" s="5">
        <v>2016</v>
      </c>
      <c r="N169" s="5">
        <v>2017</v>
      </c>
      <c r="O169" s="5">
        <v>2018</v>
      </c>
      <c r="P169" s="5">
        <v>2019</v>
      </c>
      <c r="Q169" s="5">
        <v>2020</v>
      </c>
    </row>
    <row r="170" spans="2:18" x14ac:dyDescent="0.25">
      <c r="B170" s="5" t="s">
        <v>102</v>
      </c>
      <c r="D170" s="5"/>
      <c r="E170" s="5"/>
      <c r="F170" s="5"/>
      <c r="G170" s="5"/>
      <c r="H170" s="5"/>
      <c r="K170" s="5" t="s">
        <v>102</v>
      </c>
      <c r="M170" s="5"/>
      <c r="N170" s="5"/>
      <c r="O170" s="5"/>
      <c r="P170" s="5"/>
      <c r="Q170" s="5"/>
    </row>
    <row r="172" spans="2:18" x14ac:dyDescent="0.25">
      <c r="B172" s="16" t="s">
        <v>99</v>
      </c>
      <c r="D172" s="114">
        <f>D177</f>
        <v>0.14405200000000001</v>
      </c>
      <c r="E172" s="114">
        <f t="shared" ref="E172:H172" si="48">E177</f>
        <v>0.13200000000000001</v>
      </c>
      <c r="F172" s="114">
        <f t="shared" si="48"/>
        <v>0</v>
      </c>
      <c r="G172" s="114">
        <f t="shared" si="48"/>
        <v>0</v>
      </c>
      <c r="H172" s="114">
        <f t="shared" si="48"/>
        <v>0</v>
      </c>
      <c r="K172" s="16" t="s">
        <v>99</v>
      </c>
      <c r="M172" s="110">
        <f>D172</f>
        <v>0.14405200000000001</v>
      </c>
      <c r="N172" s="110">
        <f t="shared" ref="N172:Q172" si="49">E172</f>
        <v>0.13200000000000001</v>
      </c>
      <c r="O172" s="110">
        <f t="shared" si="49"/>
        <v>0</v>
      </c>
      <c r="P172" s="110">
        <f t="shared" si="49"/>
        <v>0</v>
      </c>
      <c r="Q172" s="110">
        <f t="shared" si="49"/>
        <v>0</v>
      </c>
    </row>
    <row r="173" spans="2:18" x14ac:dyDescent="0.25">
      <c r="B173" s="5"/>
      <c r="D173" s="5"/>
      <c r="E173" s="5"/>
      <c r="F173" s="5"/>
      <c r="G173" s="5"/>
      <c r="H173" s="5"/>
      <c r="K173" s="5"/>
      <c r="M173" s="110"/>
      <c r="N173" s="110"/>
      <c r="O173" s="110"/>
      <c r="P173" s="110"/>
      <c r="Q173" s="110"/>
    </row>
    <row r="174" spans="2:18" x14ac:dyDescent="0.25">
      <c r="B174" s="5" t="s">
        <v>104</v>
      </c>
      <c r="D174" s="5"/>
      <c r="E174" s="5"/>
      <c r="F174" s="5"/>
      <c r="G174" s="5"/>
      <c r="H174" s="5"/>
      <c r="K174" s="5" t="s">
        <v>104</v>
      </c>
      <c r="M174" s="110"/>
      <c r="N174" s="110"/>
      <c r="O174" s="110"/>
      <c r="P174" s="110"/>
      <c r="Q174" s="110"/>
    </row>
    <row r="175" spans="2:18" x14ac:dyDescent="0.25">
      <c r="B175" s="5"/>
      <c r="K175" s="5"/>
      <c r="M175" s="110"/>
      <c r="N175" s="110"/>
      <c r="O175" s="110"/>
      <c r="P175" s="110"/>
      <c r="Q175" s="110"/>
    </row>
    <row r="176" spans="2:18" x14ac:dyDescent="0.25">
      <c r="B176" s="2" t="s">
        <v>100</v>
      </c>
      <c r="C176" s="5"/>
      <c r="D176" s="100">
        <f>'[5]PTRM input'!G147</f>
        <v>0.14405199999999999</v>
      </c>
      <c r="E176" s="100">
        <f>'[5]PTRM input'!H147</f>
        <v>7.2025999999999993E-2</v>
      </c>
      <c r="F176" s="100">
        <f>'[5]PTRM input'!I147</f>
        <v>0</v>
      </c>
      <c r="G176" s="100">
        <f>'[5]PTRM input'!J147</f>
        <v>0</v>
      </c>
      <c r="H176" s="100">
        <f>'[5]PTRM input'!K147</f>
        <v>0</v>
      </c>
      <c r="K176" s="2" t="s">
        <v>100</v>
      </c>
      <c r="L176" s="5"/>
      <c r="M176" s="110">
        <f t="shared" ref="M176:M177" si="50">D176</f>
        <v>0.14405199999999999</v>
      </c>
      <c r="N176" s="110">
        <f t="shared" ref="N176:N177" si="51">E176</f>
        <v>7.2025999999999993E-2</v>
      </c>
      <c r="O176" s="110">
        <f t="shared" ref="O176:O177" si="52">F176</f>
        <v>0</v>
      </c>
      <c r="P176" s="110">
        <f t="shared" ref="P176:P177" si="53">G176</f>
        <v>0</v>
      </c>
      <c r="Q176" s="110">
        <f t="shared" ref="Q176:Q177" si="54">H176</f>
        <v>0</v>
      </c>
    </row>
    <row r="177" spans="2:18" x14ac:dyDescent="0.25">
      <c r="B177" s="16" t="s">
        <v>101</v>
      </c>
      <c r="D177" s="112">
        <f>'[3]PTRM input'!G145</f>
        <v>0.14405200000000001</v>
      </c>
      <c r="E177" s="112">
        <f>'[3]PTRM input'!H145</f>
        <v>0.13200000000000001</v>
      </c>
      <c r="F177" s="112">
        <f>'[3]PTRM input'!I145</f>
        <v>0</v>
      </c>
      <c r="G177" s="112">
        <f>'[3]PTRM input'!J145</f>
        <v>0</v>
      </c>
      <c r="H177" s="112">
        <f>'[3]PTRM input'!K145</f>
        <v>0</v>
      </c>
      <c r="K177" s="16" t="s">
        <v>101</v>
      </c>
      <c r="M177" s="110">
        <f t="shared" si="50"/>
        <v>0.14405200000000001</v>
      </c>
      <c r="N177" s="110">
        <f t="shared" si="51"/>
        <v>0.13200000000000001</v>
      </c>
      <c r="O177" s="110">
        <f t="shared" si="52"/>
        <v>0</v>
      </c>
      <c r="P177" s="110">
        <f t="shared" si="53"/>
        <v>0</v>
      </c>
      <c r="Q177" s="110">
        <f t="shared" si="54"/>
        <v>0</v>
      </c>
    </row>
    <row r="178" spans="2:18" x14ac:dyDescent="0.25">
      <c r="D178" s="105"/>
      <c r="E178" s="105"/>
      <c r="F178" s="105"/>
      <c r="G178" s="105"/>
      <c r="H178" s="105"/>
      <c r="M178" s="13"/>
      <c r="N178" s="13"/>
      <c r="O178" s="13"/>
      <c r="P178" s="13"/>
      <c r="Q178" s="13"/>
    </row>
    <row r="179" spans="2:18" x14ac:dyDescent="0.25">
      <c r="B179" s="5"/>
      <c r="D179" s="105"/>
      <c r="E179" s="105"/>
      <c r="F179" s="105"/>
      <c r="G179" s="105"/>
      <c r="H179" s="105"/>
      <c r="K179" s="5"/>
      <c r="M179" s="13"/>
      <c r="N179" s="13"/>
      <c r="O179" s="13"/>
      <c r="P179" s="13"/>
      <c r="Q179" s="13"/>
    </row>
    <row r="180" spans="2:18" x14ac:dyDescent="0.25"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</row>
    <row r="181" spans="2:18" x14ac:dyDescent="0.25">
      <c r="B181" s="91" t="s">
        <v>106</v>
      </c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</row>
    <row r="182" spans="2:18" x14ac:dyDescent="0.25"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</row>
    <row r="183" spans="2:18" x14ac:dyDescent="0.25">
      <c r="D183" s="95"/>
      <c r="E183" s="95"/>
      <c r="F183" s="95"/>
      <c r="G183" s="95"/>
      <c r="H183" s="95"/>
      <c r="M183" s="13"/>
      <c r="N183" s="13"/>
      <c r="O183" s="13"/>
      <c r="P183" s="13"/>
      <c r="Q183" s="13"/>
    </row>
    <row r="184" spans="2:18" x14ac:dyDescent="0.25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</row>
    <row r="185" spans="2:18" x14ac:dyDescent="0.25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</row>
    <row r="186" spans="2:18" x14ac:dyDescent="0.25">
      <c r="B186" s="5"/>
      <c r="C186" s="5"/>
      <c r="D186" s="5">
        <v>2016</v>
      </c>
      <c r="E186" s="5">
        <v>2017</v>
      </c>
      <c r="F186" s="5">
        <v>2018</v>
      </c>
      <c r="G186" s="5">
        <v>2019</v>
      </c>
      <c r="H186" s="5">
        <v>2020</v>
      </c>
      <c r="I186" s="94" t="s">
        <v>3</v>
      </c>
      <c r="M186" s="5">
        <v>2016</v>
      </c>
      <c r="N186" s="5">
        <v>2017</v>
      </c>
      <c r="O186" s="5">
        <v>2018</v>
      </c>
      <c r="P186" s="5">
        <v>2019</v>
      </c>
      <c r="Q186" s="5">
        <v>2020</v>
      </c>
      <c r="R186" s="94" t="s">
        <v>3</v>
      </c>
    </row>
    <row r="187" spans="2:18" x14ac:dyDescent="0.25">
      <c r="B187" s="5" t="s">
        <v>105</v>
      </c>
      <c r="C187" s="5"/>
      <c r="D187" s="5"/>
      <c r="E187" s="5"/>
      <c r="F187" s="5"/>
      <c r="G187" s="5"/>
      <c r="H187" s="5"/>
      <c r="I187" s="94"/>
      <c r="K187" s="5" t="s">
        <v>105</v>
      </c>
      <c r="M187" s="5"/>
      <c r="N187" s="5"/>
      <c r="O187" s="5"/>
      <c r="P187" s="5"/>
      <c r="Q187" s="5"/>
      <c r="R187" s="94"/>
    </row>
    <row r="188" spans="2:18" x14ac:dyDescent="0.25">
      <c r="B188" s="5"/>
      <c r="C188" s="5"/>
      <c r="D188" s="5"/>
      <c r="E188" s="5"/>
      <c r="F188" s="5"/>
      <c r="G188" s="5"/>
      <c r="H188" s="5"/>
    </row>
    <row r="189" spans="2:18" x14ac:dyDescent="0.25">
      <c r="B189" s="2" t="s">
        <v>88</v>
      </c>
      <c r="C189" s="5"/>
      <c r="D189" s="9">
        <f>D139</f>
        <v>2963000</v>
      </c>
      <c r="E189" s="9">
        <f>E139</f>
        <v>1066000</v>
      </c>
      <c r="F189" s="9">
        <f>F139</f>
        <v>629000</v>
      </c>
      <c r="G189" s="9">
        <f>G139</f>
        <v>657000</v>
      </c>
      <c r="H189" s="9">
        <f>H139</f>
        <v>674000</v>
      </c>
      <c r="I189" s="9">
        <f>SUM(D189:H189)</f>
        <v>5989000</v>
      </c>
      <c r="J189" s="95"/>
      <c r="K189" s="2" t="s">
        <v>66</v>
      </c>
      <c r="L189" s="5"/>
      <c r="M189" s="9">
        <f>M139</f>
        <v>2963000</v>
      </c>
      <c r="N189" s="9">
        <f t="shared" ref="N189:Q189" si="55">N139</f>
        <v>1066000</v>
      </c>
      <c r="O189" s="9">
        <f t="shared" si="55"/>
        <v>629000</v>
      </c>
      <c r="P189" s="9">
        <f t="shared" si="55"/>
        <v>657000</v>
      </c>
      <c r="Q189" s="9">
        <f t="shared" si="55"/>
        <v>674000</v>
      </c>
      <c r="R189" s="9">
        <f>SUM(M189:Q189)</f>
        <v>5989000</v>
      </c>
    </row>
    <row r="190" spans="2:18" x14ac:dyDescent="0.25">
      <c r="B190" s="2" t="s">
        <v>1</v>
      </c>
      <c r="C190" s="5"/>
      <c r="D190" s="9">
        <f>D157</f>
        <v>1493333.3333333335</v>
      </c>
      <c r="E190" s="9">
        <f>E157</f>
        <v>1493333.3333333335</v>
      </c>
      <c r="F190" s="9">
        <f>F157</f>
        <v>1493333.3333333335</v>
      </c>
      <c r="G190" s="9">
        <f>G157</f>
        <v>1493333.3333333335</v>
      </c>
      <c r="H190" s="9">
        <f>H157</f>
        <v>1493333.3333333335</v>
      </c>
      <c r="I190" s="9">
        <f t="shared" ref="I190:I192" si="56">SUM(D190:H190)</f>
        <v>7466666.6666666679</v>
      </c>
      <c r="K190" s="2" t="s">
        <v>67</v>
      </c>
      <c r="L190" s="5"/>
      <c r="M190" s="9">
        <f>M157</f>
        <v>1493333.3333333335</v>
      </c>
      <c r="N190" s="9">
        <f t="shared" ref="N190:Q190" si="57">N157</f>
        <v>1493333.3333333335</v>
      </c>
      <c r="O190" s="9">
        <f t="shared" si="57"/>
        <v>1493333.3333333335</v>
      </c>
      <c r="P190" s="9">
        <f t="shared" si="57"/>
        <v>1493333.3333333335</v>
      </c>
      <c r="Q190" s="9">
        <f t="shared" si="57"/>
        <v>1493333.3333333335</v>
      </c>
      <c r="R190" s="9">
        <f t="shared" ref="R190:R192" si="58">SUM(M190:Q190)</f>
        <v>7466666.6666666679</v>
      </c>
    </row>
    <row r="191" spans="2:18" x14ac:dyDescent="0.25">
      <c r="B191" s="2" t="s">
        <v>89</v>
      </c>
      <c r="C191" s="5"/>
      <c r="D191" s="9">
        <f>D172*10^6</f>
        <v>144052</v>
      </c>
      <c r="E191" s="9">
        <f>E172*10^6</f>
        <v>132000</v>
      </c>
      <c r="F191" s="9">
        <f>F172*10^6</f>
        <v>0</v>
      </c>
      <c r="G191" s="9">
        <f>G172*10^6</f>
        <v>0</v>
      </c>
      <c r="H191" s="9">
        <f>H172*10^6</f>
        <v>0</v>
      </c>
      <c r="I191" s="9">
        <f t="shared" si="56"/>
        <v>276052</v>
      </c>
      <c r="K191" s="2" t="s">
        <v>68</v>
      </c>
      <c r="L191" s="5"/>
      <c r="M191" s="9">
        <f>M172*10^6</f>
        <v>144052</v>
      </c>
      <c r="N191" s="9">
        <f t="shared" ref="N191:Q191" si="59">N172*10^6</f>
        <v>132000</v>
      </c>
      <c r="O191" s="9">
        <f t="shared" si="59"/>
        <v>0</v>
      </c>
      <c r="P191" s="9">
        <f t="shared" si="59"/>
        <v>0</v>
      </c>
      <c r="Q191" s="9">
        <f t="shared" si="59"/>
        <v>0</v>
      </c>
      <c r="R191" s="9">
        <f t="shared" si="58"/>
        <v>276052</v>
      </c>
    </row>
    <row r="192" spans="2:18" x14ac:dyDescent="0.25">
      <c r="B192" s="2" t="s">
        <v>69</v>
      </c>
      <c r="C192" s="5"/>
      <c r="D192" s="102">
        <f>D189+D190+D191</f>
        <v>4600385.333333334</v>
      </c>
      <c r="E192" s="102">
        <f t="shared" ref="E192:H192" si="60">E189+E190+E191</f>
        <v>2691333.3333333335</v>
      </c>
      <c r="F192" s="102">
        <f t="shared" si="60"/>
        <v>2122333.3333333335</v>
      </c>
      <c r="G192" s="102">
        <f t="shared" si="60"/>
        <v>2150333.3333333335</v>
      </c>
      <c r="H192" s="102">
        <f t="shared" si="60"/>
        <v>2167333.3333333335</v>
      </c>
      <c r="I192" s="102">
        <f t="shared" si="56"/>
        <v>13731718.66666667</v>
      </c>
      <c r="K192" s="2" t="s">
        <v>69</v>
      </c>
      <c r="L192" s="5"/>
      <c r="M192" s="102">
        <f>SUM(M189:M191)</f>
        <v>4600385.333333334</v>
      </c>
      <c r="N192" s="102">
        <f>SUM(N189:N191)</f>
        <v>2691333.3333333335</v>
      </c>
      <c r="O192" s="102">
        <f>SUM(O189:O191)</f>
        <v>2122333.3333333335</v>
      </c>
      <c r="P192" s="102">
        <f>SUM(P189:P191)</f>
        <v>2150333.3333333335</v>
      </c>
      <c r="Q192" s="102">
        <f>SUM(Q189:Q191)</f>
        <v>2167333.3333333335</v>
      </c>
      <c r="R192" s="102">
        <f t="shared" si="58"/>
        <v>13731718.66666667</v>
      </c>
    </row>
    <row r="193" spans="2:18" x14ac:dyDescent="0.25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</row>
    <row r="194" spans="2:18" x14ac:dyDescent="0.25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</row>
    <row r="195" spans="2:18" x14ac:dyDescent="0.25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</row>
    <row r="196" spans="2:18" x14ac:dyDescent="0.25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</row>
    <row r="197" spans="2:18" x14ac:dyDescent="0.25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</row>
    <row r="198" spans="2:18" x14ac:dyDescent="0.25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</row>
    <row r="199" spans="2:18" x14ac:dyDescent="0.25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</row>
    <row r="200" spans="2:18" x14ac:dyDescent="0.25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</row>
    <row r="201" spans="2:18" x14ac:dyDescent="0.25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</row>
    <row r="202" spans="2:18" x14ac:dyDescent="0.25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</row>
    <row r="203" spans="2:18" x14ac:dyDescent="0.25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</row>
    <row r="204" spans="2:18" x14ac:dyDescent="0.25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</row>
    <row r="205" spans="2:18" x14ac:dyDescent="0.25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</row>
    <row r="206" spans="2:18" x14ac:dyDescent="0.25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</row>
    <row r="207" spans="2:18" x14ac:dyDescent="0.25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</row>
    <row r="208" spans="2:18" x14ac:dyDescent="0.25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</row>
    <row r="209" spans="2:18" x14ac:dyDescent="0.25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</row>
    <row r="210" spans="2:18" x14ac:dyDescent="0.25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</row>
    <row r="211" spans="2:18" x14ac:dyDescent="0.25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</row>
    <row r="212" spans="2:18" x14ac:dyDescent="0.25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</row>
    <row r="213" spans="2:18" x14ac:dyDescent="0.25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</row>
    <row r="214" spans="2:18" x14ac:dyDescent="0.25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</row>
    <row r="215" spans="2:18" x14ac:dyDescent="0.25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</row>
    <row r="216" spans="2:18" x14ac:dyDescent="0.25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</row>
    <row r="217" spans="2:18" x14ac:dyDescent="0.25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</row>
    <row r="218" spans="2:18" x14ac:dyDescent="0.25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</row>
    <row r="219" spans="2:18" x14ac:dyDescent="0.25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</row>
    <row r="220" spans="2:18" x14ac:dyDescent="0.25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</row>
    <row r="221" spans="2:18" x14ac:dyDescent="0.25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</row>
    <row r="222" spans="2:18" x14ac:dyDescent="0.25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</row>
    <row r="223" spans="2:18" x14ac:dyDescent="0.25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</row>
    <row r="224" spans="2:18" x14ac:dyDescent="0.25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</row>
    <row r="225" spans="2:18" x14ac:dyDescent="0.25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</row>
    <row r="226" spans="2:18" x14ac:dyDescent="0.25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</row>
    <row r="227" spans="2:18" x14ac:dyDescent="0.25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</row>
    <row r="228" spans="2:18" x14ac:dyDescent="0.25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</row>
    <row r="229" spans="2:18" x14ac:dyDescent="0.25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</row>
    <row r="230" spans="2:18" x14ac:dyDescent="0.25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</row>
    <row r="231" spans="2:18" x14ac:dyDescent="0.25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</row>
    <row r="232" spans="2:18" x14ac:dyDescent="0.25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</row>
    <row r="233" spans="2:18" x14ac:dyDescent="0.25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</row>
    <row r="234" spans="2:18" x14ac:dyDescent="0.25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</row>
    <row r="235" spans="2:18" x14ac:dyDescent="0.25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</row>
    <row r="236" spans="2:18" x14ac:dyDescent="0.25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</row>
    <row r="237" spans="2:18" x14ac:dyDescent="0.25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</row>
    <row r="238" spans="2:18" x14ac:dyDescent="0.25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spans="2:18" x14ac:dyDescent="0.25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</row>
    <row r="240" spans="2:18" x14ac:dyDescent="0.25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</row>
    <row r="241" spans="2:18" x14ac:dyDescent="0.25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</row>
    <row r="242" spans="2:18" x14ac:dyDescent="0.25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</row>
    <row r="243" spans="2:18" x14ac:dyDescent="0.25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</row>
    <row r="244" spans="2:18" x14ac:dyDescent="0.25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</row>
    <row r="245" spans="2:18" x14ac:dyDescent="0.25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</row>
    <row r="246" spans="2:18" x14ac:dyDescent="0.25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</row>
    <row r="247" spans="2:18" x14ac:dyDescent="0.25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</row>
    <row r="248" spans="2:18" x14ac:dyDescent="0.25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</row>
    <row r="249" spans="2:18" x14ac:dyDescent="0.25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</row>
    <row r="250" spans="2:18" x14ac:dyDescent="0.25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</row>
    <row r="251" spans="2:18" x14ac:dyDescent="0.25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</row>
    <row r="252" spans="2:18" x14ac:dyDescent="0.25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</row>
    <row r="253" spans="2:18" x14ac:dyDescent="0.25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CPI</vt:lpstr>
      <vt:lpstr>Preliminary decision &gt;&gt;&gt;</vt:lpstr>
      <vt:lpstr>PD summary</vt:lpstr>
      <vt:lpstr>PD meters</vt:lpstr>
      <vt:lpstr>PD hardware unit costs</vt:lpstr>
      <vt:lpstr>PD IT</vt:lpstr>
      <vt:lpstr>PD comms</vt:lpstr>
      <vt:lpstr>Final decision &gt;&gt;&gt;</vt:lpstr>
      <vt:lpstr>FD CAPEX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Makani, Jeevika</dc:creator>
  <cp:lastModifiedBy>Moffitt, Shannon</cp:lastModifiedBy>
  <dcterms:created xsi:type="dcterms:W3CDTF">2015-06-26T04:03:59Z</dcterms:created>
  <dcterms:modified xsi:type="dcterms:W3CDTF">2016-05-24T02:07:34Z</dcterms:modified>
</cp:coreProperties>
</file>