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28DB476C-2B61-4BD5-9760-4FB9F72109E4}" xr6:coauthVersionLast="47" xr6:coauthVersionMax="47" xr10:uidLastSave="{00000000-0000-0000-0000-000000000000}"/>
  <bookViews>
    <workbookView xWindow="-28920" yWindow="-120" windowWidth="29040" windowHeight="15840" tabRatio="691" activeTab="2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3" l="1"/>
  <c r="E9" i="4" s="1"/>
  <c r="I22" i="13"/>
  <c r="F9" i="4" s="1"/>
  <c r="J22" i="13"/>
  <c r="G9" i="4" s="1"/>
  <c r="K22" i="13"/>
  <c r="H9" i="4" s="1"/>
  <c r="G19" i="4" s="1"/>
  <c r="L22" i="13"/>
  <c r="D25" i="4" s="1"/>
  <c r="D27" i="4" s="1"/>
  <c r="D18" i="4"/>
  <c r="D8" i="4"/>
  <c r="H13" i="2"/>
  <c r="G13" i="2" s="1"/>
  <c r="D18" i="2"/>
  <c r="E18" i="2"/>
  <c r="I25" i="3" s="1"/>
  <c r="L7" i="13"/>
  <c r="D41" i="4"/>
  <c r="E41" i="4" s="1"/>
  <c r="F41" i="4" s="1"/>
  <c r="G41" i="4" s="1"/>
  <c r="H41" i="4" s="1"/>
  <c r="L19" i="13"/>
  <c r="G22" i="13"/>
  <c r="D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10" s="1"/>
  <c r="D40" i="4"/>
  <c r="J6" i="10" s="1"/>
  <c r="F8" i="10" s="1"/>
  <c r="D24" i="4"/>
  <c r="H25" i="3"/>
  <c r="F13" i="2" l="1"/>
  <c r="K6" i="3"/>
  <c r="J7" i="13"/>
  <c r="J19" i="13" s="1"/>
  <c r="G7" i="4"/>
  <c r="C44" i="4"/>
  <c r="C42" i="4"/>
  <c r="M7" i="13"/>
  <c r="M19" i="13" s="1"/>
  <c r="E40" i="4"/>
  <c r="K6" i="10" s="1"/>
  <c r="F18" i="2"/>
  <c r="E24" i="4"/>
  <c r="L6" i="3"/>
  <c r="H7" i="4"/>
  <c r="K7" i="13"/>
  <c r="K19" i="13" s="1"/>
  <c r="B1" i="13"/>
  <c r="B1" i="3"/>
  <c r="B1" i="5"/>
  <c r="B1" i="4"/>
  <c r="E27" i="4"/>
  <c r="N14" i="13"/>
  <c r="F19" i="4"/>
  <c r="E19" i="4" s="1"/>
  <c r="K15" i="3" l="1"/>
  <c r="K21" i="3" s="1"/>
  <c r="G11" i="4" s="1"/>
  <c r="K11" i="3"/>
  <c r="J6" i="3"/>
  <c r="E13" i="2"/>
  <c r="I7" i="13"/>
  <c r="F7" i="4"/>
  <c r="J25" i="3"/>
  <c r="N7" i="13"/>
  <c r="N19" i="13" s="1"/>
  <c r="G18" i="2"/>
  <c r="F40" i="4"/>
  <c r="L6" i="10" s="1"/>
  <c r="F24" i="4"/>
  <c r="L11" i="3"/>
  <c r="L15" i="3"/>
  <c r="L21" i="3" s="1"/>
  <c r="H11" i="4" s="1"/>
  <c r="N22" i="13"/>
  <c r="F25" i="4" s="1"/>
  <c r="F27" i="4" s="1"/>
  <c r="O14" i="13"/>
  <c r="D19" i="4"/>
  <c r="I6" i="3" l="1"/>
  <c r="H7" i="13"/>
  <c r="H19" i="13" s="1"/>
  <c r="E7" i="4"/>
  <c r="D13" i="2"/>
  <c r="I19" i="13"/>
  <c r="J11" i="3"/>
  <c r="J15" i="3"/>
  <c r="J21" i="3" s="1"/>
  <c r="F11" i="4" s="1"/>
  <c r="H18" i="2"/>
  <c r="O7" i="13"/>
  <c r="K25" i="3"/>
  <c r="G24" i="4"/>
  <c r="G40" i="4"/>
  <c r="M6" i="10" s="1"/>
  <c r="P14" i="13"/>
  <c r="P22" i="13" s="1"/>
  <c r="H25" i="4" s="1"/>
  <c r="O22" i="13"/>
  <c r="G25" i="4" s="1"/>
  <c r="G27" i="4" s="1"/>
  <c r="D21" i="4"/>
  <c r="G7" i="13" l="1"/>
  <c r="D7" i="4"/>
  <c r="H6" i="3"/>
  <c r="O19" i="13"/>
  <c r="P7" i="13"/>
  <c r="H40" i="4"/>
  <c r="N6" i="10" s="1"/>
  <c r="H24" i="4"/>
  <c r="L25" i="3"/>
  <c r="I11" i="3"/>
  <c r="I15" i="3"/>
  <c r="I21" i="3" s="1"/>
  <c r="E11" i="4" s="1"/>
  <c r="H27" i="4"/>
  <c r="P19" i="13" l="1"/>
  <c r="F7" i="13"/>
  <c r="G19" i="13"/>
  <c r="G15" i="13"/>
  <c r="H15" i="13" s="1"/>
  <c r="I15" i="13" s="1"/>
  <c r="G10" i="13"/>
  <c r="H10" i="13" s="1"/>
  <c r="I10" i="13" s="1"/>
  <c r="J10" i="13" s="1"/>
  <c r="K10" i="13" s="1"/>
  <c r="H11" i="3"/>
  <c r="D10" i="4" s="1"/>
  <c r="H15" i="3"/>
  <c r="H21" i="3" s="1"/>
  <c r="D11" i="4" s="1"/>
  <c r="E10" i="4"/>
  <c r="E12" i="4" s="1"/>
  <c r="D12" i="4" l="1"/>
  <c r="E20" i="4"/>
  <c r="F14" i="4"/>
  <c r="G14" i="4"/>
  <c r="H14" i="4"/>
  <c r="L10" i="13"/>
  <c r="H28" i="3"/>
  <c r="J15" i="13"/>
  <c r="F10" i="4"/>
  <c r="F12" i="4" s="1"/>
  <c r="F9" i="3"/>
  <c r="C15" i="13"/>
  <c r="F8" i="3"/>
  <c r="C10" i="13"/>
  <c r="F28" i="3"/>
  <c r="F11" i="3"/>
  <c r="G10" i="4" l="1"/>
  <c r="G12" i="4" s="1"/>
  <c r="K15" i="13"/>
  <c r="M10" i="13"/>
  <c r="I28" i="3"/>
  <c r="H15" i="4"/>
  <c r="G15" i="4"/>
  <c r="F20" i="4"/>
  <c r="E13" i="4"/>
  <c r="E18" i="4" s="1"/>
  <c r="E21" i="4" s="1"/>
  <c r="D20" i="4"/>
  <c r="G13" i="4"/>
  <c r="H13" i="4"/>
  <c r="F13" i="4"/>
  <c r="F18" i="4" s="1"/>
  <c r="F21" i="4" s="1"/>
  <c r="L15" i="13" l="1"/>
  <c r="M15" i="13" s="1"/>
  <c r="N15" i="13" s="1"/>
  <c r="O15" i="13" s="1"/>
  <c r="H10" i="4"/>
  <c r="H12" i="4" s="1"/>
  <c r="H20" i="4" s="1"/>
  <c r="H16" i="4"/>
  <c r="H18" i="4" s="1"/>
  <c r="H21" i="4" s="1"/>
  <c r="G20" i="4"/>
  <c r="I29" i="3"/>
  <c r="E26" i="4" s="1"/>
  <c r="E28" i="4" s="1"/>
  <c r="H29" i="3"/>
  <c r="D26" i="4" s="1"/>
  <c r="D28" i="4" s="1"/>
  <c r="G18" i="4"/>
  <c r="G21" i="4" s="1"/>
  <c r="D35" i="4" s="1"/>
  <c r="N10" i="13"/>
  <c r="J28" i="3"/>
  <c r="J29" i="3" s="1"/>
  <c r="F26" i="4" s="1"/>
  <c r="F28" i="4" s="1"/>
  <c r="P15" i="13"/>
  <c r="K28" i="3" l="1"/>
  <c r="K29" i="3" s="1"/>
  <c r="G26" i="4" s="1"/>
  <c r="G28" i="4" s="1"/>
  <c r="O10" i="13"/>
  <c r="L28" i="3" l="1"/>
  <c r="L29" i="3" s="1"/>
  <c r="H26" i="4" s="1"/>
  <c r="H28" i="4" s="1"/>
  <c r="D31" i="4" s="1"/>
  <c r="P10" i="13"/>
  <c r="D33" i="4" l="1"/>
  <c r="D34" i="4"/>
  <c r="D36" i="4" s="1"/>
  <c r="D42" i="4" s="1"/>
  <c r="E42" i="4" l="1"/>
  <c r="J8" i="10"/>
  <c r="K8" i="10" l="1"/>
  <c r="F42" i="4"/>
  <c r="L8" i="10" l="1"/>
  <c r="G42" i="4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actual CPI.</t>
        </r>
      </text>
    </comment>
    <comment ref="K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RBA August SoMP.</t>
        </r>
      </text>
    </comment>
    <comment ref="L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  <comment ref="P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<sst xmlns="http://schemas.openxmlformats.org/spreadsheetml/2006/main" count="195" uniqueCount="105">
  <si>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</si>
  <si>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</si>
  <si>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</si>
  <si>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</si>
  <si>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</si>
  <si>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</si>
  <si>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</si>
  <si>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</si>
  <si>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</si>
  <si>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</si>
  <si>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</si>
  <si>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</si>
  <si>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</si>
  <si>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</si>
  <si>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</si>
  <si>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</si>
  <si>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</si>
  <si>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</si>
  <si>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</si>
  <si>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Determination stage</t>
  </si>
  <si>
    <t>Determination years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</si>
  <si>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</si>
  <si>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</si>
  <si>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</si>
  <si>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</si>
  <si>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</si>
  <si>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</si>
  <si>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</si>
  <si>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</si>
  <si>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</si>
  <si>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</si>
  <si>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</si>
  <si>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</si>
  <si>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</si>
  <si>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</si>
  <si>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</si>
  <si>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</si>
  <si>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</si>
  <si>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</si>
  <si>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</si>
  <si>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</si>
  <si>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</si>
  <si>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</si>
  <si>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</si>
  <si>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</si>
  <si>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</si>
  <si>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</si>
  <si>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</si>
  <si>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</si>
  <si>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</si>
  <si>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</si>
  <si>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</si>
  <si>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</si>
  <si>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</si>
  <si>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</si>
  <si>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</si>
  <si>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</si>
  <si>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</si>
  <si>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</si>
  <si>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</si>
  <si>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</si>
  <si>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</si>
  <si>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</si>
  <si>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</si>
  <si>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</si>
  <si>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</si>
  <si>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</si>
  <si>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</si>
  <si>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</si>
  <si>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</si>
  <si>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</si>
  <si>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</si>
  <si>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</si>
  <si>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</si>
  <si>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</si>
  <si>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</si>
  <si>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</si>
  <si>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</si>
  <si>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</si>
  <si>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</si>
  <si>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</si>
  <si>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</si>
  <si>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</si>
  <si>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</si>
  <si>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</si>
  <si>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</si>
  <si>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</si>
  <si>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</si>
  <si>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</si>
  <si>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</si>
  <si>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</si>
  <si>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</si>
  <si>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</si>
  <si>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</si>
  <si>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</si>
  <si>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</si>
  <si>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</si>
  <si>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</si>
  <si>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</si>
  <si>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</si>
  <si>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2023-28</t>
  </si>
  <si>
    <t>2023-24</t>
  </si>
  <si>
    <t>Murraylink</t>
  </si>
  <si>
    <t>Draft decision</t>
  </si>
  <si>
    <t>Modelling team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</si>
</sst>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4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9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6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24" fillId="101" borderId="26" xfId="0" applyNumberFormat="1" applyFont="1" applyFill="1" applyBorder="1" applyAlignment="1">
      <alignment horizontal="center" vertical="center"/>
    </xf>
    <xf numFmtId="0" fontId="22" fillId="0" borderId="0" xfId="302" applyNumberFormat="1" applyFont="1" applyFill="1" applyBorder="1" applyAlignment="1" applyProtection="1">
      <alignment horizontal="center" vertical="center"/>
    </xf>
    <xf numFmtId="0" fontId="24" fillId="101" borderId="24" xfId="1" applyFont="1" applyFill="1" applyBorder="1" applyAlignment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101" fillId="101" borderId="0" xfId="265" applyFont="1" applyFill="1" applyBorder="1" applyAlignment="1" applyProtection="1">
      <alignment horizontal="center" vertical="center" wrapText="1"/>
    </xf>
    <xf numFmtId="0" fontId="100" fillId="101" borderId="0" xfId="0" applyFont="1" applyFill="1" applyAlignment="1">
      <alignment horizontal="center" vertical="center"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4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Murraylink 2023-28 Draft decision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G8" sqref="G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Murraylink 2023-28 Draft decision - Capital expenditure sharing scheme model</v>
      </c>
      <c r="F1" s="102"/>
      <c r="G1" s="103" t="s">
        <v>15</v>
      </c>
      <c r="H1" s="153" t="s">
        <v>16</v>
      </c>
      <c r="I1" s="156" t="s">
        <v>17</v>
      </c>
      <c r="J1" s="206" t="s">
        <v>104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204" t="s">
        <v>102</v>
      </c>
      <c r="J6" s="78"/>
      <c r="K6" s="78"/>
      <c r="L6" s="78"/>
      <c r="M6" s="78"/>
    </row>
    <row r="7" spans="1:13" s="69" customFormat="1" ht="11.25" customHeight="1">
      <c r="C7" s="68" t="s">
        <v>19</v>
      </c>
      <c r="D7" s="204" t="s">
        <v>103</v>
      </c>
      <c r="I7" s="78"/>
      <c r="J7" s="78"/>
      <c r="K7" s="78"/>
      <c r="L7" s="78"/>
    </row>
    <row r="8" spans="1:13" s="69" customFormat="1" ht="11.25" customHeight="1">
      <c r="C8" s="68" t="s">
        <v>20</v>
      </c>
      <c r="D8" s="204" t="s">
        <v>100</v>
      </c>
      <c r="J8" s="78"/>
      <c r="K8" s="78"/>
      <c r="L8" s="78"/>
      <c r="M8" s="78"/>
    </row>
    <row r="9" spans="1:13" s="69" customFormat="1" ht="11.25" customHeight="1">
      <c r="C9" s="182" t="s">
        <v>21</v>
      </c>
      <c r="D9" s="204" t="s">
        <v>101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22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23</v>
      </c>
      <c r="E12" s="70" t="s">
        <v>24</v>
      </c>
      <c r="F12" s="70" t="s">
        <v>25</v>
      </c>
      <c r="G12" s="70" t="s">
        <v>26</v>
      </c>
      <c r="H12" s="70" t="s">
        <v>27</v>
      </c>
      <c r="J12" s="78"/>
      <c r="K12" s="78"/>
      <c r="L12" s="78"/>
      <c r="M12" s="78"/>
    </row>
    <row r="13" spans="1:13" s="69" customFormat="1" ht="11.25" customHeight="1">
      <c r="C13" s="68" t="s">
        <v>28</v>
      </c>
      <c r="D13" s="181" t="str">
        <f t="shared" ref="D13:F13" si="0">IF(LEN(E13)&gt;4,CONCATENATE(LEFT(E13,4)-1&amp;"–"&amp;IF(RIGHT(E13,2)="00","99",IF(RIGHT(E13,2)-1&lt;10,"0","")&amp;RIGHT(E13,2)-1)),E13-1)</f>
        <v>2018–19</v>
      </c>
      <c r="E13" s="181" t="str">
        <f t="shared" si="0"/>
        <v>2019–20</v>
      </c>
      <c r="F13" s="181" t="str">
        <f t="shared" si="0"/>
        <v>2020–21</v>
      </c>
      <c r="G13" s="181" t="str">
        <f>IF(LEN(H13)&gt;4,CONCATENATE(LEFT(H13,4)-1&amp;"–"&amp;IF(RIGHT(H13,2)="00","99",IF(RIGHT(H13,2)-1&lt;10,"0","")&amp;RIGHT(H13,2)-1)),H13-1)</f>
        <v>2021–22</v>
      </c>
      <c r="H13" s="181" t="str">
        <f>IF(LEN(D9)&gt;4,CONCATENATE(LEFT(D9,4)-1&amp;"–"&amp;IF(RIGHT(D9,2)="00","99",IF(RIGHT(D9,2)-1&lt;10,"0","")&amp;RIGHT(D9,2)-1)),D9-1)</f>
        <v>2022–23</v>
      </c>
      <c r="J13" s="78"/>
      <c r="K13" s="78"/>
      <c r="L13" s="78"/>
      <c r="M13" s="78"/>
    </row>
    <row r="14" spans="1:13" s="69" customFormat="1" ht="11.25" customHeight="1">
      <c r="C14" s="68" t="s">
        <v>29</v>
      </c>
      <c r="D14" s="204" t="s">
        <v>30</v>
      </c>
      <c r="E14" s="204" t="s">
        <v>30</v>
      </c>
      <c r="F14" s="204" t="s">
        <v>30</v>
      </c>
      <c r="G14" s="204" t="s">
        <v>30</v>
      </c>
      <c r="H14" s="204" t="s">
        <v>30</v>
      </c>
      <c r="J14" s="78"/>
      <c r="K14" s="78"/>
      <c r="L14" s="78"/>
      <c r="M14" s="78"/>
    </row>
    <row r="15" spans="1:13" s="69" customFormat="1" ht="11.25" customHeight="1">
      <c r="C15" s="68" t="s">
        <v>31</v>
      </c>
      <c r="D15" s="204" t="s">
        <v>32</v>
      </c>
      <c r="E15" s="204" t="s">
        <v>32</v>
      </c>
      <c r="F15" s="204" t="s">
        <v>32</v>
      </c>
      <c r="G15" s="204" t="s">
        <v>33</v>
      </c>
      <c r="H15" s="204" t="s">
        <v>33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23</v>
      </c>
      <c r="E17" s="70" t="s">
        <v>24</v>
      </c>
      <c r="F17" s="70" t="s">
        <v>25</v>
      </c>
      <c r="G17" s="70" t="s">
        <v>26</v>
      </c>
      <c r="H17" s="70" t="s">
        <v>27</v>
      </c>
      <c r="J17" s="78"/>
      <c r="K17" s="78"/>
      <c r="L17" s="78"/>
      <c r="M17" s="78"/>
    </row>
    <row r="18" spans="1:13" s="69" customFormat="1" ht="11.25" customHeight="1">
      <c r="C18" s="68" t="s">
        <v>34</v>
      </c>
      <c r="D18" s="181" t="str">
        <f>D9</f>
        <v>2023-24</v>
      </c>
      <c r="E18" s="181" t="str">
        <f>IF(LEN(D18)&gt;4,CONCATENATE(LEFT(D18,4)+1&amp;"–"&amp;IF(RIGHT(D18,2)+1&gt;9,"","0")&amp;RIGHT(D18,2)+1),D18+1)</f>
        <v>2024–25</v>
      </c>
      <c r="F18" s="181" t="str">
        <f t="shared" ref="F18:H18" si="1">IF(LEN(E18)&gt;4,CONCATENATE(LEFT(E18,4)+1&amp;"–"&amp;IF(RIGHT(E18,2)+1&gt;9,"","0")&amp;RIGHT(E18,2)+1),E18+1)</f>
        <v>2025–26</v>
      </c>
      <c r="G18" s="181" t="str">
        <f t="shared" si="1"/>
        <v>2026–27</v>
      </c>
      <c r="H18" s="181" t="str">
        <f t="shared" si="1"/>
        <v>2027–28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tabSelected="1" zoomScale="96" zoomScaleNormal="96" workbookViewId="0">
      <selection activeCell="J13" sqref="J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Murraylink 2023-28 Draft decision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6" t="s">
        <v>17</v>
      </c>
      <c r="L1" s="207" t="s">
        <v>104</v>
      </c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35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36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87"/>
      <c r="K5" s="187"/>
      <c r="N5" s="11"/>
    </row>
    <row r="6" spans="1:20" ht="11.25" customHeight="1">
      <c r="A6" s="11"/>
      <c r="B6" s="11"/>
      <c r="C6" s="16"/>
      <c r="D6" s="74" t="s">
        <v>37</v>
      </c>
      <c r="E6" s="74" t="s">
        <v>38</v>
      </c>
      <c r="F6" s="74"/>
      <c r="J6" s="187"/>
      <c r="K6" s="187"/>
      <c r="N6" s="11"/>
    </row>
    <row r="7" spans="1:20" ht="11.25" customHeight="1">
      <c r="A7" s="11"/>
      <c r="B7" s="11"/>
      <c r="C7" s="16"/>
      <c r="D7" s="78"/>
      <c r="E7" s="78"/>
      <c r="F7" s="168" t="str">
        <f>IF(LEN(G7)&gt;4,CONCATENATE(LEFT(G7,4)-1&amp;"–"&amp;IF(RIGHT(G7,2)="00","99",IF(RIGHT(G7,2)-1&lt;10,"0","")&amp;RIGHT(G7,2)-1)),G7-1)</f>
        <v>2017–18</v>
      </c>
      <c r="G7" s="167" t="str">
        <f>'Input | General'!D13</f>
        <v>2018–19</v>
      </c>
      <c r="H7" s="167" t="str">
        <f>'Input | General'!E13</f>
        <v>2019–20</v>
      </c>
      <c r="I7" s="167" t="str">
        <f>'Input | General'!F13</f>
        <v>2020–21</v>
      </c>
      <c r="J7" s="167" t="str">
        <f>'Input | General'!G13</f>
        <v>2021–22</v>
      </c>
      <c r="K7" s="167" t="str">
        <f>'Input | General'!H13</f>
        <v>2022–23</v>
      </c>
      <c r="L7" s="203" t="str">
        <f>'Input | General'!D18</f>
        <v>2023-24</v>
      </c>
      <c r="M7" s="167" t="str">
        <f>'Input | General'!E18</f>
        <v>2024–25</v>
      </c>
      <c r="N7" s="167" t="str">
        <f>'Input | General'!F18</f>
        <v>2025–26</v>
      </c>
      <c r="O7" s="167" t="str">
        <f>'Input | General'!G18</f>
        <v>2026–27</v>
      </c>
      <c r="P7" s="167" t="str">
        <f>'Input | General'!H18</f>
        <v>2027–28</v>
      </c>
    </row>
    <row r="8" spans="1:20" ht="11.25" customHeight="1">
      <c r="A8" s="11"/>
      <c r="B8" s="11"/>
      <c r="C8" s="79" t="s">
        <v>39</v>
      </c>
      <c r="D8" s="77" t="s">
        <v>40</v>
      </c>
      <c r="E8" s="77" t="s">
        <v>41</v>
      </c>
      <c r="F8" s="184"/>
      <c r="G8" s="202">
        <v>1.3321492007104752E-2</v>
      </c>
      <c r="H8" s="202">
        <v>2.1910604732690686E-2</v>
      </c>
      <c r="I8" s="202">
        <v>1.1149228130360234E-2</v>
      </c>
      <c r="J8" s="202">
        <v>0</v>
      </c>
      <c r="K8" s="202">
        <v>0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42</v>
      </c>
      <c r="D9" s="77" t="s">
        <v>40</v>
      </c>
      <c r="E9" s="77" t="s">
        <v>41</v>
      </c>
      <c r="F9" s="77"/>
      <c r="G9" s="127"/>
      <c r="H9" s="127"/>
      <c r="I9" s="127"/>
      <c r="J9" s="127"/>
      <c r="K9" s="127"/>
      <c r="L9" s="202">
        <v>2.3749618436947673E-2</v>
      </c>
      <c r="M9" s="138">
        <f t="shared" ref="M9:P9" si="0">L9</f>
        <v>2.3749618436947673E-2</v>
      </c>
      <c r="N9" s="138">
        <f t="shared" si="0"/>
        <v>2.3749618436947673E-2</v>
      </c>
      <c r="O9" s="138">
        <f t="shared" si="0"/>
        <v>2.3749618436947673E-2</v>
      </c>
      <c r="P9" s="138">
        <f t="shared" si="0"/>
        <v>2.3749618436947673E-2</v>
      </c>
    </row>
    <row r="10" spans="1:20" ht="11.25" customHeight="1">
      <c r="A10" s="11"/>
      <c r="B10" s="11"/>
      <c r="C10" s="136" t="str">
        <f>"CPI Index (base year "&amp;F7&amp;")"</f>
        <v>CPI Index (base year 2017–18)</v>
      </c>
      <c r="D10" s="77" t="s">
        <v>40</v>
      </c>
      <c r="E10" s="77" t="s">
        <v>0</v>
      </c>
      <c r="F10" s="134">
        <v>1</v>
      </c>
      <c r="G10" s="120">
        <f>IF(G7&lt;&gt;"",(F10*(1+G8)),"")</f>
        <v>1.0133214920071048</v>
      </c>
      <c r="H10" s="120">
        <f>IF(H7&lt;&gt;"",(G10*(1+H8)),"")</f>
        <v>1.0355239786856127</v>
      </c>
      <c r="I10" s="120">
        <f>IF(I7&lt;&gt;"",(H10*(1+I8)),"")</f>
        <v>1.0470692717584369</v>
      </c>
      <c r="J10" s="120">
        <f>IF(J7&lt;&gt;"",(I10*(1+J8)),"")</f>
        <v>1.0470692717584369</v>
      </c>
      <c r="K10" s="120">
        <f>IF(K7&lt;&gt;"",(J10*(1+K8)),"")</f>
        <v>1.0470692717584369</v>
      </c>
      <c r="L10" s="86">
        <f t="shared" ref="L10:P10" si="1">IF(L7&lt;&gt;"",(K10*(1+L9)),"")</f>
        <v>1.0719367674397524</v>
      </c>
      <c r="M10" s="86">
        <f t="shared" si="1"/>
        <v>1.0973948566549816</v>
      </c>
      <c r="N10" s="86">
        <f t="shared" si="1"/>
        <v>1.1234575657752064</v>
      </c>
      <c r="O10" s="86">
        <f t="shared" si="1"/>
        <v>1.1501392542924695</v>
      </c>
      <c r="P10" s="86">
        <f t="shared" si="1"/>
        <v>1.1774546227312712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39</v>
      </c>
      <c r="D13" s="77" t="s">
        <v>43</v>
      </c>
      <c r="E13" s="77" t="s">
        <v>41</v>
      </c>
      <c r="F13" s="184"/>
      <c r="G13" s="202">
        <v>1.7841213202497874E-2</v>
      </c>
      <c r="H13" s="202">
        <v>1.8404907975460238E-2</v>
      </c>
      <c r="I13" s="202">
        <v>8.6058519793459354E-3</v>
      </c>
      <c r="J13" s="202">
        <v>3.4982935153583528E-2</v>
      </c>
      <c r="K13" s="202">
        <v>7.8E-2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42</v>
      </c>
      <c r="D14" s="77" t="s">
        <v>43</v>
      </c>
      <c r="E14" s="77" t="s">
        <v>41</v>
      </c>
      <c r="F14" s="77"/>
      <c r="G14" s="85"/>
      <c r="H14" s="85"/>
      <c r="I14" s="85"/>
      <c r="J14" s="85"/>
      <c r="K14" s="85"/>
      <c r="L14" s="202">
        <v>2.9993931995937029E-2</v>
      </c>
      <c r="M14" s="138">
        <f t="shared" ref="M14:P14" si="2">L14</f>
        <v>2.9993931995937029E-2</v>
      </c>
      <c r="N14" s="138">
        <f t="shared" si="2"/>
        <v>2.9993931995937029E-2</v>
      </c>
      <c r="O14" s="138">
        <f t="shared" si="2"/>
        <v>2.9993931995937029E-2</v>
      </c>
      <c r="P14" s="138">
        <f t="shared" si="2"/>
        <v>2.9993931995937029E-2</v>
      </c>
    </row>
    <row r="15" spans="1:20" ht="11.25" customHeight="1">
      <c r="A15" s="11"/>
      <c r="B15" s="11"/>
      <c r="C15" s="136" t="str">
        <f>"CPI Index (base year "&amp;F7&amp;")"</f>
        <v>CPI Index (base year 2017–18)</v>
      </c>
      <c r="D15" s="77" t="s">
        <v>43</v>
      </c>
      <c r="E15" s="77" t="s">
        <v>0</v>
      </c>
      <c r="F15" s="134">
        <v>1</v>
      </c>
      <c r="G15" s="120">
        <f>IF(G7&lt;&gt;"",(F15*(1+G13)),"")</f>
        <v>1.0178412132024979</v>
      </c>
      <c r="H15" s="120">
        <f>IF(H7&lt;&gt;"",(G15*(1+H13)),"")</f>
        <v>1.0365744870651206</v>
      </c>
      <c r="I15" s="120">
        <f>IF(I7&lt;&gt;"",(H15*(1+I13)),"")</f>
        <v>1.0454950936663694</v>
      </c>
      <c r="J15" s="120">
        <f>IF(J7&lt;&gt;"",(I15*(1+J13)),"")</f>
        <v>1.0820695807314897</v>
      </c>
      <c r="K15" s="86">
        <f>IF(K7&lt;&gt;"",(J15*(1+K13)),"")</f>
        <v>1.1664710080285461</v>
      </c>
      <c r="L15" s="86">
        <f t="shared" ref="L15:P15" si="3">IF(L7&lt;&gt;"",(K15*(1+L14)),"")</f>
        <v>1.2014580601185865</v>
      </c>
      <c r="M15" s="86">
        <f t="shared" si="3"/>
        <v>1.2374945114697538</v>
      </c>
      <c r="N15" s="86">
        <f t="shared" si="3"/>
        <v>1.2746118376921229</v>
      </c>
      <c r="O15" s="86">
        <f t="shared" si="3"/>
        <v>1.3128424584730769</v>
      </c>
      <c r="P15" s="86">
        <f t="shared" si="3"/>
        <v>1.3522197658938973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44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37</v>
      </c>
      <c r="E19" s="74" t="s">
        <v>38</v>
      </c>
      <c r="F19" s="78"/>
      <c r="G19" s="167" t="str">
        <f>G7</f>
        <v>2018–19</v>
      </c>
      <c r="H19" s="167" t="str">
        <f t="shared" ref="H19:P19" si="4">H7</f>
        <v>2019–20</v>
      </c>
      <c r="I19" s="167" t="str">
        <f t="shared" si="4"/>
        <v>2020–21</v>
      </c>
      <c r="J19" s="167" t="str">
        <f t="shared" si="4"/>
        <v>2021–22</v>
      </c>
      <c r="K19" s="167" t="str">
        <f t="shared" si="4"/>
        <v>2022–23</v>
      </c>
      <c r="L19" s="203" t="str">
        <f t="shared" si="4"/>
        <v>2023-24</v>
      </c>
      <c r="M19" s="203" t="str">
        <f t="shared" si="4"/>
        <v>2024–25</v>
      </c>
      <c r="N19" s="203" t="str">
        <f t="shared" si="4"/>
        <v>2025–26</v>
      </c>
      <c r="O19" s="203" t="str">
        <f t="shared" si="4"/>
        <v>2026–27</v>
      </c>
      <c r="P19" s="203" t="str">
        <f t="shared" si="4"/>
        <v>2027–28</v>
      </c>
    </row>
    <row r="20" spans="1:16" ht="11.25" customHeight="1">
      <c r="C20" s="79" t="s">
        <v>45</v>
      </c>
      <c r="D20" s="77" t="s">
        <v>43</v>
      </c>
      <c r="E20" s="77" t="s">
        <v>41</v>
      </c>
      <c r="F20" s="78"/>
      <c r="G20" s="202">
        <v>3.1620312355512104E-2</v>
      </c>
      <c r="H20" s="202">
        <v>3.161326584751567E-2</v>
      </c>
      <c r="I20" s="202">
        <v>3.0605127471853288E-2</v>
      </c>
      <c r="J20" s="202">
        <v>2.9210915682959637E-2</v>
      </c>
      <c r="K20" s="202">
        <v>2.8914846934037453E-2</v>
      </c>
      <c r="L20" s="85"/>
      <c r="M20" s="85"/>
      <c r="N20" s="85"/>
      <c r="O20" s="85"/>
      <c r="P20" s="85"/>
    </row>
    <row r="21" spans="1:16" ht="11.25" customHeight="1">
      <c r="C21" s="149" t="s">
        <v>46</v>
      </c>
      <c r="D21" s="77" t="s">
        <v>43</v>
      </c>
      <c r="E21" s="77" t="s">
        <v>41</v>
      </c>
      <c r="F21" s="78"/>
      <c r="G21" s="78"/>
      <c r="H21" s="78"/>
      <c r="I21" s="78"/>
      <c r="J21" s="78"/>
      <c r="K21" s="78"/>
      <c r="L21" s="202">
        <v>2.4849441642063218E-2</v>
      </c>
      <c r="M21" s="202">
        <v>2.5950547802011802E-2</v>
      </c>
      <c r="N21" s="202">
        <v>2.7051653961960388E-2</v>
      </c>
      <c r="O21" s="202">
        <v>2.8152760121908836E-2</v>
      </c>
      <c r="P21" s="202">
        <v>2.9253866281857287E-2</v>
      </c>
    </row>
    <row r="22" spans="1:16" ht="11.25" customHeight="1">
      <c r="C22" s="79" t="s">
        <v>47</v>
      </c>
      <c r="D22" s="77" t="s">
        <v>48</v>
      </c>
      <c r="E22" s="77" t="s">
        <v>41</v>
      </c>
      <c r="F22" s="78"/>
      <c r="G22" s="139">
        <f>IF(AND(G13&lt;&gt;"",G20&lt;&gt;""),((1+G20)*(1+G13)-1),"")</f>
        <v>5.0025670292274338E-2</v>
      </c>
      <c r="H22" s="139">
        <f>IF(AND(H13&lt;&gt;"",H20&lt;&gt;""),((1+H20)*(1+H13)-1),"")</f>
        <v>5.0600013071703254E-2</v>
      </c>
      <c r="I22" s="139">
        <f>IF(AND(I13&lt;&gt;"",I20&lt;&gt;""),((1+I20)*(1+I13)-1),"")</f>
        <v>3.9474362648030947E-2</v>
      </c>
      <c r="J22" s="139">
        <f>IF(AND(J13&lt;&gt;"",J20&lt;&gt;""),((1+J20)*(1+J13)-1),"")</f>
        <v>6.5215734405656978E-2</v>
      </c>
      <c r="K22" s="139">
        <f>IF(AND(K13&lt;&gt;"",K20&lt;&gt;""),((1+K20)*(1+K13)-1),"")</f>
        <v>0.10917020499489238</v>
      </c>
      <c r="L22" s="139">
        <f>IF(AND(L14&lt;&gt;"",L21&lt;&gt;""),((1+L21)*(1+L14)-1),"")</f>
        <v>5.5588706100749397E-2</v>
      </c>
      <c r="M22" s="139">
        <f t="shared" ref="M22:P22" si="5">IF(AND(M14&lt;&gt;"",M21&lt;&gt;""),((1+M21)*(1+M14)-1),"")</f>
        <v>5.6722838763979766E-2</v>
      </c>
      <c r="N22" s="139">
        <f t="shared" si="5"/>
        <v>5.7856971427209913E-2</v>
      </c>
      <c r="O22" s="139">
        <f t="shared" si="5"/>
        <v>5.8991104090440505E-2</v>
      </c>
      <c r="P22" s="139">
        <f t="shared" si="5"/>
        <v>6.0125236753670652E-2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197"/>
      <c r="M23" s="198"/>
      <c r="N23" s="197"/>
      <c r="O23" s="199"/>
      <c r="P23" s="199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6"/>
  <sheetViews>
    <sheetView topLeftCell="D1" zoomScale="106" zoomScaleNormal="106" workbookViewId="0">
      <selection activeCell="H5" sqref="H5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Murraylink 2023-28 Draft decision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6" t="s">
        <v>17</v>
      </c>
      <c r="L1" s="207" t="s">
        <v>104</v>
      </c>
    </row>
    <row r="2" spans="2:14" ht="18" customHeight="1">
      <c r="B2" s="13" t="s">
        <v>49</v>
      </c>
      <c r="D2" s="13"/>
      <c r="E2" s="13"/>
      <c r="F2" s="201"/>
      <c r="G2" s="13"/>
      <c r="H2" s="200"/>
      <c r="I2" s="200"/>
      <c r="J2" s="200"/>
      <c r="K2" s="200"/>
      <c r="L2" s="200"/>
    </row>
    <row r="3" spans="2:14" ht="3.95" customHeight="1">
      <c r="C3" s="10"/>
      <c r="D3" s="10"/>
      <c r="E3" s="10"/>
      <c r="F3" s="201"/>
      <c r="G3" s="10"/>
    </row>
    <row r="4" spans="2:14" s="8" customFormat="1" ht="12.75" customHeight="1">
      <c r="B4" s="29" t="s">
        <v>50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4"/>
      <c r="K5" s="194"/>
      <c r="L5" s="194"/>
    </row>
    <row r="6" spans="2:14" s="67" customFormat="1" ht="10.5" customHeight="1">
      <c r="D6" s="74" t="s">
        <v>37</v>
      </c>
      <c r="E6" s="74" t="s">
        <v>38</v>
      </c>
      <c r="F6" s="74" t="s">
        <v>51</v>
      </c>
      <c r="G6" s="63"/>
      <c r="H6" s="169" t="str">
        <f>IF('Input | General'!D14="Yes",'Input | General'!D13,"n/a")</f>
        <v>2018–19</v>
      </c>
      <c r="I6" s="169" t="str">
        <f>IF('Input | General'!E14="Yes",'Input | General'!E13,"n/a")</f>
        <v>2019–20</v>
      </c>
      <c r="J6" s="169" t="str">
        <f>IF('Input | General'!F14="Yes",'Input | General'!F13,"n/a")</f>
        <v>2020–21</v>
      </c>
      <c r="K6" s="169" t="str">
        <f>IF('Input | General'!G14="Yes",'Input | General'!G13,"n/a")</f>
        <v>2021–22</v>
      </c>
      <c r="L6" s="169" t="str">
        <f>IF('Input | General'!H14="Yes",'Input | General'!H13,"n/a")</f>
        <v>2022–23</v>
      </c>
      <c r="M6" s="105"/>
      <c r="N6" s="105"/>
    </row>
    <row r="7" spans="2:14" s="67" customFormat="1" ht="10.5" customHeight="1">
      <c r="H7" s="193"/>
      <c r="I7" s="193"/>
      <c r="J7" s="193"/>
      <c r="K7" s="193"/>
      <c r="L7" s="193"/>
      <c r="M7" s="105"/>
      <c r="N7" s="105"/>
    </row>
    <row r="8" spans="2:14" ht="10.5" customHeight="1">
      <c r="C8" s="79" t="s">
        <v>52</v>
      </c>
      <c r="D8" s="77" t="s">
        <v>43</v>
      </c>
      <c r="E8" s="77" t="s">
        <v>53</v>
      </c>
      <c r="F8" s="172" t="str">
        <f>'Input | Inflation and Disc Rate'!$F$7</f>
        <v>2017–18</v>
      </c>
      <c r="G8" s="67"/>
      <c r="H8" s="205">
        <v>4.3500850952365466</v>
      </c>
      <c r="I8" s="205">
        <v>11.988283039494378</v>
      </c>
      <c r="J8" s="205">
        <v>9.666293412269841</v>
      </c>
      <c r="K8" s="205">
        <v>2.1527710712130208</v>
      </c>
      <c r="L8" s="205">
        <v>0.80239013656838143</v>
      </c>
      <c r="M8" s="2"/>
      <c r="N8" s="2"/>
    </row>
    <row r="9" spans="2:14" ht="10.5" customHeight="1">
      <c r="C9" s="79" t="s">
        <v>54</v>
      </c>
      <c r="D9" s="77" t="s">
        <v>43</v>
      </c>
      <c r="E9" s="77" t="s">
        <v>53</v>
      </c>
      <c r="F9" s="172" t="str">
        <f>'Input | Inflation and Disc Rate'!$F$7</f>
        <v>2017–18</v>
      </c>
      <c r="G9" s="67"/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55</v>
      </c>
      <c r="D11" s="75" t="s">
        <v>48</v>
      </c>
      <c r="E11" s="170" t="s">
        <v>53</v>
      </c>
      <c r="F11" s="171" t="str">
        <f>'Input | Inflation and Disc Rate'!$F$7</f>
        <v>2017–18</v>
      </c>
      <c r="G11" s="67"/>
      <c r="H11" s="65">
        <f>IF(H6="", "", H8-H9)</f>
        <v>4.3500850952365466</v>
      </c>
      <c r="I11" s="65">
        <f t="shared" ref="I11:L11" si="0">IF(I6="", "", I8-I9)</f>
        <v>11.988283039494378</v>
      </c>
      <c r="J11" s="65">
        <f t="shared" si="0"/>
        <v>9.666293412269841</v>
      </c>
      <c r="K11" s="65">
        <f t="shared" si="0"/>
        <v>2.1527710712130208</v>
      </c>
      <c r="L11" s="65">
        <f t="shared" si="0"/>
        <v>0.80239013656838143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56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37</v>
      </c>
      <c r="E15" s="74" t="s">
        <v>38</v>
      </c>
      <c r="F15" s="74" t="s">
        <v>51</v>
      </c>
      <c r="G15" s="63"/>
      <c r="H15" s="169" t="str">
        <f>H6</f>
        <v>2018–19</v>
      </c>
      <c r="I15" s="169" t="str">
        <f>I6</f>
        <v>2019–20</v>
      </c>
      <c r="J15" s="169" t="str">
        <f>J6</f>
        <v>2020–21</v>
      </c>
      <c r="K15" s="169" t="str">
        <f>K6</f>
        <v>2021–22</v>
      </c>
      <c r="L15" s="169" t="str">
        <f>L6</f>
        <v>2022–23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57</v>
      </c>
      <c r="D17" s="77" t="s">
        <v>43</v>
      </c>
      <c r="E17" s="77" t="s">
        <v>53</v>
      </c>
      <c r="F17" s="77" t="s">
        <v>58</v>
      </c>
      <c r="G17" s="67"/>
      <c r="H17" s="205">
        <v>10.260576086000002</v>
      </c>
      <c r="I17" s="205">
        <v>6.7602548599999999</v>
      </c>
      <c r="J17" s="205">
        <v>5.6959108399999989</v>
      </c>
      <c r="K17" s="205">
        <v>2.4716739599999999</v>
      </c>
      <c r="L17" s="205">
        <v>3.6004103598145503</v>
      </c>
    </row>
    <row r="18" spans="1:14" s="2" customFormat="1" ht="10.5" customHeight="1">
      <c r="B18" s="72"/>
      <c r="C18" s="79" t="s">
        <v>54</v>
      </c>
      <c r="D18" s="77" t="s">
        <v>43</v>
      </c>
      <c r="E18" s="77" t="s">
        <v>53</v>
      </c>
      <c r="F18" s="77" t="s">
        <v>58</v>
      </c>
      <c r="G18" s="137"/>
      <c r="H18" s="205">
        <v>0</v>
      </c>
      <c r="I18" s="205">
        <v>0</v>
      </c>
      <c r="J18" s="205">
        <v>0</v>
      </c>
      <c r="K18" s="205">
        <v>0</v>
      </c>
      <c r="L18" s="205">
        <v>0</v>
      </c>
    </row>
    <row r="19" spans="1:14" s="2" customFormat="1" ht="10.5" customHeight="1">
      <c r="B19" s="72"/>
      <c r="C19" s="150" t="s">
        <v>59</v>
      </c>
      <c r="D19" s="77" t="s">
        <v>43</v>
      </c>
      <c r="E19" s="77" t="s">
        <v>53</v>
      </c>
      <c r="F19" s="77" t="s">
        <v>58</v>
      </c>
      <c r="G19" s="137"/>
      <c r="H19" s="155">
        <v>0</v>
      </c>
      <c r="I19" s="155">
        <v>0</v>
      </c>
      <c r="J19" s="155">
        <v>0</v>
      </c>
      <c r="K19" s="155">
        <v>0</v>
      </c>
      <c r="L19" s="155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60</v>
      </c>
      <c r="D21" s="75" t="s">
        <v>48</v>
      </c>
      <c r="E21" s="173" t="s">
        <v>53</v>
      </c>
      <c r="F21" s="173" t="s">
        <v>58</v>
      </c>
      <c r="G21" s="67"/>
      <c r="H21" s="65">
        <f>IF(H15="", "", H17-H18-H19)</f>
        <v>10.260576086000002</v>
      </c>
      <c r="I21" s="65">
        <f t="shared" ref="I21:L21" si="1">IF(I15="", "", I17-I18-I19)</f>
        <v>6.7602548599999999</v>
      </c>
      <c r="J21" s="65">
        <f t="shared" si="1"/>
        <v>5.6959108399999989</v>
      </c>
      <c r="K21" s="65">
        <f t="shared" si="1"/>
        <v>2.4716739599999999</v>
      </c>
      <c r="L21" s="65">
        <f t="shared" si="1"/>
        <v>3.6004103598145503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61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69" t="str">
        <f>'Input | General'!D18</f>
        <v>2023-24</v>
      </c>
      <c r="I25" s="169" t="str">
        <f>'Input | General'!E18</f>
        <v>2024–25</v>
      </c>
      <c r="J25" s="169" t="str">
        <f>'Input | General'!F18</f>
        <v>2025–26</v>
      </c>
      <c r="K25" s="169" t="str">
        <f>'Input | General'!G18</f>
        <v>2026–27</v>
      </c>
      <c r="L25" s="169" t="str">
        <f>'Input | General'!H18</f>
        <v>2027–28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62</v>
      </c>
      <c r="D27" s="64" t="s">
        <v>40</v>
      </c>
      <c r="E27" s="77" t="s">
        <v>53</v>
      </c>
      <c r="F27" s="77" t="s">
        <v>58</v>
      </c>
      <c r="G27" s="67"/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2"/>
      <c r="N27" s="2"/>
    </row>
    <row r="28" spans="1:14" ht="11.25" customHeight="1">
      <c r="C28" s="83" t="s">
        <v>62</v>
      </c>
      <c r="D28" s="64" t="s">
        <v>48</v>
      </c>
      <c r="E28" s="77" t="s">
        <v>53</v>
      </c>
      <c r="F28" s="77" t="str">
        <f>'Input | Inflation and Disc Rate'!$F$7</f>
        <v>2017–18</v>
      </c>
      <c r="G28" s="67"/>
      <c r="H28" s="144">
        <f>IF(H27&lt;&gt;"",H27/('Input | Inflation and Disc Rate'!K10*(1+'Input | Inflation and Disc Rate'!L9)^0.5),"")</f>
        <v>0</v>
      </c>
      <c r="I28" s="144">
        <f>IF(I27&lt;&gt;"",I27/('Input | Inflation and Disc Rate'!L10*(1+'Input | Inflation and Disc Rate'!M9)^0.5),"")</f>
        <v>0</v>
      </c>
      <c r="J28" s="144">
        <f>IF(J27&lt;&gt;"",J27/('Input | Inflation and Disc Rate'!M10*(1+'Input | Inflation and Disc Rate'!N9)^0.5),"")</f>
        <v>0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62</v>
      </c>
      <c r="D29" s="64" t="s">
        <v>43</v>
      </c>
      <c r="E29" s="77" t="s">
        <v>53</v>
      </c>
      <c r="F29" s="77" t="s">
        <v>58</v>
      </c>
      <c r="G29" s="67"/>
      <c r="H29" s="144">
        <f>IF(H27&lt;&gt;"",H28*'Input | Inflation and Disc Rate'!K15*(1+'Input | Inflation and Disc Rate'!L14)^0.5,"")</f>
        <v>0</v>
      </c>
      <c r="I29" s="144">
        <f>IF(I27&lt;&gt;"",I28*'Input | Inflation and Disc Rate'!L15*(1+'Input | Inflation and Disc Rate'!M14)^0.5,"")</f>
        <v>0</v>
      </c>
      <c r="J29" s="144">
        <f>IF(J27&lt;&gt;"",J28*'Input | Inflation and Disc Rate'!M15*(1+'Input | Inflation and Disc Rate'!N14)^0.5,"")</f>
        <v>0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19:L19">
    <cfRule type="expression" dxfId="3" priority="11">
      <formula>IF($H$6&lt;&gt;"","FALSE","TRUE")</formula>
    </cfRule>
  </conditionalFormatting>
  <conditionalFormatting sqref="H27:L27">
    <cfRule type="expression" dxfId="2" priority="5">
      <formula>IF($H$6&lt;&gt;"","FALSE","TRUE")</formula>
    </cfRule>
  </conditionalFormatting>
  <conditionalFormatting sqref="H8:L9">
    <cfRule type="expression" dxfId="1" priority="2">
      <formula>IF($H$6&lt;&gt;"","FALSE","TRUE")</formula>
    </cfRule>
  </conditionalFormatting>
  <conditionalFormatting sqref="H17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19" sqref="D19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Murraylink 2023-28 Draft decision - Capital expenditure sharing scheme model</v>
      </c>
      <c r="J1" s="119"/>
      <c r="K1" s="103" t="s">
        <v>15</v>
      </c>
      <c r="L1" s="153" t="s">
        <v>16</v>
      </c>
      <c r="M1" s="156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63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65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66</v>
      </c>
      <c r="D7" s="169" t="str">
        <f>IF('Input | General'!D14="Yes",'Input | General'!D13,"n/a")</f>
        <v>2018–19</v>
      </c>
      <c r="E7" s="169" t="str">
        <f>IF('Input | General'!E14="Yes",'Input | General'!E13,"n/a")</f>
        <v>2019–20</v>
      </c>
      <c r="F7" s="169" t="str">
        <f>IF('Input | General'!F14="Yes",'Input | General'!F13,"n/a")</f>
        <v>2020–21</v>
      </c>
      <c r="G7" s="169" t="str">
        <f>IF('Input | General'!G14="Yes",'Input | General'!G13,"n/a")</f>
        <v>2021–22</v>
      </c>
      <c r="H7" s="174" t="str">
        <f>IF('Input | General'!H14="Yes",'Input | General'!H13,"n/a")</f>
        <v>2022–23</v>
      </c>
      <c r="I7" s="94"/>
    </row>
    <row r="8" spans="2:23" ht="11.25" customHeight="1">
      <c r="C8" s="140" t="s">
        <v>67</v>
      </c>
      <c r="D8" s="157">
        <f>'Input | Inflation and Disc Rate'!G20</f>
        <v>3.1620312355512104E-2</v>
      </c>
      <c r="E8" s="158">
        <f>'Input | Inflation and Disc Rate'!H20</f>
        <v>3.161326584751567E-2</v>
      </c>
      <c r="F8" s="158">
        <f>'Input | Inflation and Disc Rate'!I20</f>
        <v>3.0605127471853288E-2</v>
      </c>
      <c r="G8" s="158">
        <f>'Input | Inflation and Disc Rate'!J20</f>
        <v>2.9210915682959637E-2</v>
      </c>
      <c r="H8" s="159">
        <f>'Input | Inflation and Disc Rate'!K20</f>
        <v>2.8914846934037453E-2</v>
      </c>
      <c r="I8" s="94"/>
      <c r="J8" s="78"/>
      <c r="K8" s="78"/>
    </row>
    <row r="9" spans="2:23" ht="11.25" customHeight="1">
      <c r="C9" s="140" t="s">
        <v>68</v>
      </c>
      <c r="D9" s="157">
        <f>'Input | Inflation and Disc Rate'!G22</f>
        <v>5.0025670292274338E-2</v>
      </c>
      <c r="E9" s="158">
        <f>'Input | Inflation and Disc Rate'!H22</f>
        <v>5.0600013071703254E-2</v>
      </c>
      <c r="F9" s="158">
        <f>'Input | Inflation and Disc Rate'!I22</f>
        <v>3.9474362648030947E-2</v>
      </c>
      <c r="G9" s="158">
        <f>'Input | Inflation and Disc Rate'!J22</f>
        <v>6.5215734405656978E-2</v>
      </c>
      <c r="H9" s="159">
        <f>'Input | Inflation and Disc Rate'!K22</f>
        <v>0.10917020499489238</v>
      </c>
      <c r="I9" s="94"/>
      <c r="J9" s="78"/>
      <c r="K9" s="78"/>
    </row>
    <row r="10" spans="2:23" ht="11.25" customHeight="1">
      <c r="C10" s="110" t="s">
        <v>69</v>
      </c>
      <c r="D10" s="162">
        <f>'Input | Reported Capex'!H$11*'Input | Inflation and Disc Rate'!G$15*(1+'Input | Inflation and Disc Rate'!G$20)^0.5</f>
        <v>4.4971536584729863</v>
      </c>
      <c r="E10" s="160">
        <f>'Input | Reported Capex'!I$11*'Input | Inflation and Disc Rate'!H$15*(1+'Input | Inflation and Disc Rate'!H$20)^0.5</f>
        <v>12.621645046622444</v>
      </c>
      <c r="F10" s="160">
        <f>'Input | Reported Capex'!J$11*'Input | Inflation and Disc Rate'!I$15*(1+'Input | Inflation and Disc Rate'!I$20)^0.5</f>
        <v>10.259545506799746</v>
      </c>
      <c r="G10" s="160">
        <f>'Input | Reported Capex'!K$11*'Input | Inflation and Disc Rate'!J$15*(1+'Input | Inflation and Disc Rate'!J$20)^0.5</f>
        <v>2.3632258520048346</v>
      </c>
      <c r="H10" s="161">
        <f>'Input | Reported Capex'!L$11*'Input | Inflation and Disc Rate'!K$15*(1+'Input | Inflation and Disc Rate'!K$20)^0.5</f>
        <v>0.94940004415084944</v>
      </c>
      <c r="I10" s="94"/>
      <c r="J10" s="78"/>
      <c r="K10" s="78"/>
      <c r="N10" s="135"/>
    </row>
    <row r="11" spans="2:23" ht="11.25" customHeight="1">
      <c r="C11" s="110" t="s">
        <v>70</v>
      </c>
      <c r="D11" s="162">
        <f>'Input | Reported Capex'!H21*(1+D$9)^0.5</f>
        <v>10.514090319706609</v>
      </c>
      <c r="E11" s="160">
        <f>'Input | Reported Capex'!I21*(1+E$9)^0.5</f>
        <v>6.9291788319839966</v>
      </c>
      <c r="F11" s="160">
        <f>'Input | Reported Capex'!J21*(1+F$9)^0.5</f>
        <v>5.8072439974653696</v>
      </c>
      <c r="G11" s="160">
        <f>'Input | Reported Capex'!K21*(1+G$9)^0.5</f>
        <v>2.5509971214925531</v>
      </c>
      <c r="H11" s="161">
        <f>'Input | Reported Capex'!L21*(1+H$9)^0.5</f>
        <v>3.7918495734200781</v>
      </c>
      <c r="I11" s="94"/>
      <c r="J11" s="78"/>
      <c r="K11" s="78"/>
    </row>
    <row r="12" spans="2:23" s="19" customFormat="1" ht="11.25" customHeight="1">
      <c r="C12" s="110" t="s">
        <v>71</v>
      </c>
      <c r="D12" s="152">
        <f>(D10-D11)</f>
        <v>-6.0169366612336228</v>
      </c>
      <c r="E12" s="141">
        <f>(E10-E11)</f>
        <v>5.692466214638447</v>
      </c>
      <c r="F12" s="141">
        <f t="shared" ref="F12:H12" si="0">(F10-F11)</f>
        <v>4.4523015093343767</v>
      </c>
      <c r="G12" s="141">
        <f t="shared" si="0"/>
        <v>-0.1877712694877185</v>
      </c>
      <c r="H12" s="145">
        <f t="shared" si="0"/>
        <v>-2.8424495292692287</v>
      </c>
      <c r="I12" s="94"/>
      <c r="J12" s="78"/>
      <c r="K12" s="78"/>
    </row>
    <row r="13" spans="2:23" ht="11.25" customHeight="1">
      <c r="C13" s="110" t="s">
        <v>72</v>
      </c>
      <c r="D13" s="152"/>
      <c r="E13" s="141">
        <f>$D$12*$E$8</f>
        <v>-0.19021501825924186</v>
      </c>
      <c r="F13" s="141">
        <f>$D$12*$F$8*(1+'Input | Inflation and Disc Rate'!H13)</f>
        <v>-0.18753836099498353</v>
      </c>
      <c r="G13" s="141">
        <f>$D$12*$G$8*(1+'Input | Inflation and Disc Rate'!H13)*(1+'Input | Inflation and Disc Rate'!I13)</f>
        <v>-0.18053548549670181</v>
      </c>
      <c r="H13" s="145">
        <f>$D$12*$H$8*(1+'Input | Inflation and Disc Rate'!H13)*(1+'Input | Inflation and Disc Rate'!I13)*(1+'Input | Inflation and Disc Rate'!J13)</f>
        <v>-0.18495730720339179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73</v>
      </c>
      <c r="D14" s="152"/>
      <c r="E14" s="142"/>
      <c r="F14" s="141">
        <f>$E$12*F$8</f>
        <v>0.17421865412822785</v>
      </c>
      <c r="G14" s="141">
        <f>$E$12*G$8*(1+'Input | Inflation and Disc Rate'!I13)</f>
        <v>0.16771315019897667</v>
      </c>
      <c r="H14" s="145">
        <f>$E$12*H$8*(1+'Input | Inflation and Disc Rate'!I13)*(1+'Input | Inflation and Disc Rate'!J13)</f>
        <v>0.17182091685774109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74</v>
      </c>
      <c r="D15" s="152"/>
      <c r="E15" s="141"/>
      <c r="F15" s="141"/>
      <c r="G15" s="141">
        <f>$F$12*G$8</f>
        <v>0.1300558039842804</v>
      </c>
      <c r="H15" s="145">
        <f>$F$12*$H$8*(1+'Input | Inflation and Disc Rate'!J13)</f>
        <v>0.13324123634156188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75</v>
      </c>
      <c r="D16" s="152"/>
      <c r="E16" s="141"/>
      <c r="F16" s="141"/>
      <c r="G16" s="141"/>
      <c r="H16" s="145">
        <f>$G$12*$H$8</f>
        <v>-5.4293775158472772E-3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76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77</v>
      </c>
      <c r="D18" s="123">
        <f>SUM(D13:D17)</f>
        <v>0</v>
      </c>
      <c r="E18" s="146">
        <f>SUM(E13:E17)</f>
        <v>-0.19021501825924186</v>
      </c>
      <c r="F18" s="146">
        <f>SUM(F13:F17)</f>
        <v>-1.3319706866755682E-2</v>
      </c>
      <c r="G18" s="146">
        <f t="shared" ref="G18:H18" si="1">SUM(G13:G17)</f>
        <v>0.11723346868655526</v>
      </c>
      <c r="H18" s="147">
        <f t="shared" si="1"/>
        <v>0.11467546848006389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78</v>
      </c>
      <c r="D19" s="123">
        <f t="shared" ref="D19:E19" si="2">E19*(1+E$9)</f>
        <v>1.2902888727783282</v>
      </c>
      <c r="E19" s="146">
        <f t="shared" si="2"/>
        <v>1.2281447332232864</v>
      </c>
      <c r="F19" s="146">
        <f>G19*(1+G$9)</f>
        <v>1.1815055544945074</v>
      </c>
      <c r="G19" s="146">
        <f>H19*(1+H$9)</f>
        <v>1.1091702049948924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79</v>
      </c>
      <c r="D20" s="152">
        <f>D12*D19</f>
        <v>-7.7635864222017288</v>
      </c>
      <c r="E20" s="141">
        <f>E12*E19</f>
        <v>6.9911724005597069</v>
      </c>
      <c r="F20" s="141">
        <f t="shared" ref="F20:H20" si="3">F12*F19</f>
        <v>5.2604189635628451</v>
      </c>
      <c r="G20" s="141">
        <f t="shared" si="3"/>
        <v>-0.20827029746984391</v>
      </c>
      <c r="H20" s="145">
        <f t="shared" si="3"/>
        <v>-2.8424495292692287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80</v>
      </c>
      <c r="D21" s="123">
        <f>D18*D19</f>
        <v>0</v>
      </c>
      <c r="E21" s="146">
        <f>E18*E19</f>
        <v>-0.23361157285505915</v>
      </c>
      <c r="F21" s="146">
        <f t="shared" ref="F21:H21" si="4">F18*F19</f>
        <v>-1.5737307647310472E-2</v>
      </c>
      <c r="G21" s="146">
        <f t="shared" si="4"/>
        <v>0.1300318704953288</v>
      </c>
      <c r="H21" s="147">
        <f t="shared" si="4"/>
        <v>0.11467546848006389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81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66</v>
      </c>
      <c r="D24" s="175" t="str">
        <f>'Input | General'!$D$18</f>
        <v>2023-24</v>
      </c>
      <c r="E24" s="175" t="str">
        <f>'Input | General'!$E$18</f>
        <v>2024–25</v>
      </c>
      <c r="F24" s="175" t="str">
        <f>'Input | General'!$F$18</f>
        <v>2025–26</v>
      </c>
      <c r="G24" s="175" t="str">
        <f>'Input | General'!$G$18</f>
        <v>2026–27</v>
      </c>
      <c r="H24" s="176" t="str">
        <f>'Input | General'!$H$18</f>
        <v>2027–28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82</v>
      </c>
      <c r="D25" s="163">
        <f>'Input | Inflation and Disc Rate'!L$22</f>
        <v>5.5588706100749397E-2</v>
      </c>
      <c r="E25" s="163">
        <f>'Input | Inflation and Disc Rate'!M$22</f>
        <v>5.6722838763979766E-2</v>
      </c>
      <c r="F25" s="163">
        <f>'Input | Inflation and Disc Rate'!N$22</f>
        <v>5.7856971427209913E-2</v>
      </c>
      <c r="G25" s="163">
        <f>'Input | Inflation and Disc Rate'!O$22</f>
        <v>5.8991104090440505E-2</v>
      </c>
      <c r="H25" s="164">
        <f>'Input | Inflation and Disc Rate'!P$22</f>
        <v>6.0125236753670652E-2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83</v>
      </c>
      <c r="D26" s="160">
        <f>'Input | Reported Capex'!H29</f>
        <v>0</v>
      </c>
      <c r="E26" s="160">
        <f>'Input | Reported Capex'!I29</f>
        <v>0</v>
      </c>
      <c r="F26" s="160">
        <f>'Input | Reported Capex'!J29</f>
        <v>0</v>
      </c>
      <c r="G26" s="160">
        <f>'Input | Reported Capex'!K29</f>
        <v>0</v>
      </c>
      <c r="H26" s="161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84</v>
      </c>
      <c r="D27" s="121">
        <f>1/(1+D25)^(0.5)</f>
        <v>0.97331324307394873</v>
      </c>
      <c r="E27" s="121">
        <f>1/((1+E25)^(0.5)*(1+D25))</f>
        <v>0.9215623384085555</v>
      </c>
      <c r="F27" s="121">
        <f>1/((1+F25)^(0.5)*(1+E25)*(1+D25))</f>
        <v>0.87162704052640705</v>
      </c>
      <c r="G27" s="121">
        <f>1/((1+G25)^(0.5)*(1+F25)*(1+E25)*(1+D25))</f>
        <v>0.82351414417012858</v>
      </c>
      <c r="H27" s="122">
        <f>1/((1+H25)^(0.5)*(1+G25)*(1+F25)*(1+E25)*(1+D25))</f>
        <v>0.77722421014562615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85</v>
      </c>
      <c r="D28" s="88">
        <f>D26*D27</f>
        <v>0</v>
      </c>
      <c r="E28" s="88">
        <f t="shared" ref="E28:G28" si="5">E26*E27</f>
        <v>0</v>
      </c>
      <c r="F28" s="88">
        <f t="shared" si="5"/>
        <v>0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86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87</v>
      </c>
      <c r="D31" s="99">
        <f>SUM(D20:H20)-SUM(D28:H28)</f>
        <v>1.4372851151817505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88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89</v>
      </c>
      <c r="D33" s="99">
        <f>(1-D32)*D31</f>
        <v>1.0060995806272253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90</v>
      </c>
      <c r="D34" s="99">
        <f>D32*D31</f>
        <v>0.43118553455452513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91</v>
      </c>
      <c r="D35" s="99">
        <f>SUM(D21:H21)</f>
        <v>-4.6415415269769195E-3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92</v>
      </c>
      <c r="D36" s="100">
        <f>D34-D35</f>
        <v>0.43582707608150206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93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7" t="str">
        <f>'Input | General'!D18</f>
        <v>2023-24</v>
      </c>
      <c r="E40" s="177" t="str">
        <f>'Input | General'!E18</f>
        <v>2024–25</v>
      </c>
      <c r="F40" s="177" t="str">
        <f>'Input | General'!F18</f>
        <v>2025–26</v>
      </c>
      <c r="G40" s="177" t="str">
        <f>'Input | General'!G18</f>
        <v>2026–27</v>
      </c>
      <c r="H40" s="177" t="str">
        <f>'Input | General'!H18</f>
        <v>2027–28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94</v>
      </c>
      <c r="D41" s="165">
        <f>1/(1+'Input | Inflation and Disc Rate'!L21)</f>
        <v>0.97575308076252809</v>
      </c>
      <c r="E41" s="165">
        <f>D41/(1+'Input | Inflation and Disc Rate'!M21)</f>
        <v>0.95107223525829154</v>
      </c>
      <c r="F41" s="165">
        <f>E41/(1+'Input | Inflation and Disc Rate'!N21)</f>
        <v>0.92602181359567448</v>
      </c>
      <c r="G41" s="165">
        <f>F41/(1+'Input | Inflation and Disc Rate'!O21)</f>
        <v>0.90066559125501477</v>
      </c>
      <c r="H41" s="166">
        <f>G41/(1+'Input | Inflation and Disc Rate'!P21)</f>
        <v>0.87506651251030698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3" t="str">
        <f>CONCATENATE("CESS Payment Per Year ($", 'Output | Models'!$F$8," million)")</f>
        <v>CESS Payment Per Year ($2022–23 million)</v>
      </c>
      <c r="D42" s="107">
        <f>D36/(SUM(D41:H41))</f>
        <v>9.4160011983433253E-2</v>
      </c>
      <c r="E42" s="107">
        <f>D42</f>
        <v>9.4160011983433253E-2</v>
      </c>
      <c r="F42" s="107">
        <f t="shared" ref="F42:H42" si="6">E42</f>
        <v>9.4160011983433253E-2</v>
      </c>
      <c r="G42" s="107">
        <f t="shared" si="6"/>
        <v>9.4160011983433253E-2</v>
      </c>
      <c r="H42" s="143">
        <f t="shared" si="6"/>
        <v>9.4160011983433253E-2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3" t="str">
        <f>CONCATENATE("Total CESS Payment ($", 'Output | Models'!$F$8," million)")</f>
        <v>Total CESS Payment ($2022–23 million)</v>
      </c>
      <c r="D44" s="151">
        <f>SUM(D42:H42)</f>
        <v>0.47080005991716628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1"/>
      <c r="G45" s="69"/>
      <c r="H45" s="188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2"/>
      <c r="G46" s="189"/>
      <c r="H46" s="190"/>
      <c r="I46" s="186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D11" sqref="D11"/>
    </sheetView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6" width="3" style="50" customWidth="1"/>
    <col min="17" max="17" width="8.85546875" style="50" customWidth="1"/>
    <col min="18" max="24" width="9.28515625" style="50" hidden="1" customWidth="1"/>
    <col min="25" max="48" width="0" style="50" hidden="1" customWidth="1"/>
    <col min="49" max="16383" width="0" style="50" hidden="1"/>
    <col min="16384" max="16384" width="1.5703125" style="50" customWidth="1"/>
  </cols>
  <sheetData>
    <row r="1" spans="1:27" s="34" customFormat="1" ht="15.75">
      <c r="B1" s="3" t="str">
        <f>'Input | General'!$B$1</f>
        <v>Murraylink 2023-28 Draft decision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6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185"/>
      <c r="E3" s="185"/>
      <c r="F3" s="185"/>
      <c r="G3" s="185"/>
      <c r="H3" s="185"/>
      <c r="I3" s="185"/>
      <c r="J3" s="208"/>
      <c r="K3" s="208"/>
      <c r="L3" s="208"/>
      <c r="M3" s="185"/>
      <c r="N3" s="208"/>
      <c r="O3" s="208"/>
      <c r="P3" s="208"/>
      <c r="Q3" s="208"/>
      <c r="R3" s="208"/>
      <c r="S3" s="208"/>
      <c r="T3" s="208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95</v>
      </c>
      <c r="C4" s="43"/>
      <c r="D4" s="43"/>
      <c r="E4" s="43"/>
      <c r="F4" s="43"/>
      <c r="G4" s="45"/>
      <c r="H4" s="45"/>
      <c r="I4" s="45"/>
      <c r="J4" s="46" t="s">
        <v>96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97</v>
      </c>
      <c r="D6" s="54" t="s">
        <v>37</v>
      </c>
      <c r="E6" s="54" t="s">
        <v>38</v>
      </c>
      <c r="F6" s="54" t="s">
        <v>51</v>
      </c>
      <c r="H6" s="54"/>
      <c r="I6" s="54"/>
      <c r="J6" s="178" t="str">
        <f>'Calc | CESS Revenue Increments'!D40</f>
        <v>2023-24</v>
      </c>
      <c r="K6" s="178" t="str">
        <f>'Calc | CESS Revenue Increments'!E40</f>
        <v>2024–25</v>
      </c>
      <c r="L6" s="178" t="str">
        <f>'Calc | CESS Revenue Increments'!F40</f>
        <v>2025–26</v>
      </c>
      <c r="M6" s="178" t="str">
        <f>'Calc | CESS Revenue Increments'!G40</f>
        <v>2026–27</v>
      </c>
      <c r="N6" s="178" t="str">
        <f>'Calc | CESS Revenue Increments'!H40</f>
        <v>2027–28</v>
      </c>
      <c r="O6" s="55" t="s">
        <v>98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99</v>
      </c>
      <c r="D8" s="180" t="s">
        <v>10</v>
      </c>
      <c r="E8" s="51" t="s">
        <v>53</v>
      </c>
      <c r="F8" s="179" t="str">
        <f>IF(LEN(J6)&gt;4,CONCATENATE(LEFT(J6,4)-1&amp;"–"&amp;IF(RIGHT(J6,2)="00","99",IF(RIGHT(J6,2)-1&lt;10,"0","")&amp;RIGHT(J6,2)-1)),J6-1)</f>
        <v>2022–23</v>
      </c>
      <c r="H8" s="54"/>
      <c r="I8" s="54"/>
      <c r="J8" s="130">
        <f>'Calc | CESS Revenue Increments'!D42</f>
        <v>9.4160011983433253E-2</v>
      </c>
      <c r="K8" s="130">
        <f>'Calc | CESS Revenue Increments'!E42</f>
        <v>9.4160011983433253E-2</v>
      </c>
      <c r="L8" s="130">
        <f>'Calc | CESS Revenue Increments'!F42</f>
        <v>9.4160011983433253E-2</v>
      </c>
      <c r="M8" s="130">
        <f>'Calc | CESS Revenue Increments'!G42</f>
        <v>9.4160011983433253E-2</v>
      </c>
      <c r="N8" s="130">
        <f>'Calc | CESS Revenue Increments'!H42</f>
        <v>9.4160011983433253E-2</v>
      </c>
      <c r="O8" s="59">
        <f>SUM(J8:N8)</f>
        <v>0.47080005991716628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5"/>
      <c r="K10" s="195"/>
      <c r="L10" s="195"/>
      <c r="M10" s="195"/>
      <c r="N10" s="195"/>
      <c r="O10" s="195"/>
      <c r="Q10" s="196"/>
      <c r="R10" s="78"/>
      <c r="S10" s="78"/>
      <c r="T10" s="78"/>
      <c r="U10" s="78"/>
      <c r="V10" s="78"/>
      <c r="W10" s="78"/>
      <c r="X10" s="78"/>
    </row>
    <row r="11" spans="1:27" s="49" customFormat="1" ht="12.75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0"/>
      <c r="N17" s="60"/>
      <c r="O17" s="60"/>
      <c r="P17" s="60"/>
      <c r="Q17" s="60"/>
      <c r="R17" s="60"/>
      <c r="S17" s="60"/>
      <c r="T17" s="60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2022-09-21T03:11:29Z</dcterms:created>
  <dcterms:modified xsi:type="dcterms:W3CDTF">2022-09-25T22:41:24Z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