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CA5E8AE0-EF4E-427A-BBCE-89A264D49970}" xr6:coauthVersionLast="47" xr6:coauthVersionMax="47" xr10:uidLastSave="{00000000-0000-0000-0000-000000000000}"/>
  <bookViews>
    <workbookView xWindow="-120" yWindow="-120" windowWidth="29040" windowHeight="15840" tabRatio="835" activeTab="11" xr2:uid="{00000000-000D-0000-FFFF-FFFF00000000}"/>
  </bookViews>
  <sheets>
    <sheet name="Readme" sheetId="28" r:id="rId1"/>
    <sheet name="TNSP Charts-updated" sheetId="15" r:id="rId2"/>
    <sheet name="TNSP Analysis" sheetId="23" r:id="rId3"/>
    <sheet name="Asset cost and Total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GoBack" localSheetId="0">Readme!$A$12</definedName>
    <definedName name="_Ref390772024" localSheetId="9">'Physical data'!$B$27</definedName>
    <definedName name="Capex_base" localSheetId="3">'Asset cost and Total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CPI!$E$10</definedName>
    <definedName name="Real_year" localSheetId="0">[1]CPI!$E$6</definedName>
    <definedName name="Real_year">CPI!$E$8</definedName>
    <definedName name="RemovingHVAssets">[1]Zonesubstationtransformation!#REF!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4" l="1"/>
  <c r="R15" i="4"/>
  <c r="K27" i="5"/>
  <c r="K28" i="5"/>
  <c r="K29" i="5"/>
  <c r="K30" i="5"/>
  <c r="K26" i="5"/>
  <c r="L27" i="5"/>
  <c r="L28" i="5"/>
  <c r="L29" i="5"/>
  <c r="L30" i="5"/>
  <c r="L26" i="5"/>
  <c r="J27" i="5"/>
  <c r="J28" i="5"/>
  <c r="J29" i="5"/>
  <c r="J30" i="5"/>
  <c r="J26" i="5"/>
  <c r="K25" i="5"/>
  <c r="J25" i="5"/>
  <c r="I25" i="5"/>
  <c r="D27" i="5"/>
  <c r="D28" i="5"/>
  <c r="D29" i="5"/>
  <c r="D30" i="5"/>
  <c r="I27" i="5"/>
  <c r="I28" i="5"/>
  <c r="I29" i="5"/>
  <c r="I30" i="5"/>
  <c r="D26" i="5"/>
  <c r="I26" i="5"/>
  <c r="G27" i="5"/>
  <c r="G28" i="5"/>
  <c r="G29" i="5"/>
  <c r="G30" i="5"/>
  <c r="G26" i="5"/>
  <c r="E27" i="5"/>
  <c r="E28" i="5"/>
  <c r="E29" i="5"/>
  <c r="E30" i="5"/>
  <c r="E26" i="5"/>
  <c r="F27" i="5"/>
  <c r="F28" i="5"/>
  <c r="F29" i="5"/>
  <c r="F30" i="5"/>
  <c r="F26" i="5"/>
  <c r="U15" i="5" l="1"/>
  <c r="U14" i="5"/>
  <c r="U13" i="5"/>
  <c r="U12" i="5"/>
  <c r="U11" i="5"/>
  <c r="U7" i="5"/>
  <c r="U6" i="5"/>
  <c r="U5" i="5"/>
  <c r="U4" i="5"/>
  <c r="U3" i="5"/>
  <c r="U12" i="2"/>
  <c r="P5" i="1" l="1"/>
  <c r="P19" i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10" i="2"/>
  <c r="U11" i="2" l="1"/>
  <c r="E9" i="2" l="1"/>
  <c r="R12" i="4" l="1"/>
  <c r="R11" i="4"/>
  <c r="R10" i="4"/>
  <c r="R9" i="4"/>
  <c r="R8" i="4"/>
  <c r="S37" i="5"/>
  <c r="S36" i="5"/>
  <c r="S35" i="5"/>
  <c r="S34" i="5"/>
  <c r="S33" i="5"/>
  <c r="T33" i="5" s="1"/>
  <c r="S52" i="5"/>
  <c r="S51" i="5"/>
  <c r="S50" i="5"/>
  <c r="S49" i="5"/>
  <c r="S48" i="5"/>
  <c r="T48" i="5" s="1"/>
  <c r="B2" i="22" l="1"/>
  <c r="R12" i="7"/>
  <c r="R11" i="7"/>
  <c r="Q10" i="7"/>
  <c r="R10" i="7"/>
  <c r="R9" i="7"/>
  <c r="R8" i="7"/>
  <c r="Q8" i="7" l="1"/>
  <c r="O10" i="7"/>
  <c r="R12" i="27" l="1"/>
  <c r="R11" i="27" l="1"/>
  <c r="R10" i="27"/>
  <c r="R9" i="27"/>
  <c r="R8" i="27"/>
  <c r="R14" i="1"/>
  <c r="R13" i="1" l="1"/>
  <c r="R12" i="1" l="1"/>
  <c r="R11" i="1" l="1"/>
  <c r="R10" i="1" l="1"/>
  <c r="S42" i="5" l="1"/>
  <c r="S41" i="5"/>
  <c r="S43" i="5"/>
  <c r="S15" i="5"/>
  <c r="S14" i="5"/>
  <c r="S13" i="5"/>
  <c r="S12" i="5"/>
  <c r="S11" i="5"/>
  <c r="S7" i="5"/>
  <c r="S6" i="5"/>
  <c r="S5" i="5"/>
  <c r="S4" i="5"/>
  <c r="S3" i="5"/>
  <c r="S44" i="5" l="1"/>
  <c r="S40" i="5"/>
  <c r="T40" i="5" s="1"/>
  <c r="U6" i="2" l="1"/>
  <c r="U5" i="2"/>
  <c r="B309" i="2"/>
  <c r="B308" i="2"/>
  <c r="B307" i="2"/>
  <c r="B306" i="2"/>
  <c r="B305" i="2"/>
  <c r="U13" i="2" s="1"/>
  <c r="R3" i="27" s="1"/>
  <c r="R17" i="27" s="1"/>
  <c r="B304" i="2"/>
  <c r="U4" i="2"/>
  <c r="Q11" i="7"/>
  <c r="Q9" i="7"/>
  <c r="R3" i="1" l="1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D33" i="5"/>
  <c r="R6" i="22" l="1"/>
  <c r="R4" i="7"/>
  <c r="R15" i="7" s="1"/>
  <c r="R5" i="1"/>
  <c r="R4" i="27"/>
  <c r="R4" i="4"/>
  <c r="R5" i="22"/>
  <c r="R3" i="7"/>
  <c r="R17" i="7" s="1"/>
  <c r="R4" i="1"/>
  <c r="R19" i="1" s="1"/>
  <c r="R3" i="4"/>
  <c r="R17" i="4" s="1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C31" i="22"/>
  <c r="C30" i="22"/>
  <c r="C29" i="22"/>
  <c r="C28" i="22"/>
  <c r="C27" i="22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C12" i="4"/>
  <c r="C11" i="4"/>
  <c r="C10" i="4"/>
  <c r="C9" i="4"/>
  <c r="C8" i="4"/>
  <c r="E34" i="5"/>
  <c r="F34" i="5"/>
  <c r="G34" i="5"/>
  <c r="H34" i="5"/>
  <c r="I34" i="5"/>
  <c r="J34" i="5"/>
  <c r="K34" i="5"/>
  <c r="L34" i="5"/>
  <c r="M34" i="5"/>
  <c r="N34" i="5"/>
  <c r="O34" i="5"/>
  <c r="T34" i="5" s="1"/>
  <c r="P34" i="5"/>
  <c r="Q34" i="5"/>
  <c r="R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E36" i="5"/>
  <c r="F36" i="5"/>
  <c r="G36" i="5"/>
  <c r="H36" i="5"/>
  <c r="I36" i="5"/>
  <c r="J36" i="5"/>
  <c r="K36" i="5"/>
  <c r="L36" i="5"/>
  <c r="M36" i="5"/>
  <c r="N36" i="5"/>
  <c r="O36" i="5"/>
  <c r="T36" i="5" s="1"/>
  <c r="P36" i="5"/>
  <c r="Q36" i="5"/>
  <c r="R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D37" i="5"/>
  <c r="D36" i="5"/>
  <c r="D35" i="5"/>
  <c r="D3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D7" i="5"/>
  <c r="D6" i="5"/>
  <c r="D5" i="5"/>
  <c r="D4" i="5"/>
  <c r="D3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6" i="5" s="1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D15" i="5"/>
  <c r="D14" i="5"/>
  <c r="D13" i="5"/>
  <c r="D12" i="5"/>
  <c r="D1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D52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D51" i="5"/>
  <c r="E50" i="5"/>
  <c r="F50" i="5"/>
  <c r="G50" i="5"/>
  <c r="H50" i="5"/>
  <c r="I50" i="5"/>
  <c r="J50" i="5"/>
  <c r="K50" i="5"/>
  <c r="L50" i="5"/>
  <c r="M50" i="5"/>
  <c r="N50" i="5"/>
  <c r="O50" i="5"/>
  <c r="T50" i="5" s="1"/>
  <c r="P50" i="5"/>
  <c r="Q50" i="5"/>
  <c r="R50" i="5"/>
  <c r="D50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D49" i="5"/>
  <c r="R48" i="5"/>
  <c r="R40" i="5" s="1"/>
  <c r="N48" i="5"/>
  <c r="O48" i="5"/>
  <c r="P48" i="5"/>
  <c r="Q48" i="5"/>
  <c r="I48" i="5"/>
  <c r="J48" i="5"/>
  <c r="K48" i="5"/>
  <c r="L48" i="5"/>
  <c r="M48" i="5"/>
  <c r="E48" i="5"/>
  <c r="F48" i="5"/>
  <c r="G48" i="5"/>
  <c r="H48" i="5"/>
  <c r="D48" i="5"/>
  <c r="R18" i="1" l="1"/>
  <c r="R20" i="1"/>
  <c r="R17" i="1"/>
  <c r="R21" i="1"/>
  <c r="T52" i="5"/>
  <c r="T37" i="5"/>
  <c r="T51" i="5"/>
  <c r="T49" i="5"/>
  <c r="T55" i="5"/>
  <c r="T35" i="5"/>
  <c r="R19" i="4"/>
  <c r="R18" i="4"/>
  <c r="R16" i="4"/>
  <c r="R19" i="27"/>
  <c r="R15" i="27"/>
  <c r="R16" i="27"/>
  <c r="R18" i="27"/>
  <c r="R16" i="7"/>
  <c r="R19" i="7"/>
  <c r="R18" i="7"/>
  <c r="B4" i="22"/>
  <c r="C13" i="26" l="1"/>
  <c r="R42" i="5" l="1"/>
  <c r="Q40" i="5"/>
  <c r="R41" i="5" l="1"/>
  <c r="R43" i="5"/>
  <c r="R44" i="5"/>
  <c r="R16" i="5"/>
  <c r="Q10" i="1"/>
  <c r="Q11" i="1" l="1"/>
  <c r="Q12" i="1" l="1"/>
  <c r="Q13" i="1" l="1"/>
  <c r="Q14" i="1" l="1"/>
  <c r="Q12" i="27"/>
  <c r="Q11" i="27" l="1"/>
  <c r="Q10" i="27" l="1"/>
  <c r="Q9" i="27" l="1"/>
  <c r="Q8" i="27"/>
  <c r="Q12" i="7" l="1"/>
  <c r="P8" i="7" l="1"/>
  <c r="T6" i="2" l="1"/>
  <c r="T5" i="2"/>
  <c r="T4" i="2"/>
  <c r="T11" i="2" l="1"/>
  <c r="Q3" i="1" s="1"/>
  <c r="T12" i="2" l="1"/>
  <c r="Q6" i="22" s="1"/>
  <c r="T13" i="2"/>
  <c r="Q5" i="22" s="1"/>
  <c r="Q13" i="22" s="1"/>
  <c r="Q15" i="22" l="1"/>
  <c r="Q11" i="22"/>
  <c r="Q12" i="22"/>
  <c r="Q14" i="22"/>
  <c r="Q4" i="7"/>
  <c r="Q3" i="7"/>
  <c r="Q17" i="7" s="1"/>
  <c r="Q4" i="1"/>
  <c r="Q19" i="1" s="1"/>
  <c r="Q3" i="27"/>
  <c r="Q17" i="27" s="1"/>
  <c r="Q4" i="4"/>
  <c r="Q15" i="4" s="1"/>
  <c r="Q5" i="1"/>
  <c r="Q4" i="27"/>
  <c r="Q3" i="4"/>
  <c r="Q17" i="4" s="1"/>
  <c r="G2" i="22"/>
  <c r="Q20" i="1" l="1"/>
  <c r="Q21" i="1"/>
  <c r="Q18" i="1"/>
  <c r="Q17" i="1"/>
  <c r="Q19" i="7"/>
  <c r="Q18" i="7"/>
  <c r="Q16" i="7"/>
  <c r="Q15" i="7"/>
  <c r="Q21" i="22"/>
  <c r="Q19" i="4"/>
  <c r="Q16" i="4"/>
  <c r="Q18" i="4"/>
  <c r="Q15" i="27"/>
  <c r="Q19" i="27"/>
  <c r="Q18" i="27"/>
  <c r="Q16" i="27"/>
  <c r="E2" i="22"/>
  <c r="Q20" i="22" l="1"/>
  <c r="R54" i="23" s="1"/>
  <c r="R46" i="23" s="1"/>
  <c r="R55" i="23"/>
  <c r="R47" i="23" s="1"/>
  <c r="Q19" i="22"/>
  <c r="R53" i="23" s="1"/>
  <c r="R13" i="23" s="1"/>
  <c r="Q23" i="22"/>
  <c r="Q22" i="22"/>
  <c r="R56" i="23" s="1"/>
  <c r="R48" i="23" s="1"/>
  <c r="P13" i="1"/>
  <c r="P11" i="27"/>
  <c r="R30" i="23" l="1"/>
  <c r="R14" i="23"/>
  <c r="R22" i="23"/>
  <c r="R21" i="23"/>
  <c r="R45" i="23"/>
  <c r="R31" i="23"/>
  <c r="R15" i="23"/>
  <c r="V13" i="23" s="1"/>
  <c r="R57" i="23"/>
  <c r="R49" i="23" s="1"/>
  <c r="R50" i="23" s="1"/>
  <c r="R29" i="23"/>
  <c r="R23" i="23"/>
  <c r="R32" i="23"/>
  <c r="R24" i="23"/>
  <c r="R16" i="23"/>
  <c r="R33" i="23" l="1"/>
  <c r="R25" i="23"/>
  <c r="R17" i="23"/>
  <c r="V14" i="23" s="1"/>
  <c r="R34" i="23"/>
  <c r="S6" i="2"/>
  <c r="S5" i="2"/>
  <c r="S4" i="2"/>
  <c r="S11" i="2" l="1"/>
  <c r="P3" i="1" s="1"/>
  <c r="S12" i="2"/>
  <c r="P6" i="22" s="1"/>
  <c r="S13" i="2"/>
  <c r="P5" i="22" s="1"/>
  <c r="P13" i="22" s="1"/>
  <c r="P11" i="7"/>
  <c r="P15" i="22" l="1"/>
  <c r="P12" i="22"/>
  <c r="P11" i="22"/>
  <c r="P14" i="22"/>
  <c r="P4" i="1"/>
  <c r="P3" i="27"/>
  <c r="P3" i="4"/>
  <c r="P3" i="7"/>
  <c r="P4" i="7"/>
  <c r="P4" i="27"/>
  <c r="P4" i="4"/>
  <c r="P15" i="4" s="1"/>
  <c r="P21" i="1" l="1"/>
  <c r="P20" i="1"/>
  <c r="P18" i="1"/>
  <c r="P17" i="1"/>
  <c r="P18" i="27"/>
  <c r="Q42" i="5"/>
  <c r="Q43" i="5"/>
  <c r="Q41" i="5"/>
  <c r="Q44" i="5"/>
  <c r="P18" i="7" l="1"/>
  <c r="P14" i="1"/>
  <c r="P12" i="27"/>
  <c r="P19" i="27" s="1"/>
  <c r="P12" i="7"/>
  <c r="P19" i="7" s="1"/>
  <c r="P12" i="1" l="1"/>
  <c r="P10" i="27"/>
  <c r="P17" i="27" s="1"/>
  <c r="P10" i="7"/>
  <c r="P17" i="7" s="1"/>
  <c r="P11" i="1" l="1"/>
  <c r="P9" i="27"/>
  <c r="P16" i="27" s="1"/>
  <c r="P9" i="7"/>
  <c r="P16" i="7" s="1"/>
  <c r="P10" i="1" l="1"/>
  <c r="P8" i="27"/>
  <c r="P15" i="27" s="1"/>
  <c r="P15" i="7" l="1"/>
  <c r="P18" i="4" l="1"/>
  <c r="P19" i="4" l="1"/>
  <c r="P17" i="4" l="1"/>
  <c r="P16" i="4" l="1"/>
  <c r="P21" i="22" l="1"/>
  <c r="Q55" i="23" s="1"/>
  <c r="Q31" i="23" s="1"/>
  <c r="P22" i="22"/>
  <c r="Q56" i="23" s="1"/>
  <c r="Q32" i="23" s="1"/>
  <c r="P20" i="22"/>
  <c r="Q54" i="23" s="1"/>
  <c r="Q30" i="23" s="1"/>
  <c r="P19" i="22"/>
  <c r="Q53" i="23" s="1"/>
  <c r="P23" i="22"/>
  <c r="Q57" i="23" s="1"/>
  <c r="Q33" i="23" s="1"/>
  <c r="O14" i="1"/>
  <c r="O12" i="27"/>
  <c r="O12" i="7"/>
  <c r="Q34" i="23" l="1"/>
  <c r="Q22" i="23"/>
  <c r="Q14" i="23"/>
  <c r="Q46" i="23"/>
  <c r="Q13" i="23"/>
  <c r="Q29" i="23"/>
  <c r="Q45" i="23"/>
  <c r="Q21" i="23"/>
  <c r="Q24" i="23"/>
  <c r="Q16" i="23"/>
  <c r="Q48" i="23"/>
  <c r="Q25" i="23"/>
  <c r="Q49" i="23"/>
  <c r="Q17" i="23"/>
  <c r="Q23" i="23"/>
  <c r="Q47" i="23"/>
  <c r="Q15" i="23"/>
  <c r="O11" i="7"/>
  <c r="O11" i="27"/>
  <c r="O13" i="1"/>
  <c r="Q50" i="23" l="1"/>
  <c r="O12" i="1"/>
  <c r="O10" i="27"/>
  <c r="O9" i="7" l="1"/>
  <c r="O9" i="27"/>
  <c r="O11" i="1"/>
  <c r="O10" i="1" l="1"/>
  <c r="O8" i="27"/>
  <c r="O8" i="7"/>
  <c r="Q16" i="5" l="1"/>
  <c r="B2" i="1"/>
  <c r="B2" i="27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11" i="2" l="1"/>
  <c r="O3" i="1" s="1"/>
  <c r="R12" i="2"/>
  <c r="O6" i="22" s="1"/>
  <c r="R13" i="2"/>
  <c r="O5" i="22" s="1"/>
  <c r="O13" i="22" s="1"/>
  <c r="O16" i="5"/>
  <c r="G16" i="5"/>
  <c r="K16" i="5"/>
  <c r="N16" i="5"/>
  <c r="J16" i="5"/>
  <c r="F16" i="5"/>
  <c r="P41" i="5"/>
  <c r="M16" i="5"/>
  <c r="P43" i="5"/>
  <c r="P42" i="5"/>
  <c r="I16" i="5"/>
  <c r="P16" i="5"/>
  <c r="H16" i="5"/>
  <c r="P40" i="5"/>
  <c r="P44" i="5"/>
  <c r="L16" i="5"/>
  <c r="O14" i="22" l="1"/>
  <c r="O12" i="22"/>
  <c r="O15" i="22"/>
  <c r="O11" i="22"/>
  <c r="O4" i="4"/>
  <c r="O18" i="4" s="1"/>
  <c r="O4" i="1"/>
  <c r="O19" i="1" s="1"/>
  <c r="O3" i="7"/>
  <c r="O17" i="7" s="1"/>
  <c r="O3" i="27"/>
  <c r="O17" i="27" s="1"/>
  <c r="O3" i="4"/>
  <c r="O17" i="4" s="1"/>
  <c r="O4" i="27"/>
  <c r="O5" i="1"/>
  <c r="O4" i="7"/>
  <c r="O42" i="5"/>
  <c r="T42" i="5" s="1"/>
  <c r="O43" i="5"/>
  <c r="T43" i="5" s="1"/>
  <c r="O44" i="5"/>
  <c r="T44" i="5" s="1"/>
  <c r="O21" i="1" l="1"/>
  <c r="O20" i="1"/>
  <c r="O18" i="1"/>
  <c r="O17" i="1"/>
  <c r="O16" i="4"/>
  <c r="O19" i="4"/>
  <c r="O15" i="4"/>
  <c r="O18" i="7"/>
  <c r="O15" i="7"/>
  <c r="O19" i="7"/>
  <c r="O16" i="7"/>
  <c r="O15" i="27"/>
  <c r="O19" i="27"/>
  <c r="O18" i="27"/>
  <c r="O16" i="27"/>
  <c r="O41" i="5"/>
  <c r="T41" i="5" s="1"/>
  <c r="O21" i="22" l="1"/>
  <c r="P55" i="23" s="1"/>
  <c r="O19" i="22"/>
  <c r="P53" i="23" s="1"/>
  <c r="O40" i="5"/>
  <c r="O20" i="22" l="1"/>
  <c r="P54" i="23" s="1"/>
  <c r="O22" i="22"/>
  <c r="P56" i="23" s="1"/>
  <c r="P21" i="23"/>
  <c r="P13" i="23"/>
  <c r="P45" i="23"/>
  <c r="P29" i="23"/>
  <c r="O23" i="22"/>
  <c r="P57" i="23" s="1"/>
  <c r="P47" i="23"/>
  <c r="P23" i="23"/>
  <c r="P31" i="23"/>
  <c r="P15" i="23"/>
  <c r="Q6" i="2"/>
  <c r="Q5" i="2"/>
  <c r="Q4" i="2"/>
  <c r="P16" i="23" l="1"/>
  <c r="P48" i="23"/>
  <c r="P32" i="23"/>
  <c r="P24" i="23"/>
  <c r="P25" i="23"/>
  <c r="P49" i="23"/>
  <c r="P33" i="23"/>
  <c r="P17" i="23"/>
  <c r="P22" i="23"/>
  <c r="P14" i="23"/>
  <c r="P30" i="23"/>
  <c r="P46" i="23"/>
  <c r="J11" i="2"/>
  <c r="G3" i="1" s="1"/>
  <c r="P50" i="23" l="1"/>
  <c r="Q12" i="2"/>
  <c r="N6" i="22" s="1"/>
  <c r="K11" i="2"/>
  <c r="H3" i="1" s="1"/>
  <c r="L11" i="2"/>
  <c r="I3" i="1" s="1"/>
  <c r="G11" i="2"/>
  <c r="D3" i="1" s="1"/>
  <c r="M11" i="2"/>
  <c r="J3" i="1" s="1"/>
  <c r="H11" i="2"/>
  <c r="E3" i="1" s="1"/>
  <c r="N11" i="2"/>
  <c r="K3" i="1" s="1"/>
  <c r="I11" i="2"/>
  <c r="F3" i="1" s="1"/>
  <c r="Q13" i="2"/>
  <c r="N5" i="22" s="1"/>
  <c r="N13" i="22" s="1"/>
  <c r="Q11" i="2"/>
  <c r="N3" i="1" s="1"/>
  <c r="N14" i="22" l="1"/>
  <c r="N15" i="22"/>
  <c r="N12" i="22"/>
  <c r="N11" i="22"/>
  <c r="N3" i="7"/>
  <c r="N17" i="7" s="1"/>
  <c r="N3" i="27"/>
  <c r="N17" i="27" s="1"/>
  <c r="S17" i="27" s="1"/>
  <c r="N4" i="1"/>
  <c r="N19" i="1" s="1"/>
  <c r="N4" i="7"/>
  <c r="N15" i="7" s="1"/>
  <c r="S15" i="7" s="1"/>
  <c r="N5" i="1"/>
  <c r="N4" i="27"/>
  <c r="N16" i="27" s="1"/>
  <c r="S16" i="27" s="1"/>
  <c r="N4" i="4"/>
  <c r="N16" i="4" s="1"/>
  <c r="S16" i="4" s="1"/>
  <c r="N3" i="4"/>
  <c r="N17" i="4" s="1"/>
  <c r="S17" i="4" s="1"/>
  <c r="N40" i="5"/>
  <c r="N42" i="5"/>
  <c r="N41" i="5"/>
  <c r="N43" i="5"/>
  <c r="N44" i="5"/>
  <c r="N21" i="1" l="1"/>
  <c r="S21" i="1" s="1"/>
  <c r="N18" i="1"/>
  <c r="S18" i="1" s="1"/>
  <c r="N17" i="1"/>
  <c r="N20" i="1"/>
  <c r="S19" i="1"/>
  <c r="S20" i="1"/>
  <c r="F37" i="23"/>
  <c r="S17" i="7"/>
  <c r="F39" i="23" s="1"/>
  <c r="N19" i="7"/>
  <c r="N18" i="7"/>
  <c r="N16" i="7"/>
  <c r="N21" i="22"/>
  <c r="N15" i="27"/>
  <c r="S15" i="27" s="1"/>
  <c r="N18" i="4"/>
  <c r="S18" i="4" s="1"/>
  <c r="N19" i="4"/>
  <c r="S19" i="4" s="1"/>
  <c r="N15" i="4"/>
  <c r="N18" i="27"/>
  <c r="S18" i="27" s="1"/>
  <c r="N19" i="27"/>
  <c r="S19" i="27" s="1"/>
  <c r="S17" i="1"/>
  <c r="M9" i="1"/>
  <c r="M16" i="1"/>
  <c r="S19" i="7" l="1"/>
  <c r="F41" i="23" s="1"/>
  <c r="S16" i="7"/>
  <c r="F38" i="23" s="1"/>
  <c r="E37" i="23"/>
  <c r="S18" i="7"/>
  <c r="F40" i="23" s="1"/>
  <c r="N20" i="22"/>
  <c r="O54" i="23" s="1"/>
  <c r="N23" i="22"/>
  <c r="N22" i="22"/>
  <c r="N19" i="22"/>
  <c r="O55" i="23"/>
  <c r="M41" i="5"/>
  <c r="M40" i="5"/>
  <c r="M43" i="5"/>
  <c r="M42" i="5"/>
  <c r="M44" i="5"/>
  <c r="O22" i="23" l="1"/>
  <c r="O47" i="23"/>
  <c r="O30" i="23"/>
  <c r="O14" i="23"/>
  <c r="O46" i="23"/>
  <c r="O57" i="23"/>
  <c r="O53" i="23"/>
  <c r="O15" i="23"/>
  <c r="O23" i="23"/>
  <c r="O31" i="23"/>
  <c r="O56" i="23"/>
  <c r="P6" i="2"/>
  <c r="P5" i="2"/>
  <c r="P4" i="2"/>
  <c r="P11" i="2" s="1"/>
  <c r="M3" i="1" s="1"/>
  <c r="O6" i="2"/>
  <c r="O5" i="2"/>
  <c r="O4" i="2"/>
  <c r="O11" i="2" s="1"/>
  <c r="L3" i="1" s="1"/>
  <c r="O49" i="23" l="1"/>
  <c r="O48" i="23"/>
  <c r="O45" i="23"/>
  <c r="O21" i="23"/>
  <c r="O25" i="23"/>
  <c r="O13" i="23"/>
  <c r="O32" i="23"/>
  <c r="O17" i="23"/>
  <c r="O16" i="23"/>
  <c r="O33" i="23"/>
  <c r="O24" i="23"/>
  <c r="O29" i="23"/>
  <c r="P13" i="2"/>
  <c r="M5" i="22" s="1"/>
  <c r="M13" i="22" s="1"/>
  <c r="P12" i="2"/>
  <c r="M6" i="22" s="1"/>
  <c r="O13" i="2"/>
  <c r="L5" i="22" s="1"/>
  <c r="L13" i="22" s="1"/>
  <c r="O12" i="2"/>
  <c r="L6" i="22" s="1"/>
  <c r="O50" i="23" l="1"/>
  <c r="L14" i="22"/>
  <c r="L11" i="22"/>
  <c r="L15" i="22"/>
  <c r="L12" i="22"/>
  <c r="M14" i="22"/>
  <c r="M15" i="22"/>
  <c r="M11" i="22"/>
  <c r="M12" i="22"/>
  <c r="M3" i="27"/>
  <c r="M17" i="27" s="1"/>
  <c r="M4" i="1"/>
  <c r="M19" i="1" s="1"/>
  <c r="M4" i="27"/>
  <c r="M5" i="1"/>
  <c r="L4" i="7"/>
  <c r="L19" i="7" s="1"/>
  <c r="L4" i="27"/>
  <c r="L5" i="1"/>
  <c r="L3" i="7"/>
  <c r="L17" i="7" s="1"/>
  <c r="L3" i="27"/>
  <c r="L17" i="27" s="1"/>
  <c r="L4" i="1"/>
  <c r="L19" i="1" s="1"/>
  <c r="M3" i="7"/>
  <c r="M17" i="7" s="1"/>
  <c r="M4" i="7"/>
  <c r="M16" i="7" s="1"/>
  <c r="L4" i="4"/>
  <c r="L3" i="4"/>
  <c r="M4" i="4"/>
  <c r="M15" i="4" s="1"/>
  <c r="D37" i="23" s="1"/>
  <c r="M3" i="4"/>
  <c r="M17" i="4" s="1"/>
  <c r="M20" i="1" l="1"/>
  <c r="M18" i="1"/>
  <c r="M17" i="1"/>
  <c r="M21" i="1"/>
  <c r="L18" i="1"/>
  <c r="L17" i="1"/>
  <c r="L20" i="1"/>
  <c r="L21" i="1"/>
  <c r="L16" i="7"/>
  <c r="L15" i="7"/>
  <c r="L18" i="7"/>
  <c r="M19" i="27"/>
  <c r="M18" i="27"/>
  <c r="M15" i="27"/>
  <c r="M16" i="27"/>
  <c r="M18" i="7"/>
  <c r="M15" i="7"/>
  <c r="M19" i="7"/>
  <c r="L15" i="27"/>
  <c r="L18" i="27"/>
  <c r="L19" i="27"/>
  <c r="L16" i="27"/>
  <c r="M16" i="4"/>
  <c r="M18" i="4"/>
  <c r="M19" i="4"/>
  <c r="M21" i="22" l="1"/>
  <c r="N55" i="23" s="1"/>
  <c r="E39" i="23"/>
  <c r="E16" i="26"/>
  <c r="D15" i="26"/>
  <c r="D16" i="26"/>
  <c r="D14" i="26" l="1"/>
  <c r="M20" i="22"/>
  <c r="N54" i="23" s="1"/>
  <c r="N47" i="23"/>
  <c r="N23" i="23"/>
  <c r="N15" i="23"/>
  <c r="N31" i="23"/>
  <c r="M22" i="22"/>
  <c r="N56" i="23" s="1"/>
  <c r="M23" i="22"/>
  <c r="N57" i="23" s="1"/>
  <c r="M19" i="22"/>
  <c r="N53" i="23" s="1"/>
  <c r="D18" i="26"/>
  <c r="E18" i="26"/>
  <c r="E41" i="23"/>
  <c r="E38" i="23"/>
  <c r="E15" i="26"/>
  <c r="E17" i="26"/>
  <c r="E40" i="23"/>
  <c r="D17" i="26"/>
  <c r="E14" i="26"/>
  <c r="N46" i="23" l="1"/>
  <c r="N14" i="23"/>
  <c r="N30" i="23"/>
  <c r="N22" i="23"/>
  <c r="N45" i="23"/>
  <c r="N48" i="23"/>
  <c r="N49" i="23"/>
  <c r="N32" i="23"/>
  <c r="N33" i="23"/>
  <c r="N25" i="23"/>
  <c r="N13" i="23"/>
  <c r="N16" i="23"/>
  <c r="N29" i="23"/>
  <c r="N21" i="23"/>
  <c r="N24" i="23"/>
  <c r="N17" i="23"/>
  <c r="F25" i="5"/>
  <c r="D4" i="26" s="1"/>
  <c r="E25" i="5"/>
  <c r="D25" i="5"/>
  <c r="B4" i="26" s="1"/>
  <c r="F13" i="26"/>
  <c r="E13" i="26"/>
  <c r="D13" i="26"/>
  <c r="B13" i="26"/>
  <c r="N50" i="23" l="1"/>
  <c r="D40" i="5"/>
  <c r="D41" i="5"/>
  <c r="D42" i="5"/>
  <c r="D43" i="5"/>
  <c r="D44" i="5"/>
  <c r="A16" i="1" l="1"/>
  <c r="A14" i="27"/>
  <c r="B2" i="4"/>
  <c r="A14" i="4" s="1"/>
  <c r="B2" i="7"/>
  <c r="A14" i="7" s="1"/>
  <c r="D8" i="2" l="1"/>
  <c r="D10" i="2" s="1"/>
  <c r="G13" i="2" l="1"/>
  <c r="D5" i="22" s="1"/>
  <c r="D13" i="22" s="1"/>
  <c r="I13" i="2"/>
  <c r="F5" i="22" s="1"/>
  <c r="F13" i="22" s="1"/>
  <c r="K13" i="2"/>
  <c r="H5" i="22" s="1"/>
  <c r="H13" i="22" s="1"/>
  <c r="M13" i="2"/>
  <c r="J5" i="22" s="1"/>
  <c r="J13" i="22" s="1"/>
  <c r="H13" i="2"/>
  <c r="E5" i="22" s="1"/>
  <c r="E13" i="22" s="1"/>
  <c r="J13" i="2"/>
  <c r="G5" i="22" s="1"/>
  <c r="G13" i="22" s="1"/>
  <c r="L13" i="2"/>
  <c r="I5" i="22" s="1"/>
  <c r="I13" i="22" s="1"/>
  <c r="N13" i="2"/>
  <c r="K5" i="22" s="1"/>
  <c r="K13" i="22" s="1"/>
  <c r="F13" i="2"/>
  <c r="C5" i="22" s="1"/>
  <c r="C13" i="22" s="1"/>
  <c r="M12" i="2"/>
  <c r="J6" i="22" s="1"/>
  <c r="K12" i="2"/>
  <c r="H6" i="22" s="1"/>
  <c r="I12" i="2"/>
  <c r="F6" i="22" s="1"/>
  <c r="G12" i="2"/>
  <c r="D6" i="22" s="1"/>
  <c r="N12" i="2"/>
  <c r="K6" i="22" s="1"/>
  <c r="L12" i="2"/>
  <c r="I6" i="22" s="1"/>
  <c r="J12" i="2"/>
  <c r="G6" i="22" s="1"/>
  <c r="H12" i="2"/>
  <c r="E6" i="22" s="1"/>
  <c r="F12" i="2"/>
  <c r="C6" i="22" s="1"/>
  <c r="F11" i="2"/>
  <c r="C3" i="1" s="1"/>
  <c r="I15" i="22" l="1"/>
  <c r="I11" i="22"/>
  <c r="I12" i="22"/>
  <c r="I14" i="22"/>
  <c r="K11" i="22"/>
  <c r="K14" i="22"/>
  <c r="K12" i="22"/>
  <c r="K15" i="22"/>
  <c r="F14" i="22"/>
  <c r="F15" i="22"/>
  <c r="F11" i="22"/>
  <c r="F12" i="22"/>
  <c r="J11" i="22"/>
  <c r="J12" i="22"/>
  <c r="J15" i="22"/>
  <c r="J14" i="22"/>
  <c r="E14" i="22"/>
  <c r="E15" i="22"/>
  <c r="E11" i="22"/>
  <c r="E12" i="22"/>
  <c r="D11" i="22"/>
  <c r="D14" i="22"/>
  <c r="D15" i="22"/>
  <c r="D12" i="22"/>
  <c r="H15" i="22"/>
  <c r="H12" i="22"/>
  <c r="H11" i="22"/>
  <c r="H14" i="22"/>
  <c r="C11" i="22"/>
  <c r="C12" i="22"/>
  <c r="C15" i="22"/>
  <c r="C14" i="22"/>
  <c r="G14" i="22"/>
  <c r="G12" i="22"/>
  <c r="G15" i="22"/>
  <c r="G11" i="22"/>
  <c r="K3" i="7"/>
  <c r="K17" i="7" s="1"/>
  <c r="K4" i="1"/>
  <c r="K19" i="1" s="1"/>
  <c r="K3" i="27"/>
  <c r="K17" i="27" s="1"/>
  <c r="J3" i="7"/>
  <c r="J17" i="7" s="1"/>
  <c r="J3" i="27"/>
  <c r="J17" i="27" s="1"/>
  <c r="J4" i="1"/>
  <c r="J19" i="1" s="1"/>
  <c r="I4" i="7"/>
  <c r="I19" i="7" s="1"/>
  <c r="I4" i="27"/>
  <c r="I5" i="1"/>
  <c r="H4" i="7"/>
  <c r="H16" i="7" s="1"/>
  <c r="H4" i="27"/>
  <c r="H5" i="1"/>
  <c r="I3" i="7"/>
  <c r="I17" i="7" s="1"/>
  <c r="I3" i="27"/>
  <c r="I17" i="27" s="1"/>
  <c r="I4" i="1"/>
  <c r="I19" i="1" s="1"/>
  <c r="H3" i="7"/>
  <c r="H17" i="7" s="1"/>
  <c r="H3" i="27"/>
  <c r="H17" i="27" s="1"/>
  <c r="H4" i="1"/>
  <c r="H19" i="1" s="1"/>
  <c r="F4" i="7"/>
  <c r="F16" i="7" s="1"/>
  <c r="F5" i="1"/>
  <c r="F4" i="27"/>
  <c r="C4" i="27"/>
  <c r="C5" i="1"/>
  <c r="G3" i="7"/>
  <c r="G17" i="7" s="1"/>
  <c r="G4" i="1"/>
  <c r="G19" i="1" s="1"/>
  <c r="G3" i="27"/>
  <c r="G17" i="27" s="1"/>
  <c r="F3" i="7"/>
  <c r="F17" i="7" s="1"/>
  <c r="F3" i="27"/>
  <c r="F17" i="27" s="1"/>
  <c r="F4" i="1"/>
  <c r="F19" i="1" s="1"/>
  <c r="G4" i="7"/>
  <c r="G15" i="7" s="1"/>
  <c r="G4" i="27"/>
  <c r="G5" i="1"/>
  <c r="K4" i="7"/>
  <c r="K15" i="7" s="1"/>
  <c r="K4" i="27"/>
  <c r="K5" i="1"/>
  <c r="J4" i="7"/>
  <c r="J18" i="7" s="1"/>
  <c r="J5" i="1"/>
  <c r="J4" i="27"/>
  <c r="E4" i="7"/>
  <c r="E16" i="7" s="1"/>
  <c r="E4" i="27"/>
  <c r="E5" i="1"/>
  <c r="D4" i="7"/>
  <c r="D19" i="7" s="1"/>
  <c r="D4" i="27"/>
  <c r="D5" i="1"/>
  <c r="C4" i="1"/>
  <c r="C19" i="1" s="1"/>
  <c r="C3" i="27"/>
  <c r="E3" i="7"/>
  <c r="E17" i="7" s="1"/>
  <c r="E3" i="27"/>
  <c r="E17" i="27" s="1"/>
  <c r="E4" i="1"/>
  <c r="E19" i="1" s="1"/>
  <c r="D3" i="7"/>
  <c r="D17" i="7" s="1"/>
  <c r="D3" i="27"/>
  <c r="D17" i="27" s="1"/>
  <c r="D4" i="1"/>
  <c r="D19" i="1" s="1"/>
  <c r="C4" i="4"/>
  <c r="C4" i="7"/>
  <c r="E4" i="4"/>
  <c r="I4" i="4"/>
  <c r="F4" i="4"/>
  <c r="J4" i="4"/>
  <c r="C3" i="4"/>
  <c r="C3" i="7"/>
  <c r="I3" i="4"/>
  <c r="E3" i="4"/>
  <c r="J3" i="4"/>
  <c r="F3" i="4"/>
  <c r="G4" i="4"/>
  <c r="K4" i="4"/>
  <c r="D4" i="4"/>
  <c r="H4" i="4"/>
  <c r="K3" i="4"/>
  <c r="G3" i="4"/>
  <c r="H3" i="4"/>
  <c r="D3" i="4"/>
  <c r="B3" i="26"/>
  <c r="D16" i="1"/>
  <c r="E16" i="1"/>
  <c r="F16" i="1"/>
  <c r="G16" i="1"/>
  <c r="H16" i="1"/>
  <c r="I16" i="1"/>
  <c r="J16" i="1"/>
  <c r="K16" i="1"/>
  <c r="L16" i="1"/>
  <c r="C16" i="1"/>
  <c r="D18" i="1" l="1"/>
  <c r="D17" i="1"/>
  <c r="D21" i="1"/>
  <c r="D20" i="1"/>
  <c r="K17" i="1"/>
  <c r="K18" i="1"/>
  <c r="K21" i="1"/>
  <c r="K20" i="1"/>
  <c r="E20" i="1"/>
  <c r="E18" i="1"/>
  <c r="E17" i="1"/>
  <c r="E21" i="1"/>
  <c r="I21" i="1"/>
  <c r="I20" i="1"/>
  <c r="I18" i="1"/>
  <c r="I17" i="1"/>
  <c r="F21" i="1"/>
  <c r="F18" i="1"/>
  <c r="F17" i="1"/>
  <c r="F20" i="1"/>
  <c r="G20" i="1"/>
  <c r="G18" i="1"/>
  <c r="G17" i="1"/>
  <c r="G21" i="1"/>
  <c r="C17" i="1"/>
  <c r="C21" i="1"/>
  <c r="C20" i="1"/>
  <c r="C18" i="1"/>
  <c r="H21" i="1"/>
  <c r="H20" i="1"/>
  <c r="H18" i="1"/>
  <c r="H17" i="1"/>
  <c r="J21" i="1"/>
  <c r="J20" i="1"/>
  <c r="J17" i="1"/>
  <c r="J18" i="1"/>
  <c r="G19" i="7"/>
  <c r="G16" i="7"/>
  <c r="H19" i="7"/>
  <c r="K18" i="7"/>
  <c r="K16" i="7"/>
  <c r="K19" i="7"/>
  <c r="D18" i="7"/>
  <c r="D16" i="7"/>
  <c r="H15" i="7"/>
  <c r="I16" i="7"/>
  <c r="D15" i="7"/>
  <c r="I18" i="7"/>
  <c r="G18" i="7"/>
  <c r="H18" i="7"/>
  <c r="E18" i="7"/>
  <c r="F18" i="7"/>
  <c r="E15" i="7"/>
  <c r="F15" i="7"/>
  <c r="E19" i="7"/>
  <c r="I15" i="7"/>
  <c r="F19" i="7"/>
  <c r="J15" i="7"/>
  <c r="J19" i="7"/>
  <c r="J16" i="7"/>
  <c r="J18" i="27"/>
  <c r="J19" i="27"/>
  <c r="J16" i="27"/>
  <c r="J15" i="27"/>
  <c r="F18" i="27"/>
  <c r="F15" i="27"/>
  <c r="F19" i="27"/>
  <c r="F16" i="27"/>
  <c r="G18" i="27"/>
  <c r="G15" i="27"/>
  <c r="G16" i="27"/>
  <c r="G19" i="27"/>
  <c r="E19" i="27"/>
  <c r="E16" i="27"/>
  <c r="E18" i="27"/>
  <c r="E15" i="27"/>
  <c r="D15" i="27"/>
  <c r="D18" i="27"/>
  <c r="D19" i="27"/>
  <c r="D16" i="27"/>
  <c r="H18" i="27"/>
  <c r="H15" i="27"/>
  <c r="H19" i="27"/>
  <c r="H16" i="27"/>
  <c r="K18" i="27"/>
  <c r="K15" i="27"/>
  <c r="K19" i="27"/>
  <c r="K16" i="27"/>
  <c r="I19" i="27"/>
  <c r="I18" i="27"/>
  <c r="I15" i="27"/>
  <c r="I16" i="27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H41" i="5"/>
  <c r="L41" i="5"/>
  <c r="H42" i="5"/>
  <c r="L42" i="5"/>
  <c r="H43" i="5"/>
  <c r="L43" i="5"/>
  <c r="H44" i="5"/>
  <c r="L44" i="5"/>
  <c r="J42" i="5"/>
  <c r="J43" i="5"/>
  <c r="J44" i="5"/>
  <c r="L9" i="1" l="1"/>
  <c r="B9" i="26" l="1"/>
  <c r="B8" i="26"/>
  <c r="B6" i="26"/>
  <c r="B5" i="26"/>
  <c r="B7" i="26"/>
  <c r="A18" i="22" l="1"/>
  <c r="A10" i="22" l="1"/>
  <c r="D9" i="1"/>
  <c r="E9" i="1"/>
  <c r="F9" i="1"/>
  <c r="G9" i="1"/>
  <c r="H9" i="1"/>
  <c r="I9" i="1"/>
  <c r="J9" i="1"/>
  <c r="K9" i="1"/>
  <c r="C9" i="1"/>
  <c r="C17" i="22" l="1"/>
  <c r="C3" i="26"/>
  <c r="D3" i="26"/>
  <c r="A5" i="26"/>
  <c r="A6" i="26"/>
  <c r="A7" i="26"/>
  <c r="A8" i="26"/>
  <c r="A9" i="26"/>
  <c r="B9" i="22" l="1"/>
  <c r="C8" i="26" l="1"/>
  <c r="C7" i="26"/>
  <c r="C6" i="26"/>
  <c r="D6" i="26"/>
  <c r="C9" i="26"/>
  <c r="D9" i="26"/>
  <c r="D8" i="26"/>
  <c r="D7" i="26"/>
  <c r="C17" i="7" l="1"/>
  <c r="C18" i="7" l="1"/>
  <c r="C15" i="7"/>
  <c r="C19" i="7"/>
  <c r="C16" i="7"/>
  <c r="L17" i="4" l="1"/>
  <c r="K17" i="4"/>
  <c r="I17" i="4"/>
  <c r="G17" i="4"/>
  <c r="E17" i="4"/>
  <c r="C17" i="4"/>
  <c r="J17" i="4"/>
  <c r="H17" i="4"/>
  <c r="F17" i="4"/>
  <c r="D17" i="4"/>
  <c r="F21" i="22" l="1"/>
  <c r="D21" i="22"/>
  <c r="G21" i="22"/>
  <c r="I21" i="22"/>
  <c r="H21" i="22"/>
  <c r="J21" i="22"/>
  <c r="E21" i="22"/>
  <c r="B16" i="26"/>
  <c r="D39" i="23"/>
  <c r="K21" i="22"/>
  <c r="L21" i="22"/>
  <c r="M55" i="23" s="1"/>
  <c r="C16" i="4"/>
  <c r="C15" i="4"/>
  <c r="C19" i="4"/>
  <c r="C18" i="4"/>
  <c r="L15" i="4"/>
  <c r="L19" i="4"/>
  <c r="L16" i="4"/>
  <c r="L18" i="4"/>
  <c r="C16" i="26"/>
  <c r="K16" i="4"/>
  <c r="K18" i="4"/>
  <c r="K15" i="4"/>
  <c r="K19" i="4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D20" i="22" l="1"/>
  <c r="D22" i="22"/>
  <c r="J20" i="22"/>
  <c r="E22" i="22"/>
  <c r="I20" i="22"/>
  <c r="G23" i="22"/>
  <c r="H23" i="22"/>
  <c r="E23" i="22"/>
  <c r="D23" i="22"/>
  <c r="J23" i="22"/>
  <c r="I22" i="22"/>
  <c r="I23" i="22"/>
  <c r="F22" i="22"/>
  <c r="G20" i="22"/>
  <c r="J22" i="22"/>
  <c r="G22" i="22"/>
  <c r="F20" i="22"/>
  <c r="H20" i="22"/>
  <c r="H22" i="22"/>
  <c r="E20" i="22"/>
  <c r="F23" i="22"/>
  <c r="D38" i="23"/>
  <c r="B15" i="26"/>
  <c r="D41" i="23"/>
  <c r="B18" i="26"/>
  <c r="B14" i="26"/>
  <c r="L22" i="22"/>
  <c r="M56" i="23" s="1"/>
  <c r="M47" i="23"/>
  <c r="M31" i="23"/>
  <c r="M23" i="23"/>
  <c r="K23" i="22"/>
  <c r="K19" i="22"/>
  <c r="L53" i="23" s="1"/>
  <c r="L21" i="23" s="1"/>
  <c r="K22" i="22"/>
  <c r="L56" i="23" s="1"/>
  <c r="L20" i="22"/>
  <c r="M54" i="23" s="1"/>
  <c r="L19" i="22"/>
  <c r="M53" i="23" s="1"/>
  <c r="K20" i="22"/>
  <c r="L54" i="23" s="1"/>
  <c r="L22" i="23" s="1"/>
  <c r="L23" i="22"/>
  <c r="M57" i="23" s="1"/>
  <c r="C19" i="27"/>
  <c r="C18" i="27"/>
  <c r="C15" i="27"/>
  <c r="C16" i="27"/>
  <c r="M15" i="23"/>
  <c r="C15" i="26"/>
  <c r="C17" i="26"/>
  <c r="C14" i="26"/>
  <c r="C18" i="26"/>
  <c r="L55" i="23"/>
  <c r="B17" i="26" l="1"/>
  <c r="D40" i="23"/>
  <c r="M49" i="23"/>
  <c r="M21" i="23"/>
  <c r="M48" i="23"/>
  <c r="M25" i="23"/>
  <c r="M22" i="23"/>
  <c r="M46" i="23"/>
  <c r="M30" i="23"/>
  <c r="M33" i="23"/>
  <c r="M45" i="23"/>
  <c r="L48" i="23"/>
  <c r="L45" i="23"/>
  <c r="L46" i="23"/>
  <c r="L47" i="23"/>
  <c r="X45" i="23" s="1"/>
  <c r="M29" i="23"/>
  <c r="M13" i="23"/>
  <c r="L31" i="23"/>
  <c r="L23" i="23"/>
  <c r="L32" i="23"/>
  <c r="L24" i="23"/>
  <c r="M32" i="23"/>
  <c r="M24" i="23"/>
  <c r="L30" i="23"/>
  <c r="M17" i="23"/>
  <c r="M16" i="23"/>
  <c r="M14" i="23"/>
  <c r="L57" i="23"/>
  <c r="M50" i="23" l="1"/>
  <c r="L49" i="23"/>
  <c r="L50" i="23" s="1"/>
  <c r="L29" i="23"/>
  <c r="L13" i="23"/>
  <c r="L33" i="23"/>
  <c r="L25" i="23"/>
  <c r="L14" i="23"/>
  <c r="L16" i="23"/>
  <c r="L15" i="23"/>
  <c r="J15" i="4"/>
  <c r="E55" i="23"/>
  <c r="E47" i="23" s="1"/>
  <c r="J19" i="22" l="1"/>
  <c r="K53" i="23" s="1"/>
  <c r="F55" i="23"/>
  <c r="F47" i="23" s="1"/>
  <c r="J55" i="23"/>
  <c r="J47" i="23" s="1"/>
  <c r="L17" i="23"/>
  <c r="C21" i="22"/>
  <c r="G54" i="23"/>
  <c r="F54" i="23"/>
  <c r="I56" i="23"/>
  <c r="I48" i="23" s="1"/>
  <c r="H56" i="23"/>
  <c r="H48" i="23" s="1"/>
  <c r="I57" i="23"/>
  <c r="I49" i="23" s="1"/>
  <c r="H57" i="23"/>
  <c r="H49" i="23" s="1"/>
  <c r="H54" i="23"/>
  <c r="C20" i="22"/>
  <c r="I54" i="23"/>
  <c r="E54" i="23"/>
  <c r="C5" i="26"/>
  <c r="G55" i="23"/>
  <c r="G47" i="23" s="1"/>
  <c r="G56" i="23"/>
  <c r="G48" i="23" s="1"/>
  <c r="G57" i="23"/>
  <c r="G49" i="23" s="1"/>
  <c r="E56" i="23"/>
  <c r="E48" i="23" s="1"/>
  <c r="C22" i="22"/>
  <c r="F56" i="23"/>
  <c r="F48" i="23" s="1"/>
  <c r="F57" i="23"/>
  <c r="F49" i="23" s="1"/>
  <c r="E57" i="23"/>
  <c r="E49" i="23" s="1"/>
  <c r="C23" i="22"/>
  <c r="C19" i="22" l="1"/>
  <c r="D53" i="23" s="1"/>
  <c r="I46" i="23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E33" i="23"/>
  <c r="E25" i="23"/>
  <c r="G31" i="23"/>
  <c r="G23" i="23"/>
  <c r="I33" i="23"/>
  <c r="I25" i="23"/>
  <c r="K56" i="23"/>
  <c r="K48" i="23" s="1"/>
  <c r="F30" i="23"/>
  <c r="J31" i="23"/>
  <c r="J23" i="23"/>
  <c r="F31" i="23"/>
  <c r="F23" i="23"/>
  <c r="E31" i="23"/>
  <c r="E23" i="23"/>
  <c r="F33" i="23"/>
  <c r="F25" i="23"/>
  <c r="G33" i="23"/>
  <c r="G25" i="23"/>
  <c r="H30" i="23"/>
  <c r="E30" i="23"/>
  <c r="K57" i="23"/>
  <c r="K49" i="23" s="1"/>
  <c r="G30" i="23"/>
  <c r="J57" i="23"/>
  <c r="J49" i="23" s="1"/>
  <c r="J56" i="23"/>
  <c r="J48" i="23" s="1"/>
  <c r="J54" i="23"/>
  <c r="F15" i="23"/>
  <c r="J15" i="23"/>
  <c r="H55" i="23"/>
  <c r="H47" i="23" s="1"/>
  <c r="I55" i="23"/>
  <c r="I47" i="23" s="1"/>
  <c r="E15" i="23"/>
  <c r="D55" i="23"/>
  <c r="D31" i="23" s="1"/>
  <c r="D5" i="26"/>
  <c r="G15" i="4"/>
  <c r="F15" i="4"/>
  <c r="E15" i="4"/>
  <c r="D15" i="4"/>
  <c r="I15" i="4"/>
  <c r="H15" i="4"/>
  <c r="D57" i="23"/>
  <c r="D33" i="23" s="1"/>
  <c r="D56" i="23"/>
  <c r="D32" i="23" s="1"/>
  <c r="D54" i="23"/>
  <c r="D30" i="23" s="1"/>
  <c r="H19" i="22" l="1"/>
  <c r="I53" i="23" s="1"/>
  <c r="I19" i="22"/>
  <c r="J53" i="23" s="1"/>
  <c r="D29" i="23"/>
  <c r="D45" i="23"/>
  <c r="D21" i="23"/>
  <c r="D13" i="23"/>
  <c r="G19" i="22"/>
  <c r="H53" i="23" s="1"/>
  <c r="D19" i="22"/>
  <c r="E53" i="23" s="1"/>
  <c r="E45" i="23" s="1"/>
  <c r="E50" i="23" s="1"/>
  <c r="E19" i="22"/>
  <c r="F53" i="23" s="1"/>
  <c r="F19" i="22"/>
  <c r="G53" i="23" s="1"/>
  <c r="K46" i="23"/>
  <c r="K22" i="23"/>
  <c r="J46" i="23"/>
  <c r="J22" i="23"/>
  <c r="K55" i="23"/>
  <c r="K47" i="23" s="1"/>
  <c r="G32" i="23"/>
  <c r="G24" i="23"/>
  <c r="H32" i="23"/>
  <c r="H24" i="23"/>
  <c r="K32" i="23"/>
  <c r="K24" i="23"/>
  <c r="I31" i="23"/>
  <c r="I23" i="23"/>
  <c r="J32" i="23"/>
  <c r="J24" i="23"/>
  <c r="K29" i="23"/>
  <c r="K13" i="23"/>
  <c r="H31" i="23"/>
  <c r="H23" i="23"/>
  <c r="J33" i="23"/>
  <c r="J25" i="23"/>
  <c r="K30" i="23"/>
  <c r="K33" i="23"/>
  <c r="K25" i="23"/>
  <c r="F32" i="23"/>
  <c r="F24" i="23"/>
  <c r="I32" i="23"/>
  <c r="I24" i="23"/>
  <c r="E32" i="23"/>
  <c r="E24" i="23"/>
  <c r="J30" i="23"/>
  <c r="H15" i="23"/>
  <c r="G14" i="23"/>
  <c r="J16" i="23"/>
  <c r="E14" i="23"/>
  <c r="F16" i="23"/>
  <c r="K17" i="23"/>
  <c r="F14" i="23"/>
  <c r="H16" i="23"/>
  <c r="J17" i="23"/>
  <c r="D46" i="23"/>
  <c r="D22" i="23"/>
  <c r="D14" i="23"/>
  <c r="G15" i="23"/>
  <c r="D48" i="23"/>
  <c r="D24" i="23"/>
  <c r="D16" i="23"/>
  <c r="F17" i="23"/>
  <c r="J14" i="23"/>
  <c r="K16" i="23"/>
  <c r="I17" i="23"/>
  <c r="H14" i="23"/>
  <c r="G16" i="23"/>
  <c r="E17" i="23"/>
  <c r="D47" i="23"/>
  <c r="D23" i="23"/>
  <c r="D15" i="23"/>
  <c r="I15" i="23"/>
  <c r="K14" i="23"/>
  <c r="H17" i="23"/>
  <c r="G17" i="23"/>
  <c r="D49" i="23"/>
  <c r="D25" i="23"/>
  <c r="D17" i="23"/>
  <c r="I16" i="23"/>
  <c r="I14" i="23"/>
  <c r="E16" i="23"/>
  <c r="K50" i="23" l="1"/>
  <c r="D50" i="23"/>
  <c r="K31" i="23"/>
  <c r="G45" i="23"/>
  <c r="G50" i="23" s="1"/>
  <c r="G21" i="23"/>
  <c r="H45" i="23"/>
  <c r="H50" i="23" s="1"/>
  <c r="H21" i="23"/>
  <c r="F45" i="23"/>
  <c r="F50" i="23" s="1"/>
  <c r="F21" i="23"/>
  <c r="E21" i="23"/>
  <c r="K23" i="23"/>
  <c r="J45" i="23"/>
  <c r="J50" i="23" s="1"/>
  <c r="J21" i="23"/>
  <c r="I45" i="23"/>
  <c r="I50" i="23" s="1"/>
  <c r="I21" i="23"/>
  <c r="K15" i="23"/>
  <c r="H29" i="23"/>
  <c r="H13" i="23"/>
  <c r="F29" i="23"/>
  <c r="F13" i="23"/>
  <c r="G29" i="23"/>
  <c r="G13" i="23"/>
  <c r="I29" i="23"/>
  <c r="I13" i="23"/>
  <c r="J29" i="23"/>
  <c r="J13" i="23"/>
  <c r="E29" i="23"/>
  <c r="E13" i="23"/>
  <c r="R31" i="22" l="1"/>
  <c r="R15" i="22" s="1"/>
  <c r="R28" i="22"/>
  <c r="R12" i="22" s="1"/>
  <c r="R29" i="22"/>
  <c r="R13" i="22" s="1"/>
  <c r="R20" i="22" l="1"/>
  <c r="S54" i="23" s="1"/>
  <c r="T54" i="23" s="1"/>
  <c r="S12" i="22"/>
  <c r="F15" i="26" s="1"/>
  <c r="R21" i="22"/>
  <c r="S55" i="23" s="1"/>
  <c r="T55" i="23" s="1"/>
  <c r="S13" i="22"/>
  <c r="F16" i="26" s="1"/>
  <c r="R23" i="22"/>
  <c r="S57" i="23" s="1"/>
  <c r="T57" i="23" s="1"/>
  <c r="S15" i="22"/>
  <c r="F18" i="26" s="1"/>
  <c r="S17" i="23" l="1"/>
  <c r="S49" i="23"/>
  <c r="T49" i="23" s="1"/>
  <c r="G8" i="23" s="1"/>
  <c r="S33" i="23"/>
  <c r="V33" i="23" s="1"/>
  <c r="S25" i="23"/>
  <c r="S47" i="23"/>
  <c r="T47" i="23" s="1"/>
  <c r="G6" i="23" s="1"/>
  <c r="S15" i="23"/>
  <c r="S23" i="23"/>
  <c r="S31" i="23"/>
  <c r="V31" i="23" s="1"/>
  <c r="S30" i="23"/>
  <c r="S22" i="23"/>
  <c r="S46" i="23"/>
  <c r="T46" i="23" s="1"/>
  <c r="G5" i="23" s="1"/>
  <c r="S14" i="23"/>
  <c r="V23" i="23" l="1"/>
  <c r="T23" i="23"/>
  <c r="E6" i="23" s="1"/>
  <c r="U23" i="23"/>
  <c r="V47" i="23"/>
  <c r="U47" i="23"/>
  <c r="T33" i="23"/>
  <c r="F8" i="23" s="1"/>
  <c r="U33" i="23"/>
  <c r="U31" i="23"/>
  <c r="T31" i="23"/>
  <c r="F6" i="23" s="1"/>
  <c r="V25" i="23"/>
  <c r="T25" i="23"/>
  <c r="E8" i="23" s="1"/>
  <c r="U25" i="23"/>
  <c r="V49" i="23"/>
  <c r="U49" i="23"/>
  <c r="U15" i="23"/>
  <c r="T15" i="23"/>
  <c r="D6" i="23" s="1"/>
  <c r="T14" i="23"/>
  <c r="D5" i="23" s="1"/>
  <c r="U14" i="23"/>
  <c r="V46" i="23"/>
  <c r="U46" i="23"/>
  <c r="V22" i="23"/>
  <c r="T22" i="23"/>
  <c r="E5" i="23" s="1"/>
  <c r="U22" i="23"/>
  <c r="U30" i="23"/>
  <c r="T30" i="23"/>
  <c r="F5" i="23" s="1"/>
  <c r="V30" i="23"/>
  <c r="U17" i="23"/>
  <c r="T17" i="23"/>
  <c r="D8" i="23" s="1"/>
  <c r="R27" i="22" l="1"/>
  <c r="R11" i="22" s="1"/>
  <c r="R19" i="22" l="1"/>
  <c r="S53" i="23" s="1"/>
  <c r="T53" i="23" s="1"/>
  <c r="S11" i="22"/>
  <c r="F14" i="26" s="1"/>
  <c r="S29" i="23" l="1"/>
  <c r="V29" i="23" s="1"/>
  <c r="S13" i="23"/>
  <c r="S21" i="23"/>
  <c r="T21" i="23" s="1"/>
  <c r="E4" i="23" s="1"/>
  <c r="S45" i="23"/>
  <c r="R30" i="22"/>
  <c r="R14" i="22" s="1"/>
  <c r="T45" i="23" l="1"/>
  <c r="G4" i="23" s="1"/>
  <c r="T13" i="23"/>
  <c r="D4" i="23" s="1"/>
  <c r="Y13" i="23"/>
  <c r="Z13" i="23" s="1"/>
  <c r="W13" i="23"/>
  <c r="T29" i="23"/>
  <c r="F4" i="23" s="1"/>
  <c r="V45" i="23"/>
  <c r="U45" i="23"/>
  <c r="W21" i="23"/>
  <c r="V21" i="23"/>
  <c r="W22" i="23"/>
  <c r="U21" i="23"/>
  <c r="U13" i="23"/>
  <c r="W14" i="23"/>
  <c r="S14" i="22"/>
  <c r="F17" i="26" s="1"/>
  <c r="R22" i="22"/>
  <c r="S56" i="23" s="1"/>
  <c r="T56" i="23" s="1"/>
  <c r="U29" i="23"/>
  <c r="X13" i="23" l="1"/>
  <c r="S24" i="23"/>
  <c r="S48" i="23"/>
  <c r="W45" i="23" s="1"/>
  <c r="S32" i="23"/>
  <c r="S16" i="23"/>
  <c r="T48" i="23" l="1"/>
  <c r="G7" i="23" s="1"/>
  <c r="V48" i="23"/>
  <c r="U48" i="23"/>
  <c r="S50" i="23"/>
  <c r="T16" i="23"/>
  <c r="D7" i="23" s="1"/>
  <c r="U16" i="23"/>
  <c r="T32" i="23"/>
  <c r="F7" i="23" s="1"/>
  <c r="U32" i="23"/>
  <c r="V32" i="23"/>
  <c r="S34" i="23"/>
  <c r="V24" i="23"/>
  <c r="T24" i="23"/>
  <c r="E7" i="23" s="1"/>
  <c r="U24" i="23"/>
</calcChain>
</file>

<file path=xl/sharedStrings.xml><?xml version="1.0" encoding="utf-8"?>
<sst xmlns="http://schemas.openxmlformats.org/spreadsheetml/2006/main" count="501" uniqueCount="152">
  <si>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</si>
  <si>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</si>
  <si>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</si>
  <si>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</si>
  <si>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</si>
  <si>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</si>
  <si>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</si>
  <si>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</si>
  <si>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</si>
  <si>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</si>
  <si>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</si>
  <si>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</si>
  <si>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</si>
  <si>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</si>
  <si>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</si>
  <si>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</si>
  <si>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</si>
  <si>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</si>
  <si>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</si>
  <si>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</si>
  <si>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</si>
  <si>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</si>
  <si>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</si>
  <si>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</si>
  <si>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</si>
  <si>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Opex</t>
  </si>
  <si>
    <t>Capex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</si>
  <si>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</si>
  <si>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</si>
  <si>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</si>
  <si>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</si>
  <si>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</si>
  <si>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</si>
  <si>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</si>
  <si>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</si>
  <si>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</si>
  <si>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</si>
  <si>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</si>
  <si>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</si>
  <si>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</si>
  <si>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</si>
  <si>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</si>
  <si>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</si>
  <si>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</si>
  <si>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</si>
  <si>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</si>
  <si>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</si>
  <si>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</si>
  <si>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</si>
  <si>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</si>
  <si>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</si>
  <si>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</si>
  <si>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</si>
  <si>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</si>
  <si>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</si>
  <si>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</si>
  <si>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</si>
  <si>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</si>
  <si>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</si>
  <si>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</si>
  <si>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</si>
  <si>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</si>
  <si>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</si>
  <si>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</si>
  <si>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</si>
  <si>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</si>
  <si>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</si>
  <si>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</si>
  <si>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</si>
  <si>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</si>
  <si>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</si>
  <si>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GWh</t>
  </si>
  <si>
    <t>Total user cost per MVA MD</t>
  </si>
  <si>
    <t>Summary</t>
  </si>
  <si>
    <t>Data worksheets</t>
  </si>
  <si>
    <t xml:space="preserve">– CPI: this contains consumer price index sourced from the Australian Bureau of Statistics.  This index is used to convert nominal values into real values. </t>
  </si>
  <si>
    <t>Analysis worksheets</t>
  </si>
  <si>
    <t>AER TNSP Partial Performance Indicator Analysis</t>
  </si>
  <si>
    <t>– Asset cost and total user cost: this calculates asset cost and total user costs.</t>
  </si>
  <si>
    <t>– Data analysis: TNSP Analysis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</si>
  <si>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</si>
  <si>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</si>
  <si>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</si>
  <si>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</si>
  <si>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</si>
  <si>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</si>
  <si>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</si>
  <si>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</si>
  <si>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</si>
  <si>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</si>
  <si>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</si>
  <si>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ENT</t>
  </si>
  <si>
    <t>PLK</t>
  </si>
  <si>
    <t>ANT</t>
  </si>
  <si>
    <t>TNT</t>
  </si>
  <si>
    <t>TRG</t>
  </si>
  <si>
    <t>Old WACC used for reference</t>
  </si>
  <si>
    <t>– Physical data: this presents key operational data submitted under TNSP EBRINs.</t>
  </si>
  <si>
    <t>– Capex: this presents network services capex data submitted under TNSP EBRINs.</t>
  </si>
  <si>
    <t>– Depreciation: this presents network services depreciation data submitted under TNSP EBRINs.</t>
  </si>
  <si>
    <t>– Opex: this presents network services opex data submitted under TNSP EBRINs.</t>
  </si>
  <si>
    <t>– RAB: this presents network services RAB data submitted under TNSP EBRINs.</t>
  </si>
  <si>
    <t>– Graphical analysis: TNSP Charts-updated</t>
  </si>
  <si>
    <t>Total user cost per end user number</t>
  </si>
  <si>
    <t>asset additions (recognised in RAB)</t>
  </si>
  <si>
    <t>currency_base (Calendar year TNSP)</t>
  </si>
  <si>
    <t>$, 000</t>
  </si>
  <si>
    <t>$, 2020</t>
  </si>
  <si>
    <t>#/km</t>
  </si>
  <si>
    <t>$ 2020/km</t>
  </si>
  <si>
    <t xml:space="preserve">Total user cost per km of circuit length </t>
  </si>
  <si>
    <t>Date: September 2021</t>
  </si>
  <si>
    <t>Energy transported in 2021</t>
  </si>
  <si>
    <t xml:space="preserve"> Average 2017-21</t>
  </si>
  <si>
    <t>Average 2017-21</t>
  </si>
  <si>
    <t>Average NSP performance 2017-2021</t>
  </si>
  <si>
    <t>$2021/mva</t>
  </si>
  <si>
    <t>Change between 2021 and 2006</t>
  </si>
  <si>
    <t>$2021/mwh</t>
  </si>
  <si>
    <t>$2021/kV</t>
  </si>
  <si>
    <t>$2021/km</t>
  </si>
  <si>
    <t>Total cost per MWh of energy transported ($2021), 2006 to 2021</t>
  </si>
  <si>
    <t>End User Number (millions, $2021)</t>
  </si>
  <si>
    <t>Total cost per MVA of maximum demand served ($2021), 2006 to 2021</t>
  </si>
  <si>
    <t>Five year average circuit length by TNSP (2017 to 2021)</t>
  </si>
  <si>
    <t>Connection density (end user per circuit km, 2017-21 average)</t>
  </si>
  <si>
    <t>Total cost per end user ($2021), 2006 to 2021</t>
  </si>
  <si>
    <t>Energy transported in 2021 (GWh)</t>
  </si>
  <si>
    <t>Total cost per km of transmission circuit length ($2021), 2006 to 2021</t>
  </si>
  <si>
    <t>Maximum demand in 2021 (MVA)</t>
  </si>
  <si>
    <t>$'000 2021</t>
  </si>
  <si>
    <t>Average(2017-2020)</t>
  </si>
  <si>
    <t>$ 2021/MVA</t>
  </si>
  <si>
    <t>$ 2021/MWh</t>
  </si>
  <si>
    <t>$ 2021/kV</t>
  </si>
  <si>
    <t>Average NSP performance 2017-2020</t>
  </si>
  <si>
    <t>$, 2021</t>
  </si>
  <si>
    <t>Five year average circuit length by TNSP (2017-21)</t>
  </si>
  <si>
    <t>Energy transported in 2021 (MWh)</t>
  </si>
  <si>
    <t>Maximum demand for 2021 (MVA)</t>
  </si>
  <si>
    <t>CPI (Jun)</t>
  </si>
  <si>
    <t>*These are used to convert to $2021</t>
  </si>
  <si>
    <t xml:space="preserve">Note that the $2021 value is of June 2021 value. </t>
  </si>
  <si>
    <t>This spreadsheet contains the PPI analysis on Electricity Transmission Network Service Providers for the years up to 2021.</t>
  </si>
  <si>
    <t>Change between 2020 and 2021</t>
  </si>
  <si>
    <t>Highest to lowest difference 2021</t>
  </si>
  <si>
    <t>Highest to lowest difference 2014</t>
  </si>
  <si>
    <t>Change 2020 to 2021</t>
  </si>
  <si>
    <t>ElectraNet cost 2021 cf AusNet and Transgrid</t>
  </si>
  <si>
    <t>Circuit length km in 2021</t>
  </si>
  <si>
    <t>in 2021</t>
  </si>
  <si>
    <t xml:space="preserve">Energy transported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</si>
</sst>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-yyyy"/>
    <numFmt numFmtId="168" formatCode="0.0;\-0.0;0.0;@"/>
    <numFmt numFmtId="169" formatCode="#,##0.000"/>
    <numFmt numFmtId="170" formatCode="#,##0.0"/>
    <numFmt numFmtId="171" formatCode="_-&quot;$&quot;* #,##0_-;\-&quot;$&quot;* #,##0_-;_-&quot;$&quot;* &quot;-&quot;??_-;_-@_-"/>
    <numFmt numFmtId="172" formatCode="_-* #,##0_-;\-* #,##0_-;_-* &quot;-&quot;??_-;_-@_-"/>
    <numFmt numFmtId="173" formatCode="#,##0.0000"/>
    <numFmt numFmtId="174" formatCode="0.000"/>
    <numFmt numFmtId="175" formatCode="0.0"/>
    <numFmt numFmtId="176" formatCode="[$-C09]mmm\-yyyy;@"/>
    <numFmt numFmtId="177" formatCode="0.0%"/>
    <numFmt numFmtId="17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7" fontId="3" fillId="0" borderId="0" xfId="0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171" fontId="0" fillId="0" borderId="0" xfId="3" applyNumberFormat="1" applyFont="1"/>
    <xf numFmtId="0" fontId="5" fillId="0" borderId="0" xfId="0" applyFont="1" applyAlignment="1">
      <alignment wrapText="1"/>
    </xf>
    <xf numFmtId="0" fontId="5" fillId="0" borderId="1" xfId="0" applyFont="1" applyBorder="1"/>
    <xf numFmtId="1" fontId="0" fillId="0" borderId="0" xfId="0" applyNumberFormat="1"/>
    <xf numFmtId="0" fontId="7" fillId="0" borderId="0" xfId="0" applyFont="1"/>
    <xf numFmtId="169" fontId="0" fillId="0" borderId="0" xfId="0" applyNumberFormat="1"/>
    <xf numFmtId="17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10" fontId="0" fillId="0" borderId="0" xfId="8" applyNumberFormat="1" applyFont="1" applyFill="1"/>
    <xf numFmtId="0" fontId="0" fillId="0" borderId="1" xfId="0" applyBorder="1"/>
    <xf numFmtId="10" fontId="0" fillId="0" borderId="0" xfId="0" applyNumberFormat="1"/>
    <xf numFmtId="0" fontId="5" fillId="0" borderId="1" xfId="6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171" fontId="0" fillId="0" borderId="0" xfId="3" applyNumberFormat="1" applyFont="1" applyFill="1"/>
    <xf numFmtId="0" fontId="0" fillId="0" borderId="0" xfId="3" applyNumberFormat="1" applyFont="1" applyFill="1"/>
    <xf numFmtId="170" fontId="0" fillId="0" borderId="1" xfId="0" applyNumberFormat="1" applyBorder="1"/>
    <xf numFmtId="172" fontId="0" fillId="0" borderId="0" xfId="7" applyNumberFormat="1" applyFont="1" applyFill="1"/>
    <xf numFmtId="172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 applyBorder="1"/>
    <xf numFmtId="168" fontId="10" fillId="0" borderId="0" xfId="0" applyNumberFormat="1" applyFont="1"/>
    <xf numFmtId="167" fontId="10" fillId="0" borderId="0" xfId="0" applyNumberFormat="1" applyFont="1" applyAlignment="1">
      <alignment horizontal="left"/>
    </xf>
    <xf numFmtId="175" fontId="2" fillId="0" borderId="0" xfId="0" applyNumberFormat="1" applyFont="1"/>
    <xf numFmtId="168" fontId="0" fillId="0" borderId="0" xfId="0" applyNumberFormat="1"/>
    <xf numFmtId="17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74" fontId="0" fillId="0" borderId="0" xfId="0" applyNumberFormat="1"/>
    <xf numFmtId="175" fontId="2" fillId="3" borderId="0" xfId="0" applyNumberFormat="1" applyFont="1" applyFill="1"/>
    <xf numFmtId="164" fontId="0" fillId="0" borderId="1" xfId="0" applyNumberFormat="1" applyBorder="1"/>
    <xf numFmtId="9" fontId="0" fillId="0" borderId="0" xfId="8" applyFont="1" applyFill="1"/>
    <xf numFmtId="166" fontId="0" fillId="0" borderId="0" xfId="7" applyFont="1" applyFill="1"/>
    <xf numFmtId="166" fontId="0" fillId="0" borderId="1" xfId="7" applyFont="1" applyBorder="1"/>
    <xf numFmtId="3" fontId="11" fillId="0" borderId="1" xfId="0" applyNumberFormat="1" applyFont="1" applyBorder="1"/>
    <xf numFmtId="0" fontId="10" fillId="0" borderId="0" xfId="0" applyFont="1" applyProtection="1">
      <protection locked="0"/>
    </xf>
    <xf numFmtId="176" fontId="12" fillId="0" borderId="0" xfId="0" applyNumberFormat="1" applyFont="1" applyAlignment="1">
      <alignment horizontal="left"/>
    </xf>
    <xf numFmtId="2" fontId="0" fillId="0" borderId="0" xfId="8" applyNumberFormat="1" applyFont="1" applyFill="1"/>
    <xf numFmtId="177" fontId="0" fillId="0" borderId="0" xfId="8" applyNumberFormat="1" applyFont="1" applyFill="1"/>
    <xf numFmtId="3" fontId="0" fillId="0" borderId="2" xfId="0" applyNumberFormat="1" applyBorder="1"/>
    <xf numFmtId="2" fontId="0" fillId="0" borderId="0" xfId="0" applyNumberFormat="1"/>
    <xf numFmtId="0" fontId="11" fillId="0" borderId="1" xfId="0" applyFont="1" applyBorder="1"/>
    <xf numFmtId="0" fontId="11" fillId="0" borderId="0" xfId="0" applyFont="1"/>
    <xf numFmtId="0" fontId="13" fillId="0" borderId="1" xfId="6" applyFont="1" applyFill="1" applyBorder="1" applyAlignment="1">
      <alignment wrapText="1"/>
    </xf>
    <xf numFmtId="164" fontId="11" fillId="0" borderId="1" xfId="0" applyNumberFormat="1" applyFont="1" applyBorder="1"/>
    <xf numFmtId="0" fontId="14" fillId="0" borderId="0" xfId="0" applyFont="1"/>
    <xf numFmtId="166" fontId="11" fillId="0" borderId="1" xfId="7" applyFont="1" applyBorder="1"/>
    <xf numFmtId="175" fontId="10" fillId="0" borderId="0" xfId="0" applyNumberFormat="1" applyFont="1"/>
    <xf numFmtId="0" fontId="5" fillId="0" borderId="3" xfId="0" applyFont="1" applyBorder="1"/>
    <xf numFmtId="3" fontId="0" fillId="0" borderId="3" xfId="0" applyNumberFormat="1" applyBorder="1"/>
    <xf numFmtId="10" fontId="0" fillId="0" borderId="1" xfId="8" applyNumberFormat="1" applyFont="1" applyFill="1" applyBorder="1"/>
    <xf numFmtId="178" fontId="0" fillId="0" borderId="1" xfId="7" applyNumberFormat="1" applyFont="1" applyBorder="1"/>
    <xf numFmtId="3" fontId="0" fillId="3" borderId="1" xfId="0" applyNumberFormat="1" applyFill="1" applyBorder="1"/>
    <xf numFmtId="177" fontId="0" fillId="0" borderId="0" xfId="8" applyNumberFormat="1" applyFont="1"/>
    <xf numFmtId="0" fontId="0" fillId="3" borderId="0" xfId="0" applyFill="1"/>
    <xf numFmtId="168" fontId="0" fillId="3" borderId="0" xfId="0" applyNumberFormat="1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11" fillId="3" borderId="0" xfId="0" applyFont="1" applyFill="1"/>
  </cellXfs>
  <cellStyles count="9">
    <cellStyle name="20% - Accent4" xfId="6" builtinId="42"/>
    <cellStyle name="Comma" xfId="7" builtinId="3"/>
    <cellStyle name="Comma 2" xfId="4" xr:uid="{00000000-0005-0000-0000-000002000000}"/>
    <cellStyle name="Currency" xfId="3" builtinId="4"/>
    <cellStyle name="Normal" xfId="0" builtinId="0"/>
    <cellStyle name="Normal 2" xfId="2" xr:uid="{00000000-0005-0000-0000-000005000000}"/>
    <cellStyle name="Normal 3" xfId="1" xr:uid="{00000000-0005-0000-0000-000006000000}"/>
    <cellStyle name="Percent" xfId="8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FCC0C0"/>
      <color rgb="FFA1D99B"/>
      <color rgb="FFBD0026"/>
      <color rgb="FFC6DBEF"/>
      <color rgb="FFAC0000"/>
      <color rgb="FF006D2C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8240114900436644"/>
          <c:h val="0.87635785516796261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Analysis'!$D$12:$S$12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Analysis'!$D$13:$S$13</c:f>
              <c:numCache>
                <c:formatCode>#,##0</c:formatCode>
                <c:ptCount val="16"/>
                <c:pt idx="0">
                  <c:v>51973.697603558699</c:v>
                </c:pt>
                <c:pt idx="1">
                  <c:v>56666.112454933893</c:v>
                </c:pt>
                <c:pt idx="2">
                  <c:v>44937.520519309306</c:v>
                </c:pt>
                <c:pt idx="3">
                  <c:v>59198.640978272037</c:v>
                </c:pt>
                <c:pt idx="4">
                  <c:v>56329.608992591522</c:v>
                </c:pt>
                <c:pt idx="5">
                  <c:v>57464.242807637653</c:v>
                </c:pt>
                <c:pt idx="6">
                  <c:v>69794.073179431114</c:v>
                </c:pt>
                <c:pt idx="7">
                  <c:v>61397.692315455017</c:v>
                </c:pt>
                <c:pt idx="8">
                  <c:v>71583.008452963535</c:v>
                </c:pt>
                <c:pt idx="9">
                  <c:v>98840.488215304023</c:v>
                </c:pt>
                <c:pt idx="10">
                  <c:v>92474.862592499965</c:v>
                </c:pt>
                <c:pt idx="11">
                  <c:v>85257.018928119112</c:v>
                </c:pt>
                <c:pt idx="12">
                  <c:v>88804.581618704789</c:v>
                </c:pt>
                <c:pt idx="13">
                  <c:v>81074.569076714353</c:v>
                </c:pt>
                <c:pt idx="14">
                  <c:v>87148.083926034582</c:v>
                </c:pt>
                <c:pt idx="15">
                  <c:v>91167.929072687431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49F-8386-CE6506D8A256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Analysis'!$D$12:$S$12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Analysis'!$D$14:$S$14</c:f>
              <c:numCache>
                <c:formatCode>#,##0</c:formatCode>
                <c:ptCount val="16"/>
                <c:pt idx="0">
                  <c:v>49239.269482798176</c:v>
                </c:pt>
                <c:pt idx="1">
                  <c:v>49976.12039675127</c:v>
                </c:pt>
                <c:pt idx="2">
                  <c:v>48766.016484057545</c:v>
                </c:pt>
                <c:pt idx="3">
                  <c:v>63386.266260482938</c:v>
                </c:pt>
                <c:pt idx="4">
                  <c:v>61968.025350433243</c:v>
                </c:pt>
                <c:pt idx="5">
                  <c:v>67416.995124224806</c:v>
                </c:pt>
                <c:pt idx="6">
                  <c:v>82396.920927067535</c:v>
                </c:pt>
                <c:pt idx="7">
                  <c:v>67742.205374966987</c:v>
                </c:pt>
                <c:pt idx="8">
                  <c:v>62530.155095396694</c:v>
                </c:pt>
                <c:pt idx="9">
                  <c:v>79935.055157651863</c:v>
                </c:pt>
                <c:pt idx="10">
                  <c:v>73130.35687827527</c:v>
                </c:pt>
                <c:pt idx="11">
                  <c:v>64604.650585123461</c:v>
                </c:pt>
                <c:pt idx="12">
                  <c:v>58994.20655749947</c:v>
                </c:pt>
                <c:pt idx="13">
                  <c:v>60202.824608861942</c:v>
                </c:pt>
                <c:pt idx="14">
                  <c:v>56504.960154085202</c:v>
                </c:pt>
                <c:pt idx="15">
                  <c:v>59073.723769107884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8E-449F-8386-CE6506D8A256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Analysis'!$D$12:$S$12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Analysis'!$D$15:$S$15</c:f>
              <c:numCache>
                <c:formatCode>#,##0</c:formatCode>
                <c:ptCount val="16"/>
                <c:pt idx="0">
                  <c:v>43960.7250846362</c:v>
                </c:pt>
                <c:pt idx="1">
                  <c:v>34246.819280446383</c:v>
                </c:pt>
                <c:pt idx="2">
                  <c:v>36174.388943625905</c:v>
                </c:pt>
                <c:pt idx="3">
                  <c:v>37384.971406588673</c:v>
                </c:pt>
                <c:pt idx="4">
                  <c:v>44472.197288446165</c:v>
                </c:pt>
                <c:pt idx="5">
                  <c:v>43778.596546869732</c:v>
                </c:pt>
                <c:pt idx="6">
                  <c:v>45440.992056323419</c:v>
                </c:pt>
                <c:pt idx="7">
                  <c:v>43056.84679969983</c:v>
                </c:pt>
                <c:pt idx="8">
                  <c:v>34360.944570934378</c:v>
                </c:pt>
                <c:pt idx="9">
                  <c:v>44579.963009089915</c:v>
                </c:pt>
                <c:pt idx="10">
                  <c:v>39666.673313828331</c:v>
                </c:pt>
                <c:pt idx="11">
                  <c:v>43107.53585975957</c:v>
                </c:pt>
                <c:pt idx="12">
                  <c:v>37921.370126031456</c:v>
                </c:pt>
                <c:pt idx="13">
                  <c:v>38784.991525416524</c:v>
                </c:pt>
                <c:pt idx="14">
                  <c:v>36779.531796986594</c:v>
                </c:pt>
                <c:pt idx="15">
                  <c:v>40308.238609393782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8E-449F-8386-CE6506D8A256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Analysis'!$D$12:$S$12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Analysis'!$D$16:$S$16</c:f>
              <c:numCache>
                <c:formatCode>#,##0</c:formatCode>
                <c:ptCount val="16"/>
                <c:pt idx="0">
                  <c:v>56571.143189064765</c:v>
                </c:pt>
                <c:pt idx="1">
                  <c:v>53161.527204402541</c:v>
                </c:pt>
                <c:pt idx="2">
                  <c:v>65366.171881572096</c:v>
                </c:pt>
                <c:pt idx="3">
                  <c:v>60803.414475449827</c:v>
                </c:pt>
                <c:pt idx="4">
                  <c:v>69915.587695089474</c:v>
                </c:pt>
                <c:pt idx="5">
                  <c:v>72477.276756962761</c:v>
                </c:pt>
                <c:pt idx="6">
                  <c:v>86435.403905328872</c:v>
                </c:pt>
                <c:pt idx="7">
                  <c:v>73844.208541137181</c:v>
                </c:pt>
                <c:pt idx="8">
                  <c:v>68424.844442562317</c:v>
                </c:pt>
                <c:pt idx="9">
                  <c:v>71331.496438288319</c:v>
                </c:pt>
                <c:pt idx="10">
                  <c:v>66149.15462102645</c:v>
                </c:pt>
                <c:pt idx="11">
                  <c:v>65517.320623882668</c:v>
                </c:pt>
                <c:pt idx="12">
                  <c:v>58015.201156919415</c:v>
                </c:pt>
                <c:pt idx="13">
                  <c:v>62403.073352268089</c:v>
                </c:pt>
                <c:pt idx="14">
                  <c:v>51182.950111941354</c:v>
                </c:pt>
                <c:pt idx="15">
                  <c:v>52845.740887320128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E-449F-8386-CE6506D8A256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Analysis'!$D$12:$S$12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Analysis'!$D$17:$S$17</c:f>
              <c:numCache>
                <c:formatCode>#,##0</c:formatCode>
                <c:ptCount val="16"/>
                <c:pt idx="0">
                  <c:v>29905.327238756639</c:v>
                </c:pt>
                <c:pt idx="1">
                  <c:v>30539.476743784424</c:v>
                </c:pt>
                <c:pt idx="2">
                  <c:v>26936.238402300791</c:v>
                </c:pt>
                <c:pt idx="3">
                  <c:v>35214.347615577244</c:v>
                </c:pt>
                <c:pt idx="4">
                  <c:v>36169.875743068806</c:v>
                </c:pt>
                <c:pt idx="5">
                  <c:v>35472.08161187073</c:v>
                </c:pt>
                <c:pt idx="6">
                  <c:v>45157.628405643161</c:v>
                </c:pt>
                <c:pt idx="7">
                  <c:v>39400.755483494861</c:v>
                </c:pt>
                <c:pt idx="8">
                  <c:v>38863.368980494248</c:v>
                </c:pt>
                <c:pt idx="9">
                  <c:v>47287.425344592288</c:v>
                </c:pt>
                <c:pt idx="10">
                  <c:v>40424.108077554964</c:v>
                </c:pt>
                <c:pt idx="11">
                  <c:v>40186.615316008545</c:v>
                </c:pt>
                <c:pt idx="12">
                  <c:v>35366.499907570695</c:v>
                </c:pt>
                <c:pt idx="13">
                  <c:v>34381.187739704903</c:v>
                </c:pt>
                <c:pt idx="14">
                  <c:v>32704.238910009248</c:v>
                </c:pt>
                <c:pt idx="15">
                  <c:v>33840.213582031494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A8E-449F-8386-CE6506D8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</a:t>
                </a:r>
                <a:r>
                  <a:rPr lang="en-AU" b="1" baseline="0"/>
                  <a:t> cost per MVA of maximum demand served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474780704764409"/>
          <c:y val="0.17658347001097377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8931340501497362"/>
          <c:h val="0.87825667429318388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Analysis'!$D$20:$S$20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Analysis'!$D$21:$S$21</c:f>
              <c:numCache>
                <c:formatCode>#,##0.00</c:formatCode>
                <c:ptCount val="16"/>
                <c:pt idx="0">
                  <c:v>13.692518582126285</c:v>
                </c:pt>
                <c:pt idx="1">
                  <c:v>16.106598736617276</c:v>
                </c:pt>
                <c:pt idx="2">
                  <c:v>14.504106125878291</c:v>
                </c:pt>
                <c:pt idx="3">
                  <c:v>18.684772137832564</c:v>
                </c:pt>
                <c:pt idx="4">
                  <c:v>17.432932795293183</c:v>
                </c:pt>
                <c:pt idx="5">
                  <c:v>18.116827147104601</c:v>
                </c:pt>
                <c:pt idx="6">
                  <c:v>20.988535544400452</c:v>
                </c:pt>
                <c:pt idx="7">
                  <c:v>18.927572165366989</c:v>
                </c:pt>
                <c:pt idx="8">
                  <c:v>17.589458693106831</c:v>
                </c:pt>
                <c:pt idx="9">
                  <c:v>23.325301230315208</c:v>
                </c:pt>
                <c:pt idx="10">
                  <c:v>21.23391717516381</c:v>
                </c:pt>
                <c:pt idx="11">
                  <c:v>20.236024823616489</c:v>
                </c:pt>
                <c:pt idx="12">
                  <c:v>25.816971138815457</c:v>
                </c:pt>
                <c:pt idx="13">
                  <c:v>21.674561628688753</c:v>
                </c:pt>
                <c:pt idx="14">
                  <c:v>22.090133346481565</c:v>
                </c:pt>
                <c:pt idx="15">
                  <c:v>22.200188816838679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EA0-496A-88BF-61D2C64237FC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Analysis'!$D$20:$S$20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Analysis'!$D$22:$S$22</c:f>
              <c:numCache>
                <c:formatCode>#,##0.00</c:formatCode>
                <c:ptCount val="16"/>
                <c:pt idx="0">
                  <c:v>10.640158869079183</c:v>
                </c:pt>
                <c:pt idx="1">
                  <c:v>11.288269130111999</c:v>
                </c:pt>
                <c:pt idx="2">
                  <c:v>11.063023181940881</c:v>
                </c:pt>
                <c:pt idx="3">
                  <c:v>14.657263334240803</c:v>
                </c:pt>
                <c:pt idx="4">
                  <c:v>14.360808802928153</c:v>
                </c:pt>
                <c:pt idx="5">
                  <c:v>15.501637021534876</c:v>
                </c:pt>
                <c:pt idx="6">
                  <c:v>18.906889217799964</c:v>
                </c:pt>
                <c:pt idx="7">
                  <c:v>16.017430162879929</c:v>
                </c:pt>
                <c:pt idx="8">
                  <c:v>15.118802737538697</c:v>
                </c:pt>
                <c:pt idx="9">
                  <c:v>17.8161597809769</c:v>
                </c:pt>
                <c:pt idx="10">
                  <c:v>16.591283303726939</c:v>
                </c:pt>
                <c:pt idx="11">
                  <c:v>14.752724049438392</c:v>
                </c:pt>
                <c:pt idx="12">
                  <c:v>13.252139345777726</c:v>
                </c:pt>
                <c:pt idx="13">
                  <c:v>13.993056942170984</c:v>
                </c:pt>
                <c:pt idx="14">
                  <c:v>13.396310432558399</c:v>
                </c:pt>
                <c:pt idx="15">
                  <c:v>13.705690631995456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A0-496A-88BF-61D2C64237FC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Analysis'!$D$20:$S$20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Analysis'!$D$23:$S$23</c:f>
              <c:numCache>
                <c:formatCode>#,##0.00</c:formatCode>
                <c:ptCount val="16"/>
                <c:pt idx="0">
                  <c:v>7.8285436734106044</c:v>
                </c:pt>
                <c:pt idx="1">
                  <c:v>7.0929956535037153</c:v>
                </c:pt>
                <c:pt idx="2">
                  <c:v>7.8872935590695281</c:v>
                </c:pt>
                <c:pt idx="3">
                  <c:v>8.0722339911139649</c:v>
                </c:pt>
                <c:pt idx="4">
                  <c:v>8.9671331003700843</c:v>
                </c:pt>
                <c:pt idx="5">
                  <c:v>8.7586680496057792</c:v>
                </c:pt>
                <c:pt idx="6">
                  <c:v>8.5401205091357557</c:v>
                </c:pt>
                <c:pt idx="7">
                  <c:v>8.399541361463255</c:v>
                </c:pt>
                <c:pt idx="8">
                  <c:v>7.267093469940118</c:v>
                </c:pt>
                <c:pt idx="9">
                  <c:v>8.4556747743276421</c:v>
                </c:pt>
                <c:pt idx="10">
                  <c:v>8.0300374010227333</c:v>
                </c:pt>
                <c:pt idx="11">
                  <c:v>8.875319507659853</c:v>
                </c:pt>
                <c:pt idx="12">
                  <c:v>9.3303038700011829</c:v>
                </c:pt>
                <c:pt idx="13">
                  <c:v>9.266072347679529</c:v>
                </c:pt>
                <c:pt idx="14">
                  <c:v>8.9798589593690217</c:v>
                </c:pt>
                <c:pt idx="15">
                  <c:v>8.5308246493197348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A0-496A-88BF-61D2C64237FC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Analysis'!$D$20:$S$20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Analysis'!$D$24:$S$24</c:f>
              <c:numCache>
                <c:formatCode>#,##0.00</c:formatCode>
                <c:ptCount val="16"/>
                <c:pt idx="0">
                  <c:v>14.420625139066743</c:v>
                </c:pt>
                <c:pt idx="1">
                  <c:v>11.149940738279822</c:v>
                </c:pt>
                <c:pt idx="2">
                  <c:v>12.706198441881723</c:v>
                </c:pt>
                <c:pt idx="3">
                  <c:v>12.041049044133956</c:v>
                </c:pt>
                <c:pt idx="4">
                  <c:v>14.135671620494984</c:v>
                </c:pt>
                <c:pt idx="5">
                  <c:v>14.362887458021007</c:v>
                </c:pt>
                <c:pt idx="6">
                  <c:v>17.777457804314086</c:v>
                </c:pt>
                <c:pt idx="7">
                  <c:v>14.605322738361449</c:v>
                </c:pt>
                <c:pt idx="8">
                  <c:v>12.850179628105591</c:v>
                </c:pt>
                <c:pt idx="9">
                  <c:v>13.629503351082164</c:v>
                </c:pt>
                <c:pt idx="10">
                  <c:v>14.300204919529396</c:v>
                </c:pt>
                <c:pt idx="11">
                  <c:v>13.305421682271673</c:v>
                </c:pt>
                <c:pt idx="12">
                  <c:v>11.829257296337417</c:v>
                </c:pt>
                <c:pt idx="13">
                  <c:v>11.594729863905203</c:v>
                </c:pt>
                <c:pt idx="14">
                  <c:v>10.144781117583197</c:v>
                </c:pt>
                <c:pt idx="15">
                  <c:v>9.8672599455950945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EA0-496A-88BF-61D2C64237FC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Analysis'!$D$20:$S$20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Analysis'!$D$25:$S$25</c:f>
              <c:numCache>
                <c:formatCode>#,##0.00</c:formatCode>
                <c:ptCount val="16"/>
                <c:pt idx="0">
                  <c:v>6.678244855771422</c:v>
                </c:pt>
                <c:pt idx="1">
                  <c:v>6.8437863546312085</c:v>
                </c:pt>
                <c:pt idx="2">
                  <c:v>6.0728973852459962</c:v>
                </c:pt>
                <c:pt idx="3">
                  <c:v>8.1197077732588721</c:v>
                </c:pt>
                <c:pt idx="4">
                  <c:v>8.4815217313151408</c:v>
                </c:pt>
                <c:pt idx="5">
                  <c:v>8.6235386374723326</c:v>
                </c:pt>
                <c:pt idx="6">
                  <c:v>10.611453150151133</c:v>
                </c:pt>
                <c:pt idx="7">
                  <c:v>9.64237897908313</c:v>
                </c:pt>
                <c:pt idx="8">
                  <c:v>9.7445024969935279</c:v>
                </c:pt>
                <c:pt idx="9">
                  <c:v>10.487130620776515</c:v>
                </c:pt>
                <c:pt idx="10">
                  <c:v>10.078032484708993</c:v>
                </c:pt>
                <c:pt idx="11">
                  <c:v>10.019862752124798</c:v>
                </c:pt>
                <c:pt idx="12">
                  <c:v>8.6430680091156926</c:v>
                </c:pt>
                <c:pt idx="13">
                  <c:v>8.6415082087699151</c:v>
                </c:pt>
                <c:pt idx="14">
                  <c:v>8.4788767544468424</c:v>
                </c:pt>
                <c:pt idx="15">
                  <c:v>8.7804200738791405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A0-496A-88BF-61D2C64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 </a:t>
                </a:r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249796125353783"/>
          <c:y val="0.1864118465290705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Analysis'!$D$44:$S$44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Analysis'!$D$45:$S$45</c:f>
              <c:numCache>
                <c:formatCode>#,##0</c:formatCode>
                <c:ptCount val="16"/>
                <c:pt idx="0">
                  <c:v>36919.971433227722</c:v>
                </c:pt>
                <c:pt idx="1">
                  <c:v>40829.597635184939</c:v>
                </c:pt>
                <c:pt idx="2">
                  <c:v>34385.453758994074</c:v>
                </c:pt>
                <c:pt idx="3">
                  <c:v>45878.177043782365</c:v>
                </c:pt>
                <c:pt idx="4">
                  <c:v>43875.543911729968</c:v>
                </c:pt>
                <c:pt idx="5">
                  <c:v>45686.563614038772</c:v>
                </c:pt>
                <c:pt idx="6">
                  <c:v>53412.155111139306</c:v>
                </c:pt>
                <c:pt idx="7">
                  <c:v>48912.012746047454</c:v>
                </c:pt>
                <c:pt idx="8">
                  <c:v>44398.296268545448</c:v>
                </c:pt>
                <c:pt idx="9">
                  <c:v>56842.924649400724</c:v>
                </c:pt>
                <c:pt idx="10">
                  <c:v>54764.896044033492</c:v>
                </c:pt>
                <c:pt idx="11">
                  <c:v>53252.107359775095</c:v>
                </c:pt>
                <c:pt idx="12">
                  <c:v>53506.313981312727</c:v>
                </c:pt>
                <c:pt idx="13">
                  <c:v>54206.228808925945</c:v>
                </c:pt>
                <c:pt idx="14">
                  <c:v>55455.727193929728</c:v>
                </c:pt>
                <c:pt idx="15">
                  <c:v>54831.953250381826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A-4E0A-B7DF-0179FE5A49E3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Analysis'!$D$44:$S$44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Analysis'!$D$46:$S$46</c:f>
              <c:numCache>
                <c:formatCode>#,##0</c:formatCode>
                <c:ptCount val="16"/>
                <c:pt idx="0">
                  <c:v>46418.805609197902</c:v>
                </c:pt>
                <c:pt idx="1">
                  <c:v>49323.025174646216</c:v>
                </c:pt>
                <c:pt idx="2">
                  <c:v>45562.451065708221</c:v>
                </c:pt>
                <c:pt idx="3">
                  <c:v>59462.50939195689</c:v>
                </c:pt>
                <c:pt idx="4">
                  <c:v>56973.335552823548</c:v>
                </c:pt>
                <c:pt idx="5">
                  <c:v>58580.299950436201</c:v>
                </c:pt>
                <c:pt idx="6">
                  <c:v>70203.440160762606</c:v>
                </c:pt>
                <c:pt idx="7">
                  <c:v>55206.826933844182</c:v>
                </c:pt>
                <c:pt idx="8">
                  <c:v>48729.757667032398</c:v>
                </c:pt>
                <c:pt idx="9">
                  <c:v>64103.596351116335</c:v>
                </c:pt>
                <c:pt idx="10">
                  <c:v>59450.426032140582</c:v>
                </c:pt>
                <c:pt idx="11">
                  <c:v>55075.449095584831</c:v>
                </c:pt>
                <c:pt idx="12">
                  <c:v>50034.621359507859</c:v>
                </c:pt>
                <c:pt idx="13">
                  <c:v>51791.991270251827</c:v>
                </c:pt>
                <c:pt idx="14">
                  <c:v>48941.198117500164</c:v>
                </c:pt>
                <c:pt idx="15">
                  <c:v>48831.404217219788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A-4E0A-B7DF-0179FE5A49E3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Analysis'!$D$44:$S$44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Analysis'!$D$47:$S$47</c:f>
              <c:numCache>
                <c:formatCode>#,##0</c:formatCode>
                <c:ptCount val="16"/>
                <c:pt idx="0">
                  <c:v>53817.574999898774</c:v>
                </c:pt>
                <c:pt idx="1">
                  <c:v>49592.090128477699</c:v>
                </c:pt>
                <c:pt idx="2">
                  <c:v>54053.961506349384</c:v>
                </c:pt>
                <c:pt idx="3">
                  <c:v>58235.008204960948</c:v>
                </c:pt>
                <c:pt idx="4">
                  <c:v>66815.763879871854</c:v>
                </c:pt>
                <c:pt idx="5">
                  <c:v>64024.98530053172</c:v>
                </c:pt>
                <c:pt idx="6">
                  <c:v>61753.609147246883</c:v>
                </c:pt>
                <c:pt idx="7">
                  <c:v>62688.49841243383</c:v>
                </c:pt>
                <c:pt idx="8">
                  <c:v>53625.6567165007</c:v>
                </c:pt>
                <c:pt idx="9">
                  <c:v>61704.193260571839</c:v>
                </c:pt>
                <c:pt idx="10">
                  <c:v>58528.281450982169</c:v>
                </c:pt>
                <c:pt idx="11">
                  <c:v>63357.74132677084</c:v>
                </c:pt>
                <c:pt idx="12">
                  <c:v>58774.665743086873</c:v>
                </c:pt>
                <c:pt idx="13">
                  <c:v>57991.847731205817</c:v>
                </c:pt>
                <c:pt idx="14">
                  <c:v>55401.5726388896</c:v>
                </c:pt>
                <c:pt idx="15">
                  <c:v>53534.401475597166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0A-4E0A-B7DF-0179FE5A49E3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Analysis'!$D$44:$S$44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Analysis'!$D$48:$S$48</c:f>
              <c:numCache>
                <c:formatCode>#,##0</c:formatCode>
                <c:ptCount val="16"/>
                <c:pt idx="0">
                  <c:v>42401.014067067255</c:v>
                </c:pt>
                <c:pt idx="1">
                  <c:v>39487.876959787296</c:v>
                </c:pt>
                <c:pt idx="2">
                  <c:v>47356.088936387976</c:v>
                </c:pt>
                <c:pt idx="3">
                  <c:v>45877.655587817797</c:v>
                </c:pt>
                <c:pt idx="4">
                  <c:v>52908.625506975317</c:v>
                </c:pt>
                <c:pt idx="5">
                  <c:v>53896.055752120701</c:v>
                </c:pt>
                <c:pt idx="6">
                  <c:v>64069.906018789974</c:v>
                </c:pt>
                <c:pt idx="7">
                  <c:v>53641.06090518448</c:v>
                </c:pt>
                <c:pt idx="8">
                  <c:v>48997.641048686812</c:v>
                </c:pt>
                <c:pt idx="9">
                  <c:v>50138.245464287276</c:v>
                </c:pt>
                <c:pt idx="10">
                  <c:v>46766.785943731556</c:v>
                </c:pt>
                <c:pt idx="11">
                  <c:v>46396.297000052029</c:v>
                </c:pt>
                <c:pt idx="12">
                  <c:v>41489.575476748061</c:v>
                </c:pt>
                <c:pt idx="13">
                  <c:v>42139.523554285122</c:v>
                </c:pt>
                <c:pt idx="14">
                  <c:v>37583.835576562597</c:v>
                </c:pt>
                <c:pt idx="15">
                  <c:v>38020.760041760361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A-4E0A-B7DF-0179FE5A49E3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Analysis'!$D$44:$S$44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Analysis'!$D$49:$S$49</c:f>
              <c:numCache>
                <c:formatCode>#,##0</c:formatCode>
                <c:ptCount val="16"/>
                <c:pt idx="0">
                  <c:v>43482.217093011292</c:v>
                </c:pt>
                <c:pt idx="1">
                  <c:v>45346.62830911747</c:v>
                </c:pt>
                <c:pt idx="2">
                  <c:v>40005.866906268842</c:v>
                </c:pt>
                <c:pt idx="3">
                  <c:v>52582.444233670583</c:v>
                </c:pt>
                <c:pt idx="4">
                  <c:v>53902.058862875128</c:v>
                </c:pt>
                <c:pt idx="5">
                  <c:v>54263.193291891897</c:v>
                </c:pt>
                <c:pt idx="6">
                  <c:v>64017.016600704141</c:v>
                </c:pt>
                <c:pt idx="7">
                  <c:v>53171.514665963048</c:v>
                </c:pt>
                <c:pt idx="8">
                  <c:v>51097.783397374849</c:v>
                </c:pt>
                <c:pt idx="9">
                  <c:v>59904.538492702573</c:v>
                </c:pt>
                <c:pt idx="10">
                  <c:v>55803.594117274057</c:v>
                </c:pt>
                <c:pt idx="11">
                  <c:v>57461.629485393518</c:v>
                </c:pt>
                <c:pt idx="12">
                  <c:v>49985.1417826705</c:v>
                </c:pt>
                <c:pt idx="13">
                  <c:v>49257.564229343152</c:v>
                </c:pt>
                <c:pt idx="14">
                  <c:v>47355.864482376288</c:v>
                </c:pt>
                <c:pt idx="15">
                  <c:v>48015.201747291852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A-4E0A-B7DF-0179FE5A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transmission circuit length </a:t>
                </a:r>
              </a:p>
            </c:rich>
          </c:tx>
          <c:layout>
            <c:manualLayout>
              <c:xMode val="edge"/>
              <c:yMode val="edge"/>
              <c:x val="3.2768806438034599E-2"/>
              <c:y val="0.1160253105624192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9307153649565545"/>
          <c:h val="0.87655196513202349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Analysis'!$D$28:$S$28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Analysis'!$D$29:$S$29</c:f>
              <c:numCache>
                <c:formatCode>#,##0</c:formatCode>
                <c:ptCount val="16"/>
                <c:pt idx="0">
                  <c:v>265.4871416180722</c:v>
                </c:pt>
                <c:pt idx="1">
                  <c:v>289.09099100077287</c:v>
                </c:pt>
                <c:pt idx="2">
                  <c:v>242.93881490531942</c:v>
                </c:pt>
                <c:pt idx="3">
                  <c:v>310.01661303941921</c:v>
                </c:pt>
                <c:pt idx="4">
                  <c:v>291.89749468816478</c:v>
                </c:pt>
                <c:pt idx="5">
                  <c:v>300.80486384595179</c:v>
                </c:pt>
                <c:pt idx="6">
                  <c:v>349.65137194662401</c:v>
                </c:pt>
                <c:pt idx="7">
                  <c:v>318.90140055139352</c:v>
                </c:pt>
                <c:pt idx="8">
                  <c:v>288.21992292452455</c:v>
                </c:pt>
                <c:pt idx="9">
                  <c:v>367.53166815199222</c:v>
                </c:pt>
                <c:pt idx="10">
                  <c:v>352.34569604133998</c:v>
                </c:pt>
                <c:pt idx="11">
                  <c:v>334.65655049067703</c:v>
                </c:pt>
                <c:pt idx="12">
                  <c:v>330.35766932567049</c:v>
                </c:pt>
                <c:pt idx="13">
                  <c:v>329.75261701988029</c:v>
                </c:pt>
                <c:pt idx="14">
                  <c:v>334.67227556583958</c:v>
                </c:pt>
                <c:pt idx="15">
                  <c:v>328.40180206719464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EE8-A140-D8A934B90B89}"/>
            </c:ext>
          </c:extLst>
        </c:ser>
        <c:ser>
          <c:idx val="3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Analysis'!$D$28:$S$28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Analysis'!$D$30:$S$30</c:f>
              <c:numCache>
                <c:formatCode>#,##0</c:formatCode>
                <c:ptCount val="16"/>
                <c:pt idx="0">
                  <c:v>295.79515569580383</c:v>
                </c:pt>
                <c:pt idx="1">
                  <c:v>313.47870757939233</c:v>
                </c:pt>
                <c:pt idx="2">
                  <c:v>296.253716255776</c:v>
                </c:pt>
                <c:pt idx="3">
                  <c:v>392.17208080493054</c:v>
                </c:pt>
                <c:pt idx="4">
                  <c:v>382.43487965034745</c:v>
                </c:pt>
                <c:pt idx="5">
                  <c:v>399.3007236778933</c:v>
                </c:pt>
                <c:pt idx="6">
                  <c:v>470.82482499697801</c:v>
                </c:pt>
                <c:pt idx="7">
                  <c:v>381.71426233584526</c:v>
                </c:pt>
                <c:pt idx="8">
                  <c:v>343.0498882423222</c:v>
                </c:pt>
                <c:pt idx="9">
                  <c:v>444.98929412584675</c:v>
                </c:pt>
                <c:pt idx="10">
                  <c:v>405.95617901968455</c:v>
                </c:pt>
                <c:pt idx="11">
                  <c:v>364.84772361346268</c:v>
                </c:pt>
                <c:pt idx="12">
                  <c:v>325.38125095414955</c:v>
                </c:pt>
                <c:pt idx="13">
                  <c:v>332.56440122424272</c:v>
                </c:pt>
                <c:pt idx="14">
                  <c:v>312.05933835037416</c:v>
                </c:pt>
                <c:pt idx="15">
                  <c:v>308.176567162639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9-4EE8-A140-D8A934B90B89}"/>
            </c:ext>
          </c:extLst>
        </c:ser>
        <c:ser>
          <c:idx val="4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Analysis'!$D$28:$S$28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Analysis'!$D$31:$S$31</c:f>
              <c:numCache>
                <c:formatCode>#,##0</c:formatCode>
                <c:ptCount val="16"/>
                <c:pt idx="0">
                  <c:v>143.20129131015668</c:v>
                </c:pt>
                <c:pt idx="1">
                  <c:v>129.88218377710635</c:v>
                </c:pt>
                <c:pt idx="2">
                  <c:v>139.56287540043613</c:v>
                </c:pt>
                <c:pt idx="3">
                  <c:v>148.42332355551159</c:v>
                </c:pt>
                <c:pt idx="4">
                  <c:v>167.97793437863507</c:v>
                </c:pt>
                <c:pt idx="5">
                  <c:v>158.88509164635846</c:v>
                </c:pt>
                <c:pt idx="6">
                  <c:v>150.80273127709157</c:v>
                </c:pt>
                <c:pt idx="7">
                  <c:v>150.71074466855578</c:v>
                </c:pt>
                <c:pt idx="8">
                  <c:v>127.67681018615731</c:v>
                </c:pt>
                <c:pt idx="9">
                  <c:v>144.42645772558816</c:v>
                </c:pt>
                <c:pt idx="10">
                  <c:v>134.33248482738637</c:v>
                </c:pt>
                <c:pt idx="11">
                  <c:v>142.62615160081211</c:v>
                </c:pt>
                <c:pt idx="12">
                  <c:v>131.56528096132507</c:v>
                </c:pt>
                <c:pt idx="13">
                  <c:v>127.30467792735396</c:v>
                </c:pt>
                <c:pt idx="14">
                  <c:v>121.9993346028689</c:v>
                </c:pt>
                <c:pt idx="15">
                  <c:v>116.90428883447822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F9-4EE8-A140-D8A934B90B89}"/>
            </c:ext>
          </c:extLst>
        </c:ser>
        <c:ser>
          <c:idx val="5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Analysis'!$D$28:$S$28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Analysis'!$D$32:$S$32</c:f>
              <c:numCache>
                <c:formatCode>#,##0</c:formatCode>
                <c:ptCount val="16"/>
                <c:pt idx="0">
                  <c:v>605.84592403973397</c:v>
                </c:pt>
                <c:pt idx="1">
                  <c:v>559.86567028634204</c:v>
                </c:pt>
                <c:pt idx="2">
                  <c:v>658.68656520609488</c:v>
                </c:pt>
                <c:pt idx="3">
                  <c:v>608.38016353729495</c:v>
                </c:pt>
                <c:pt idx="4">
                  <c:v>680.66038073075083</c:v>
                </c:pt>
                <c:pt idx="5">
                  <c:v>682.52211895831852</c:v>
                </c:pt>
                <c:pt idx="6">
                  <c:v>803.95773835256432</c:v>
                </c:pt>
                <c:pt idx="7">
                  <c:v>671.44092269369821</c:v>
                </c:pt>
                <c:pt idx="8">
                  <c:v>611.49754125160769</c:v>
                </c:pt>
                <c:pt idx="9">
                  <c:v>631.2382413598599</c:v>
                </c:pt>
                <c:pt idx="10">
                  <c:v>584.11564029677095</c:v>
                </c:pt>
                <c:pt idx="11">
                  <c:v>574.80139530510098</c:v>
                </c:pt>
                <c:pt idx="12">
                  <c:v>510.83866894090079</c:v>
                </c:pt>
                <c:pt idx="13">
                  <c:v>514.35736386333986</c:v>
                </c:pt>
                <c:pt idx="14">
                  <c:v>428.39417225929463</c:v>
                </c:pt>
                <c:pt idx="15">
                  <c:v>427.93856337015552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9-4EE8-A140-D8A934B90B89}"/>
            </c:ext>
          </c:extLst>
        </c:ser>
        <c:ser>
          <c:idx val="0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Analysis'!$D$28:$S$28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'TNSP Analysis'!$D$33:$S$33</c:f>
              <c:numCache>
                <c:formatCode>#,##0</c:formatCode>
                <c:ptCount val="16"/>
                <c:pt idx="0">
                  <c:v>162.50562115718742</c:v>
                </c:pt>
                <c:pt idx="1">
                  <c:v>167.9140876075478</c:v>
                </c:pt>
                <c:pt idx="2">
                  <c:v>146.61139744052437</c:v>
                </c:pt>
                <c:pt idx="3">
                  <c:v>191.01480548324935</c:v>
                </c:pt>
                <c:pt idx="4">
                  <c:v>196.83142422206961</c:v>
                </c:pt>
                <c:pt idx="5">
                  <c:v>196.21434231542818</c:v>
                </c:pt>
                <c:pt idx="6">
                  <c:v>229.81136089321046</c:v>
                </c:pt>
                <c:pt idx="7">
                  <c:v>191.71849924477965</c:v>
                </c:pt>
                <c:pt idx="8">
                  <c:v>182.29960155071802</c:v>
                </c:pt>
                <c:pt idx="9">
                  <c:v>212.35463146715466</c:v>
                </c:pt>
                <c:pt idx="10">
                  <c:v>195.5657090707947</c:v>
                </c:pt>
                <c:pt idx="11">
                  <c:v>199.09335285597217</c:v>
                </c:pt>
                <c:pt idx="12">
                  <c:v>170.54701244122569</c:v>
                </c:pt>
                <c:pt idx="13">
                  <c:v>165.32974900565597</c:v>
                </c:pt>
                <c:pt idx="14">
                  <c:v>156.70389125550926</c:v>
                </c:pt>
                <c:pt idx="15">
                  <c:v>156.93327564499688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9-4EE8-A140-D8A934B9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end user</a:t>
                </a:r>
              </a:p>
            </c:rich>
          </c:tx>
          <c:layout>
            <c:manualLayout>
              <c:xMode val="edge"/>
              <c:yMode val="edge"/>
              <c:x val="3.1167807013700782E-2"/>
              <c:y val="0.3077590335473139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94902893509872"/>
          <c:y val="0.1864118231630780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899903690436"/>
          <c:y val="3.7448982602920851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data'!$T$40:$T$44</c:f>
              <c:numCache>
                <c:formatCode>#,##0.0</c:formatCode>
                <c:ptCount val="5"/>
                <c:pt idx="0">
                  <c:v>163.62832487026128</c:v>
                </c:pt>
                <c:pt idx="1">
                  <c:v>155.14956140590917</c:v>
                </c:pt>
                <c:pt idx="2">
                  <c:v>451.70790563838426</c:v>
                </c:pt>
                <c:pt idx="3">
                  <c:v>84.088079262570545</c:v>
                </c:pt>
                <c:pt idx="4">
                  <c:v>297.5595951854724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data'!$S$47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data'!$S$48:$S$52</c:f>
              <c:numCache>
                <c:formatCode>_(* #,##0_);_(* \(#,##0\);_(* "-"??_);_(@_)</c:formatCode>
                <c:ptCount val="5"/>
                <c:pt idx="0">
                  <c:v>920841</c:v>
                </c:pt>
                <c:pt idx="1">
                  <c:v>2302983</c:v>
                </c:pt>
                <c:pt idx="2">
                  <c:v>3083734</c:v>
                </c:pt>
                <c:pt idx="3">
                  <c:v>297656</c:v>
                </c:pt>
                <c:pt idx="4">
                  <c:v>3989236.5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5515.1390000000001</c:v>
                </c:pt>
                <c:pt idx="1">
                  <c:v>14534.2</c:v>
                </c:pt>
                <c:pt idx="2">
                  <c:v>6734.02</c:v>
                </c:pt>
                <c:pt idx="3">
                  <c:v>3350.2350000000001</c:v>
                </c:pt>
                <c:pt idx="4">
                  <c:v>13038.453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#,##0</c:formatCode>
                <c:ptCount val="5"/>
                <c:pt idx="0">
                  <c:v>13621.768999909813</c:v>
                </c:pt>
                <c:pt idx="1">
                  <c:v>51783.263917914992</c:v>
                </c:pt>
                <c:pt idx="2">
                  <c:v>42258.720000000001</c:v>
                </c:pt>
                <c:pt idx="3">
                  <c:v>12909.204958704959</c:v>
                </c:pt>
                <c:pt idx="4">
                  <c:v>71300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data'!$S$10</c:f>
              <c:strCache>
                <c:ptCount val="1"/>
                <c:pt idx="0">
                  <c:v>2021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data'!$S$11:$S$15</c:f>
              <c:numCache>
                <c:formatCode>#,##0</c:formatCode>
                <c:ptCount val="5"/>
                <c:pt idx="0">
                  <c:v>3317.0199969799901</c:v>
                </c:pt>
                <c:pt idx="1">
                  <c:v>12014.231537999995</c:v>
                </c:pt>
                <c:pt idx="2">
                  <c:v>8943.6239999999998</c:v>
                </c:pt>
                <c:pt idx="3">
                  <c:v>2410.3831052365917</c:v>
                </c:pt>
                <c:pt idx="4">
                  <c:v>18500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data'!$A$32</c:f>
              <c:strCache>
                <c:ptCount val="1"/>
                <c:pt idx="0">
                  <c:v>Circuit line length (km)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5B-45E0-9232-08A9576E74B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5B-45E0-9232-08A9576E74B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5B-45E0-9232-08A9576E74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5B-45E0-9232-08A9576E74B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5B-45E0-9232-08A9576E74B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35B-45E0-9232-08A9576E74B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35B-45E0-9232-08A9576E74B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35B-45E0-9232-08A9576E74B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35B-45E0-9232-08A9576E74B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35B-45E0-9232-08A9576E74B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35B-45E0-9232-08A9576E74B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35B-45E0-9232-08A9576E74B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35B-45E0-9232-08A9576E74BD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data'!$S$33:$S$37</c:f>
              <c:numCache>
                <c:formatCode>#,##0</c:formatCode>
                <c:ptCount val="5"/>
                <c:pt idx="0">
                  <c:v>5515.1390000000001</c:v>
                </c:pt>
                <c:pt idx="1">
                  <c:v>14534.2</c:v>
                </c:pt>
                <c:pt idx="2">
                  <c:v>6734.02</c:v>
                </c:pt>
                <c:pt idx="3">
                  <c:v>3350.2350000000001</c:v>
                </c:pt>
                <c:pt idx="4">
                  <c:v>13038.453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5B-45E0-9232-08A9576E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data'!$D$24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5515.1390000000001</c:v>
                </c:pt>
                <c:pt idx="1">
                  <c:v>14534.2</c:v>
                </c:pt>
                <c:pt idx="2">
                  <c:v>6734.02</c:v>
                </c:pt>
                <c:pt idx="3">
                  <c:v>3350.2350000000001</c:v>
                </c:pt>
                <c:pt idx="4">
                  <c:v>13038.453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data'!$B$3:$B$7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data'!$R$3:$R$7</c:f>
              <c:numCache>
                <c:formatCode>#,##0</c:formatCode>
                <c:ptCount val="5"/>
                <c:pt idx="0">
                  <c:v>13856515.144038128</c:v>
                </c:pt>
                <c:pt idx="1">
                  <c:v>53076368.905469991</c:v>
                </c:pt>
                <c:pt idx="2">
                  <c:v>41527840.000000007</c:v>
                </c:pt>
                <c:pt idx="3">
                  <c:v>12412888.664812012</c:v>
                </c:pt>
                <c:pt idx="4">
                  <c:v>72900000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(MWh)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063691747995"/>
          <c:y val="3.744907165641771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data'!$R$11:$R$15</c:f>
              <c:numCache>
                <c:formatCode>#,##0</c:formatCode>
                <c:ptCount val="5"/>
                <c:pt idx="0">
                  <c:v>3512.323547</c:v>
                </c:pt>
                <c:pt idx="1">
                  <c:v>12583.453072999999</c:v>
                </c:pt>
                <c:pt idx="2">
                  <c:v>10139.175999999999</c:v>
                </c:pt>
                <c:pt idx="3">
                  <c:v>2460.3122380799996</c:v>
                </c:pt>
                <c:pt idx="4">
                  <c:v>18900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2399</xdr:rowOff>
    </xdr:from>
    <xdr:to>
      <xdr:col>12</xdr:col>
      <xdr:colOff>11206</xdr:colOff>
      <xdr:row>24</xdr:row>
      <xdr:rowOff>78442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12</xdr:col>
      <xdr:colOff>593912</xdr:colOff>
      <xdr:row>99</xdr:row>
      <xdr:rowOff>169333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126465</xdr:colOff>
      <xdr:row>53</xdr:row>
      <xdr:rowOff>95249</xdr:rowOff>
    </xdr:from>
    <xdr:to>
      <xdr:col>12</xdr:col>
      <xdr:colOff>59871</xdr:colOff>
      <xdr:row>74</xdr:row>
      <xdr:rowOff>95251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5868</xdr:rowOff>
    </xdr:from>
    <xdr:to>
      <xdr:col>25</xdr:col>
      <xdr:colOff>133350</xdr:colOff>
      <xdr:row>25</xdr:row>
      <xdr:rowOff>42899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129</xdr:row>
      <xdr:rowOff>0</xdr:rowOff>
    </xdr:from>
    <xdr:to>
      <xdr:col>26</xdr:col>
      <xdr:colOff>133350</xdr:colOff>
      <xdr:row>152</xdr:row>
      <xdr:rowOff>53732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3A11A41-3FD1-45F3-9C8B-C6219ED9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ran\AppData\Local\Microsoft\Windows\INetCache\Content.Outlook\RPBKME7N\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NSP%20AUC%20calculation%20(2021%20updat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WACC%20Confidential\CONFIDENTIAL%20-%20WACC%20data%20-%202019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AER%20benchmarking%20spreadsheets%20MASTER\WACC%20(Confidential)\CONFIDENTIAL%20-%20WACC%20data%20-%202020%20upd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TNSP%20consolidated%20benchmarking%20data%20(2020%20update)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NSP%20consolidated%20benchmarking%20data%20(2021%20update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2018\TNSP%20data%20files\RINs\ElectraNet%202017-18%20-%20RIN%20response%20-%20Economic%20benchmarking%20-%20Consolidated%20-%20PUBLIC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19%20data%20analysis\TNSP%20data%20files\RINs\ElectraNet%202018-19%20-%20RIN%20Response%20-%20Economic%20Benchmarking%20-%20Consolidated%20-%20PUBLI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RINs\ElectraNet%202019-20%20-%20Economic%20Benchmarking%20-%20RIN%20Response%20-%20Consolidated%20-%2030%20October%202020%20-%20PUBLIC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B%20RIN/ElectraNet-EB%20Template-2020-21-October-2021-Public_Revise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2018\TNSP%20data%20files\RINs\Powerlink%202017-18%20-%20RIN%20response%20-%20Economic%20Benchmarking%20-%20Consolidated%20-%20PUBLIC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19%20data%20analysis\TNSP%20data%20files\RINs\Powerlink%202018-19%20-%20RIN%20Response%20-%20Economic%20Benchmarking%20-%20Consolidated%20-%20PUBLIC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RINs\Powerlink%202019-20%20-%20Economic%20Benchmarking%20-%20RIN%20Response%20-%20Consolidated%20-%2023%20October%202020%20%20-%20PUBLIC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EB%20RIN/Powerlink%202020-21%20-%20Economic%20Benchmarking%20-%20RIN%20Response%20-%20Consolidated%20-%2020%20October%202021%20-%20PUBLIC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2018\TNSP%20data%20files\RINs\AusNet%20Services%20(T)%20(SP%20AusNet)%202017-18%20-%20RIN%20response%20-%20Economic%20Benchmarking%20-%20Consolidated%20-%20PUBLIC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19%20data%20analysis\TNSP%20data%20files\RINs\Ausnet%20(T)%202018-19%20-%20Economic%20Benchmarking%20-%20RIN%20Response%20-%20Consolidated%20-%20PUBLIC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RINs\Ausnet%20(T)%202019-20%20-%20Economic%20Benchmarking%20-%20RIN%20Response%20-%20Consolidated%20-%2028%20July%202020%20-%20PUBLIC%20(2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EB%20RIN/AusNet%20(T)%202020-21%20-%20Economic%20Benchmarking%20-%20RIN%20Response%20-%20Consolidated%20-%2029%20July%202021%20-%20PUBLI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2018\TNSP%20data%20files\RINs\Tasnetworks%20(Transend)%202017-18%20-%20RIN%20response%20-%20Economic%20benchmarking%20-%20Consolidated%20-%20PUBLIC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19%20data%20analysis\TNSP%20data%20files\RINs\Tasnetworks%20(Transend)%202018-19%20-%20RIN%20Response%20-%20Economic%20Benchmarking%20-%20Consolidated%20-%20PUBLIC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RINs\TNSP%20-%20EB%20-%20TasNetworks%202019-20%20REDACTED%20AMENDED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EB%20RIN/TNSP%20-%20EB%20-%20TasNetworks%20-%202020-21%20CONFIDENTIAL%20(AMENDED)%20(1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%20modelling\2018\TNSP%20data%20files\RINs\TransGrid%202017-18%20-%20RIN%20response%20-%20Economic%20benchmarking%20-%20Consolidated%20-%20PUBLIC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19%20data%20analysis\TNSP%20data%20files\RINs\Transgrid%202018-19%20-%20Economic%20Benchmarking%20-%20RIN%20Response%20-%20Consolidated%20-%20PUBLIC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1.%20AER%20modelling\Data%20analysis\2020%20data%20analysis%20(for%202021%20ABR)\TNSP%20data%20files\RINs\TransGrid%202019-20%20-%20Economic%20Benchmarking%20-%20RIN%20Response%20-%20Consolidated%20-%2030%20October%202020%20-%20PUBLIC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B%20RIN/TransGrid%202020-21%20-%20Economic%20Benchmarking%20-%20RIN%20Response%20-%20Actual%20-%2029%20October%202021%20-%20CONFIDENTIAL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usData/AER/Opex%20modelling/AER%20opex%20models/21.%20VTS%202023-27/4.%20Final%20decision/AER%20opex%20model_APA-VTS%202023-27%20-%20final%20Decision%20-%20TH%20reviewed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TNSP%20consolidated%20benchmarking%20data%20(2021%20update)%20(Powerlink%20O_H%20line%20capacity%20tes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tate Charts an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2016</v>
          </cell>
        </row>
        <row r="8">
          <cell r="E8">
            <v>110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"/>
      <sheetName val="TNSP stacked data"/>
      <sheetName val="WACC"/>
      <sheetName val="Electranet"/>
      <sheetName val="Powerlink"/>
      <sheetName val="AusNet"/>
      <sheetName val="TasNetworks"/>
      <sheetName val="Transgrid"/>
    </sheetNames>
    <sheetDataSet>
      <sheetData sheetId="0">
        <row r="5">
          <cell r="B5">
            <v>2006</v>
          </cell>
        </row>
      </sheetData>
      <sheetData sheetId="1"/>
      <sheetData sheetId="2">
        <row r="22">
          <cell r="N22">
            <v>3.2769986171209055E-2</v>
          </cell>
          <cell r="O22">
            <v>2.9808039416604527E-2</v>
          </cell>
          <cell r="P22">
            <v>2.8632346073876838E-2</v>
          </cell>
          <cell r="Q22">
            <v>2.3192738344074648E-2</v>
          </cell>
          <cell r="R22">
            <v>1.1071777706328145E-2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inputs"/>
      <sheetName val="WACC - annual"/>
      <sheetName val="WACC - daily"/>
      <sheetName val="Derived cost of debt"/>
      <sheetName val="Raw CGS FVC"/>
      <sheetName val="Raw BBB FVC"/>
      <sheetName val="Raw A FVC"/>
      <sheetName val="Raw AA FVC"/>
      <sheetName val="Raw AAA FVC"/>
      <sheetName val="Sheet1"/>
    </sheetNames>
    <sheetDataSet>
      <sheetData sheetId="0" refreshError="1">
        <row r="26">
          <cell r="L26">
            <v>4.879259787239798E-2</v>
          </cell>
          <cell r="M26">
            <v>3.721950511548755E-2</v>
          </cell>
          <cell r="N26">
            <v>3.7046882206681842E-2</v>
          </cell>
          <cell r="O26">
            <v>3.3970570830889946E-2</v>
          </cell>
          <cell r="P26">
            <v>3.2952098699375432E-2</v>
          </cell>
        </row>
        <row r="28">
          <cell r="L28">
            <v>5.0931726553755663E-3</v>
          </cell>
          <cell r="M28">
            <v>4.4900118032589198E-3</v>
          </cell>
          <cell r="N28">
            <v>4.2768960354727867E-3</v>
          </cell>
          <cell r="O28">
            <v>4.162531414285419E-3</v>
          </cell>
          <cell r="P28">
            <v>4.3197526254985935E-3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inputs"/>
      <sheetName val="WACC - annual"/>
      <sheetName val="WACC - daily"/>
      <sheetName val="Derived cost of debt"/>
      <sheetName val="Raw CGS FVC"/>
      <sheetName val="Raw BBB FVC"/>
      <sheetName val="Raw A FVC"/>
      <sheetName val="Raw AA FVC"/>
      <sheetName val="Raw AAA FVC"/>
      <sheetName val="Sheet1"/>
    </sheetNames>
    <sheetDataSet>
      <sheetData sheetId="0" refreshError="1">
        <row r="26">
          <cell r="M26">
            <v>3.721950511548755E-2</v>
          </cell>
          <cell r="N26">
            <v>3.7046882206681842E-2</v>
          </cell>
          <cell r="O26">
            <v>3.3970570830889946E-2</v>
          </cell>
          <cell r="P26">
            <v>3.2952098699375432E-2</v>
          </cell>
          <cell r="Q26">
            <v>2.883235119834926E-2</v>
          </cell>
        </row>
        <row r="28">
          <cell r="M28">
            <v>4.4900118032589198E-3</v>
          </cell>
          <cell r="N28">
            <v>4.2768960354727867E-3</v>
          </cell>
          <cell r="O28">
            <v>4.162531414285419E-3</v>
          </cell>
          <cell r="P28">
            <v>4.3197526254985935E-3</v>
          </cell>
          <cell r="Q28">
            <v>4.0492255259237282E-3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  <sheetName val="Extracted Data Check"/>
    </sheetNames>
    <sheetDataSet>
      <sheetData sheetId="0">
        <row r="7">
          <cell r="D7">
            <v>15101.074258214998</v>
          </cell>
          <cell r="E7">
            <v>13989.61</v>
          </cell>
          <cell r="F7">
            <v>13083.325236576969</v>
          </cell>
          <cell r="G7">
            <v>13513.587369959037</v>
          </cell>
          <cell r="H7">
            <v>13846.707414743054</v>
          </cell>
          <cell r="I7">
            <v>13881.537225071985</v>
          </cell>
          <cell r="J7">
            <v>14062.879897383038</v>
          </cell>
          <cell r="K7">
            <v>14283.594450350931</v>
          </cell>
          <cell r="L7">
            <v>13957</v>
          </cell>
          <cell r="M7">
            <v>13455.329989999998</v>
          </cell>
          <cell r="N7">
            <v>14247.978656044956</v>
          </cell>
          <cell r="O7">
            <v>14525.020775061335</v>
          </cell>
          <cell r="P7">
            <v>11444.832423724381</v>
          </cell>
          <cell r="Q7">
            <v>13786.714687984706</v>
          </cell>
          <cell r="R7">
            <v>13856.515144038127</v>
          </cell>
          <cell r="S7">
            <v>51045.963444256988</v>
          </cell>
          <cell r="T7">
            <v>51964.465679886969</v>
          </cell>
          <cell r="U7">
            <v>51187.327595034993</v>
          </cell>
          <cell r="V7">
            <v>52191.948260312034</v>
          </cell>
          <cell r="W7">
            <v>52848.520626357007</v>
          </cell>
          <cell r="X7">
            <v>51917.071191967989</v>
          </cell>
          <cell r="Y7">
            <v>50878.576976755998</v>
          </cell>
          <cell r="Z7">
            <v>49333.938670690004</v>
          </cell>
          <cell r="AA7">
            <v>47613.581421291005</v>
          </cell>
          <cell r="AB7">
            <v>53087.563425000044</v>
          </cell>
          <cell r="AC7">
            <v>52872.387581990006</v>
          </cell>
          <cell r="AD7">
            <v>54253.300021025992</v>
          </cell>
          <cell r="AE7">
            <v>54849.858036833997</v>
          </cell>
          <cell r="AF7">
            <v>53765.29422406599</v>
          </cell>
          <cell r="AG7">
            <v>53076.368905469993</v>
          </cell>
          <cell r="AH7">
            <v>45186.299678676005</v>
          </cell>
          <cell r="AI7">
            <v>45956.437073729998</v>
          </cell>
          <cell r="AJ7">
            <v>45046.718030759999</v>
          </cell>
          <cell r="AK7">
            <v>47419.179046665005</v>
          </cell>
          <cell r="AL7">
            <v>48976.636241105007</v>
          </cell>
          <cell r="AM7">
            <v>48047.970992499999</v>
          </cell>
          <cell r="AN7">
            <v>47529.361264941996</v>
          </cell>
          <cell r="AO7">
            <v>49056.428480179005</v>
          </cell>
          <cell r="AP7">
            <v>48503.771563634997</v>
          </cell>
          <cell r="AQ7">
            <v>47967.077018125005</v>
          </cell>
          <cell r="AR7">
            <v>47805.245822115998</v>
          </cell>
          <cell r="AS7">
            <v>46829.301624719003</v>
          </cell>
          <cell r="AT7">
            <v>41725</v>
          </cell>
          <cell r="AU7">
            <v>41479.994350973</v>
          </cell>
          <cell r="AV7">
            <v>41527.840000000004</v>
          </cell>
          <cell r="AW7">
            <v>10530.108800000002</v>
          </cell>
          <cell r="AX7">
            <v>12828.493</v>
          </cell>
          <cell r="AY7">
            <v>13500.337</v>
          </cell>
          <cell r="AZ7">
            <v>13412.710999999999</v>
          </cell>
          <cell r="BA7">
            <v>13030.212</v>
          </cell>
          <cell r="BB7">
            <v>13108.442999999999</v>
          </cell>
          <cell r="BC7">
            <v>12589.843000000001</v>
          </cell>
          <cell r="BD7">
            <v>12866.188</v>
          </cell>
          <cell r="BE7">
            <v>13359.963803999997</v>
          </cell>
          <cell r="BF7">
            <v>13109.624082295986</v>
          </cell>
          <cell r="BG7">
            <v>11654.573903348011</v>
          </cell>
          <cell r="BH7">
            <v>12426.7</v>
          </cell>
          <cell r="BI7">
            <v>12434.326120010001</v>
          </cell>
          <cell r="BJ7">
            <v>12884.563992276988</v>
          </cell>
          <cell r="BK7">
            <v>12412.888664812011</v>
          </cell>
          <cell r="BL7">
            <v>81500</v>
          </cell>
          <cell r="BM7">
            <v>83000</v>
          </cell>
          <cell r="BN7">
            <v>82500</v>
          </cell>
          <cell r="BO7">
            <v>81100</v>
          </cell>
          <cell r="BP7">
            <v>80600</v>
          </cell>
          <cell r="BQ7">
            <v>79800</v>
          </cell>
          <cell r="BR7">
            <v>76600</v>
          </cell>
          <cell r="BS7">
            <v>71100</v>
          </cell>
          <cell r="BT7">
            <v>67800.000346065994</v>
          </cell>
          <cell r="BU7">
            <v>74400</v>
          </cell>
          <cell r="BV7">
            <v>72200</v>
          </cell>
          <cell r="BW7">
            <v>75000</v>
          </cell>
          <cell r="BX7">
            <v>75700</v>
          </cell>
          <cell r="BY7">
            <v>74400</v>
          </cell>
          <cell r="BZ7">
            <v>72900</v>
          </cell>
        </row>
        <row r="8">
          <cell r="D8">
            <v>3978.391944861738</v>
          </cell>
          <cell r="E8">
            <v>3976.363032332024</v>
          </cell>
          <cell r="F8">
            <v>4222.7950166755372</v>
          </cell>
          <cell r="G8">
            <v>4265.2719150267712</v>
          </cell>
          <cell r="H8">
            <v>4285.2901718002513</v>
          </cell>
          <cell r="I8">
            <v>4376.4504351791684</v>
          </cell>
          <cell r="J8">
            <v>4229.0017065495522</v>
          </cell>
          <cell r="K8">
            <v>4403.3212738811562</v>
          </cell>
          <cell r="L8">
            <v>3429.53</v>
          </cell>
          <cell r="M8">
            <v>3175.3143963269999</v>
          </cell>
          <cell r="N8">
            <v>3271.5960879999998</v>
          </cell>
          <cell r="O8">
            <v>3447.559915454</v>
          </cell>
          <cell r="P8">
            <v>3327.2034278649999</v>
          </cell>
          <cell r="Q8">
            <v>3685.7549853780001</v>
          </cell>
          <cell r="R8">
            <v>3512.323547</v>
          </cell>
          <cell r="S8">
            <v>11030.569023</v>
          </cell>
          <cell r="T8">
            <v>11737.383156999998</v>
          </cell>
          <cell r="U8">
            <v>11612.320067000001</v>
          </cell>
          <cell r="V8">
            <v>12068.720476999999</v>
          </cell>
          <cell r="W8">
            <v>12247.404947000005</v>
          </cell>
          <cell r="X8">
            <v>11937.636665000005</v>
          </cell>
          <cell r="Y8">
            <v>11674.654921999996</v>
          </cell>
          <cell r="Z8">
            <v>11664.853734000002</v>
          </cell>
          <cell r="AA8">
            <v>11512.211092999996</v>
          </cell>
          <cell r="AB8">
            <v>11832.312</v>
          </cell>
          <cell r="AC8">
            <v>11995.302618000009</v>
          </cell>
          <cell r="AD8">
            <v>12388.952756999994</v>
          </cell>
          <cell r="AE8">
            <v>12321.175319</v>
          </cell>
          <cell r="AF8">
            <v>12496.769520000003</v>
          </cell>
          <cell r="AG8">
            <v>12583.453072999999</v>
          </cell>
          <cell r="AH8">
            <v>8046.7944919762931</v>
          </cell>
          <cell r="AI8">
            <v>9518.2214075162174</v>
          </cell>
          <cell r="AJ8">
            <v>9821.7744475221989</v>
          </cell>
          <cell r="AK8">
            <v>10238.839151920494</v>
          </cell>
          <cell r="AL8">
            <v>9875.383784927044</v>
          </cell>
          <cell r="AM8">
            <v>9612.8305056523277</v>
          </cell>
          <cell r="AN8">
            <v>8932.6058819697173</v>
          </cell>
          <cell r="AO8">
            <v>9569.9413842771264</v>
          </cell>
          <cell r="AP8">
            <v>10258.200000000001</v>
          </cell>
          <cell r="AQ8">
            <v>9098.1233667172328</v>
          </cell>
          <cell r="AR8">
            <v>9677.5927963400009</v>
          </cell>
          <cell r="AS8">
            <v>9641.5859999999993</v>
          </cell>
          <cell r="AT8">
            <v>10266.162</v>
          </cell>
          <cell r="AU8">
            <v>9909.9320000000007</v>
          </cell>
          <cell r="AV8">
            <v>10139.175999999999</v>
          </cell>
          <cell r="AW8">
            <v>2684.2440000000001</v>
          </cell>
          <cell r="AX8">
            <v>2690.61</v>
          </cell>
          <cell r="AY8">
            <v>2624.2620000000002</v>
          </cell>
          <cell r="AZ8">
            <v>2656.152</v>
          </cell>
          <cell r="BA8">
            <v>2634.4740000000002</v>
          </cell>
          <cell r="BB8">
            <v>2597.712</v>
          </cell>
          <cell r="BC8">
            <v>2589.395</v>
          </cell>
          <cell r="BD8">
            <v>2544.7469999999998</v>
          </cell>
          <cell r="BE8">
            <v>2509</v>
          </cell>
          <cell r="BF8">
            <v>2504.8915876265355</v>
          </cell>
          <cell r="BG8">
            <v>2519.5</v>
          </cell>
          <cell r="BH8">
            <v>2523.6453817803717</v>
          </cell>
          <cell r="BI8">
            <v>2535.3500470044319</v>
          </cell>
          <cell r="BJ8">
            <v>2394.0013028095805</v>
          </cell>
          <cell r="BK8">
            <v>2460.3122380799996</v>
          </cell>
          <cell r="BL8">
            <v>18200</v>
          </cell>
          <cell r="BM8">
            <v>18600</v>
          </cell>
          <cell r="BN8">
            <v>18600</v>
          </cell>
          <cell r="BO8">
            <v>18700</v>
          </cell>
          <cell r="BP8">
            <v>18900</v>
          </cell>
          <cell r="BQ8">
            <v>19400</v>
          </cell>
          <cell r="BR8">
            <v>18000</v>
          </cell>
          <cell r="BS8">
            <v>17400</v>
          </cell>
          <cell r="BT8">
            <v>17000</v>
          </cell>
          <cell r="BU8">
            <v>16500</v>
          </cell>
          <cell r="BV8">
            <v>18000</v>
          </cell>
          <cell r="BW8">
            <v>18700</v>
          </cell>
          <cell r="BX8">
            <v>18500</v>
          </cell>
          <cell r="BY8">
            <v>18700</v>
          </cell>
          <cell r="BZ8">
            <v>18900</v>
          </cell>
        </row>
        <row r="10">
          <cell r="D10">
            <v>48431</v>
          </cell>
          <cell r="E10">
            <v>52930</v>
          </cell>
          <cell r="F10">
            <v>49444.635999999999</v>
          </cell>
          <cell r="G10">
            <v>54853</v>
          </cell>
          <cell r="H10">
            <v>57567</v>
          </cell>
          <cell r="I10">
            <v>64370</v>
          </cell>
          <cell r="J10">
            <v>72584</v>
          </cell>
          <cell r="K10">
            <v>70527</v>
          </cell>
          <cell r="L10">
            <v>74159.945999999996</v>
          </cell>
          <cell r="M10">
            <v>79605.847320000015</v>
          </cell>
          <cell r="N10">
            <v>85108.198999999993</v>
          </cell>
          <cell r="O10">
            <v>89639.633000000002</v>
          </cell>
          <cell r="P10">
            <v>93127.422000000006</v>
          </cell>
          <cell r="Q10">
            <v>93342.453999999998</v>
          </cell>
          <cell r="R10">
            <v>99872.368640000001</v>
          </cell>
          <cell r="S10">
            <v>118781</v>
          </cell>
          <cell r="T10">
            <v>128265</v>
          </cell>
          <cell r="U10">
            <v>144112</v>
          </cell>
          <cell r="V10">
            <v>142796</v>
          </cell>
          <cell r="W10">
            <v>151902</v>
          </cell>
          <cell r="X10">
            <v>151029</v>
          </cell>
          <cell r="Y10">
            <v>160384</v>
          </cell>
          <cell r="Z10">
            <v>167377.59669000003</v>
          </cell>
          <cell r="AA10">
            <v>181019.7816758781</v>
          </cell>
          <cell r="AB10">
            <v>211260.9936596599</v>
          </cell>
          <cell r="AC10">
            <v>217661</v>
          </cell>
          <cell r="AD10">
            <v>226261.149</v>
          </cell>
          <cell r="AE10">
            <v>187614.23428</v>
          </cell>
          <cell r="AF10">
            <v>199366.94991747182</v>
          </cell>
          <cell r="AG10">
            <v>202101.092</v>
          </cell>
          <cell r="AH10">
            <v>61764.624702139656</v>
          </cell>
          <cell r="AI10">
            <v>61817.594227019435</v>
          </cell>
          <cell r="AJ10">
            <v>58269.389500000005</v>
          </cell>
          <cell r="AK10">
            <v>77590.490999999995</v>
          </cell>
          <cell r="AL10">
            <v>80063.390000000014</v>
          </cell>
          <cell r="AM10">
            <v>75097.619000000006</v>
          </cell>
          <cell r="AN10">
            <v>72741.886999999988</v>
          </cell>
          <cell r="AO10">
            <v>76129.812000000005</v>
          </cell>
          <cell r="AP10">
            <v>82734.26797981601</v>
          </cell>
          <cell r="AQ10">
            <v>84644.97681966683</v>
          </cell>
          <cell r="AR10">
            <v>89390.247875063069</v>
          </cell>
          <cell r="AS10">
            <v>87642.229003035784</v>
          </cell>
          <cell r="AT10">
            <v>81805.580155681397</v>
          </cell>
          <cell r="AU10">
            <v>86909.794011443286</v>
          </cell>
          <cell r="AV10">
            <v>79623.555988176173</v>
          </cell>
          <cell r="AW10">
            <v>35426.048000000003</v>
          </cell>
          <cell r="AX10">
            <v>37656.624000000003</v>
          </cell>
          <cell r="AY10">
            <v>46334.126000000004</v>
          </cell>
          <cell r="AZ10">
            <v>46642.640999999996</v>
          </cell>
          <cell r="BA10">
            <v>47779.507999999994</v>
          </cell>
          <cell r="BB10">
            <v>46557.578000000001</v>
          </cell>
          <cell r="BC10">
            <v>46923.140000000007</v>
          </cell>
          <cell r="BD10">
            <v>44976.582999999999</v>
          </cell>
          <cell r="BE10">
            <v>45598</v>
          </cell>
          <cell r="BF10">
            <v>34705.717769999996</v>
          </cell>
          <cell r="BG10">
            <v>37603.399744925264</v>
          </cell>
          <cell r="BH10">
            <v>32048.191384064245</v>
          </cell>
          <cell r="BI10">
            <v>28974.888076739793</v>
          </cell>
          <cell r="BJ10">
            <v>31115.319920176305</v>
          </cell>
          <cell r="BK10">
            <v>27222.588454563338</v>
          </cell>
          <cell r="BL10">
            <v>120730</v>
          </cell>
          <cell r="BM10">
            <v>123090</v>
          </cell>
          <cell r="BN10">
            <v>119710</v>
          </cell>
          <cell r="BO10">
            <v>124140</v>
          </cell>
          <cell r="BP10">
            <v>143240</v>
          </cell>
          <cell r="BQ10">
            <v>137770</v>
          </cell>
          <cell r="BR10">
            <v>152110</v>
          </cell>
          <cell r="BS10">
            <v>143050</v>
          </cell>
          <cell r="BT10">
            <v>175638</v>
          </cell>
          <cell r="BU10">
            <v>168228.603</v>
          </cell>
          <cell r="BV10">
            <v>169534.48734000002</v>
          </cell>
          <cell r="BW10">
            <v>170366.70697000079</v>
          </cell>
          <cell r="BX10">
            <v>153556.69399000015</v>
          </cell>
          <cell r="BY10">
            <v>154447.8451599995</v>
          </cell>
          <cell r="BZ10">
            <v>161451.859</v>
          </cell>
        </row>
        <row r="22">
          <cell r="D22">
            <v>5591.75</v>
          </cell>
          <cell r="E22">
            <v>5509.88</v>
          </cell>
          <cell r="F22">
            <v>5509.88</v>
          </cell>
          <cell r="G22">
            <v>5494.88</v>
          </cell>
          <cell r="H22">
            <v>5492.88</v>
          </cell>
          <cell r="I22">
            <v>5495.88</v>
          </cell>
          <cell r="J22">
            <v>5498.88</v>
          </cell>
          <cell r="K22">
            <v>5500.16</v>
          </cell>
          <cell r="L22">
            <v>5502.2140540000009</v>
          </cell>
          <cell r="M22">
            <v>5494.16</v>
          </cell>
          <cell r="N22">
            <v>5497.16</v>
          </cell>
          <cell r="O22">
            <v>5492.37</v>
          </cell>
          <cell r="P22">
            <v>5494.97</v>
          </cell>
          <cell r="Q22">
            <v>5485.47</v>
          </cell>
          <cell r="R22">
            <v>5492.38</v>
          </cell>
          <cell r="S22">
            <v>11685</v>
          </cell>
          <cell r="T22">
            <v>11877</v>
          </cell>
          <cell r="U22">
            <v>12413</v>
          </cell>
          <cell r="V22">
            <v>12848</v>
          </cell>
          <cell r="W22">
            <v>13304</v>
          </cell>
          <cell r="X22">
            <v>13717</v>
          </cell>
          <cell r="Y22">
            <v>13681</v>
          </cell>
          <cell r="Z22">
            <v>14292</v>
          </cell>
          <cell r="AA22">
            <v>14751</v>
          </cell>
          <cell r="AB22">
            <v>14733</v>
          </cell>
          <cell r="AC22">
            <v>14734</v>
          </cell>
          <cell r="AD22">
            <v>14511</v>
          </cell>
          <cell r="AE22">
            <v>14506</v>
          </cell>
          <cell r="AF22">
            <v>14506</v>
          </cell>
          <cell r="AG22">
            <v>14508</v>
          </cell>
          <cell r="AH22">
            <v>6562</v>
          </cell>
          <cell r="AI22">
            <v>6562</v>
          </cell>
          <cell r="AJ22">
            <v>6562</v>
          </cell>
          <cell r="AK22">
            <v>6562</v>
          </cell>
          <cell r="AL22">
            <v>6562</v>
          </cell>
          <cell r="AM22">
            <v>6562</v>
          </cell>
          <cell r="AN22">
            <v>6562</v>
          </cell>
          <cell r="AO22">
            <v>6562</v>
          </cell>
          <cell r="AP22">
            <v>6562</v>
          </cell>
          <cell r="AQ22">
            <v>6562</v>
          </cell>
          <cell r="AR22">
            <v>6547.6447567553732</v>
          </cell>
          <cell r="AS22">
            <v>6551.4297109999989</v>
          </cell>
          <cell r="AT22">
            <v>6615.18</v>
          </cell>
          <cell r="AU22">
            <v>6619.2300000000014</v>
          </cell>
          <cell r="AV22">
            <v>6722.5711999999994</v>
          </cell>
          <cell r="AW22">
            <v>3568</v>
          </cell>
          <cell r="AX22">
            <v>3609</v>
          </cell>
          <cell r="AY22">
            <v>3609</v>
          </cell>
          <cell r="AZ22">
            <v>3507</v>
          </cell>
          <cell r="BA22">
            <v>3468</v>
          </cell>
          <cell r="BB22">
            <v>3480</v>
          </cell>
          <cell r="BC22">
            <v>3480</v>
          </cell>
          <cell r="BD22">
            <v>3480</v>
          </cell>
          <cell r="BE22">
            <v>3480</v>
          </cell>
          <cell r="BF22">
            <v>3539.9</v>
          </cell>
          <cell r="BG22">
            <v>3539.9</v>
          </cell>
          <cell r="BH22">
            <v>3539.8999999999996</v>
          </cell>
          <cell r="BI22">
            <v>3521.3999999999996</v>
          </cell>
          <cell r="BJ22">
            <v>3521.3999999999996</v>
          </cell>
          <cell r="BK22">
            <v>3326.3731820000003</v>
          </cell>
          <cell r="BL22">
            <v>12469.323000000002</v>
          </cell>
          <cell r="BM22">
            <v>12478.586000000005</v>
          </cell>
          <cell r="BN22">
            <v>12475.606000000005</v>
          </cell>
          <cell r="BO22">
            <v>12475.441000000004</v>
          </cell>
          <cell r="BP22">
            <v>12634.550999999999</v>
          </cell>
          <cell r="BQ22">
            <v>12633.955000000002</v>
          </cell>
          <cell r="BR22">
            <v>12649.299000000001</v>
          </cell>
          <cell r="BS22">
            <v>12845.709000000003</v>
          </cell>
          <cell r="BT22">
            <v>12878.229000000003</v>
          </cell>
          <cell r="BU22">
            <v>12942.540697599999</v>
          </cell>
          <cell r="BV22">
            <v>12956.955</v>
          </cell>
          <cell r="BW22">
            <v>12996.5323974</v>
          </cell>
          <cell r="BX22">
            <v>13007.854696939969</v>
          </cell>
          <cell r="BY22">
            <v>12966.967219753231</v>
          </cell>
          <cell r="BZ22">
            <v>12966.743309999998</v>
          </cell>
        </row>
        <row r="34">
          <cell r="D34">
            <v>8.7889999999999997</v>
          </cell>
          <cell r="E34">
            <v>8.7889999999999997</v>
          </cell>
          <cell r="F34">
            <v>8.7889999999999997</v>
          </cell>
          <cell r="G34">
            <v>8.7889999999999997</v>
          </cell>
          <cell r="H34">
            <v>8.7889999999999997</v>
          </cell>
          <cell r="I34">
            <v>8.7889999999999997</v>
          </cell>
          <cell r="J34">
            <v>27.189</v>
          </cell>
          <cell r="K34">
            <v>27.189</v>
          </cell>
          <cell r="L34">
            <v>27.189</v>
          </cell>
          <cell r="M34">
            <v>27.189</v>
          </cell>
          <cell r="N34">
            <v>27.189</v>
          </cell>
          <cell r="O34">
            <v>27.199000000000002</v>
          </cell>
          <cell r="P34">
            <v>27.199000000000002</v>
          </cell>
          <cell r="Q34">
            <v>27.199000000000002</v>
          </cell>
          <cell r="R34">
            <v>27.199000000000002</v>
          </cell>
          <cell r="S34">
            <v>15.8</v>
          </cell>
          <cell r="T34">
            <v>15.8</v>
          </cell>
          <cell r="U34">
            <v>15.8</v>
          </cell>
          <cell r="V34">
            <v>17.100000000000001</v>
          </cell>
          <cell r="W34">
            <v>17.100000000000001</v>
          </cell>
          <cell r="X34">
            <v>21.4</v>
          </cell>
          <cell r="Y34">
            <v>21.4</v>
          </cell>
          <cell r="Z34">
            <v>21.5</v>
          </cell>
          <cell r="AA34">
            <v>21.500000000000004</v>
          </cell>
          <cell r="AB34">
            <v>21.500000000000004</v>
          </cell>
          <cell r="AC34">
            <v>21.500000000000004</v>
          </cell>
          <cell r="AD34">
            <v>21.500000000000004</v>
          </cell>
          <cell r="AE34">
            <v>21.500000000000004</v>
          </cell>
          <cell r="AF34">
            <v>20.200000000000003</v>
          </cell>
          <cell r="AG34">
            <v>20.200000000000003</v>
          </cell>
          <cell r="AH34">
            <v>11</v>
          </cell>
          <cell r="AI34">
            <v>11</v>
          </cell>
          <cell r="AJ34">
            <v>11</v>
          </cell>
          <cell r="AK34">
            <v>11</v>
          </cell>
          <cell r="AL34">
            <v>11</v>
          </cell>
          <cell r="AM34">
            <v>11</v>
          </cell>
          <cell r="AN34">
            <v>11</v>
          </cell>
          <cell r="AO34">
            <v>11</v>
          </cell>
          <cell r="AP34">
            <v>11</v>
          </cell>
          <cell r="AQ34">
            <v>11.2</v>
          </cell>
          <cell r="AR34">
            <v>11.2</v>
          </cell>
          <cell r="AS34">
            <v>8.5423703333333343</v>
          </cell>
          <cell r="AT34">
            <v>8.5399999999999991</v>
          </cell>
          <cell r="AU34">
            <v>8.5399999999999991</v>
          </cell>
          <cell r="AV34">
            <v>8.5399999999999991</v>
          </cell>
          <cell r="AW34">
            <v>13.3</v>
          </cell>
          <cell r="AX34">
            <v>13.3</v>
          </cell>
          <cell r="AY34">
            <v>13.3</v>
          </cell>
          <cell r="AZ34">
            <v>13.3</v>
          </cell>
          <cell r="BA34">
            <v>13.3</v>
          </cell>
          <cell r="BB34">
            <v>13.3</v>
          </cell>
          <cell r="BC34">
            <v>13.3</v>
          </cell>
          <cell r="BD34">
            <v>23.19</v>
          </cell>
          <cell r="BE34">
            <v>23.8</v>
          </cell>
          <cell r="BF34">
            <v>23.8</v>
          </cell>
          <cell r="BG34">
            <v>23.8</v>
          </cell>
          <cell r="BH34">
            <v>23.8</v>
          </cell>
          <cell r="BI34">
            <v>23.8</v>
          </cell>
          <cell r="BJ34">
            <v>23.8</v>
          </cell>
          <cell r="BK34">
            <v>24.164000000000001</v>
          </cell>
          <cell r="BL34">
            <v>47.908000000000001</v>
          </cell>
          <cell r="BM34">
            <v>47.908000000000001</v>
          </cell>
          <cell r="BN34">
            <v>47.908000000000001</v>
          </cell>
          <cell r="BO34">
            <v>47.908000000000001</v>
          </cell>
          <cell r="BP34">
            <v>47.908000000000001</v>
          </cell>
          <cell r="BQ34">
            <v>47.908000000000001</v>
          </cell>
          <cell r="BR34">
            <v>47.908000000000001</v>
          </cell>
          <cell r="BS34">
            <v>47.908000000000001</v>
          </cell>
          <cell r="BT34">
            <v>51.437000000000005</v>
          </cell>
          <cell r="BU34">
            <v>82.22399999999999</v>
          </cell>
          <cell r="BV34">
            <v>82.24</v>
          </cell>
          <cell r="BW34">
            <v>81.581000000000003</v>
          </cell>
          <cell r="BX34">
            <v>81.64</v>
          </cell>
          <cell r="BY34">
            <v>85.408000000000001</v>
          </cell>
          <cell r="BZ34">
            <v>85.707999999999998</v>
          </cell>
        </row>
        <row r="78">
          <cell r="D78">
            <v>40848.58972285183</v>
          </cell>
          <cell r="E78">
            <v>46556.181364905446</v>
          </cell>
          <cell r="F78">
            <v>41559.685178392239</v>
          </cell>
          <cell r="G78">
            <v>53339.663709232496</v>
          </cell>
          <cell r="H78">
            <v>50302.179445680078</v>
          </cell>
          <cell r="I78">
            <v>52192.619316895121</v>
          </cell>
          <cell r="J78">
            <v>64036.941253023455</v>
          </cell>
          <cell r="K78">
            <v>49396.363271709248</v>
          </cell>
          <cell r="L78">
            <v>42029.705960438725</v>
          </cell>
          <cell r="M78">
            <v>54815.960264278721</v>
          </cell>
          <cell r="N78">
            <v>53120.949614627338</v>
          </cell>
          <cell r="O78">
            <v>44096.63856032546</v>
          </cell>
          <cell r="P78">
            <v>40401.987846538104</v>
          </cell>
          <cell r="Q78">
            <v>41722.910523597122</v>
          </cell>
          <cell r="R78">
            <v>39222.5275534026</v>
          </cell>
          <cell r="S78">
            <v>158892.93557728812</v>
          </cell>
          <cell r="T78">
            <v>166906.47410346669</v>
          </cell>
          <cell r="U78">
            <v>115049.80109068542</v>
          </cell>
          <cell r="V78">
            <v>211737.15792296245</v>
          </cell>
          <cell r="W78">
            <v>213802.3066635069</v>
          </cell>
          <cell r="X78">
            <v>230762.25484814483</v>
          </cell>
          <cell r="Y78">
            <v>311006.64610965952</v>
          </cell>
          <cell r="Z78">
            <v>260643.84807002911</v>
          </cell>
          <cell r="AA78">
            <v>224153.77863015336</v>
          </cell>
          <cell r="AB78">
            <v>318753.35915112071</v>
          </cell>
          <cell r="AC78">
            <v>279105.05247038312</v>
          </cell>
          <cell r="AD78">
            <v>243813.46974416065</v>
          </cell>
          <cell r="AE78">
            <v>237192.8851473188</v>
          </cell>
          <cell r="AF78">
            <v>240512.44767215798</v>
          </cell>
          <cell r="AG78">
            <v>216887.13254384423</v>
          </cell>
          <cell r="AH78">
            <v>85905.290425398794</v>
          </cell>
          <cell r="AI78">
            <v>77823.179281485282</v>
          </cell>
          <cell r="AJ78">
            <v>89601.206276853947</v>
          </cell>
          <cell r="AK78">
            <v>91107.728284969839</v>
          </cell>
          <cell r="AL78">
            <v>112019.17422434536</v>
          </cell>
          <cell r="AM78">
            <v>109912.04991613424</v>
          </cell>
          <cell r="AN78">
            <v>107808.84832531324</v>
          </cell>
          <cell r="AO78">
            <v>111344.82273728331</v>
          </cell>
          <cell r="AP78">
            <v>88985.444018840557</v>
          </cell>
          <cell r="AQ78">
            <v>99595.797636198535</v>
          </cell>
          <cell r="AR78">
            <v>88964.465210905721</v>
          </cell>
          <cell r="AS78">
            <v>99974.014852483364</v>
          </cell>
          <cell r="AT78">
            <v>90429.292323353176</v>
          </cell>
          <cell r="AU78">
            <v>89215.866080168504</v>
          </cell>
          <cell r="AV78">
            <v>87531.739524595585</v>
          </cell>
          <cell r="AW78">
            <v>23370.982633722757</v>
          </cell>
          <cell r="AX78">
            <v>19818.798889169586</v>
          </cell>
          <cell r="AY78">
            <v>28103.330178434524</v>
          </cell>
          <cell r="AZ78">
            <v>26006.280866176447</v>
          </cell>
          <cell r="BA78">
            <v>31235.907077016629</v>
          </cell>
          <cell r="BB78">
            <v>32405.029803811332</v>
          </cell>
          <cell r="BC78">
            <v>50392.330544585886</v>
          </cell>
          <cell r="BD78">
            <v>40223.721337178984</v>
          </cell>
          <cell r="BE78">
            <v>34072.790464010002</v>
          </cell>
          <cell r="BF78">
            <v>38849.584370536431</v>
          </cell>
          <cell r="BG78">
            <v>33765.861198078375</v>
          </cell>
          <cell r="BH78">
            <v>35455.403306778062</v>
          </cell>
          <cell r="BI78">
            <v>31847.219134485931</v>
          </cell>
          <cell r="BJ78">
            <v>33265.858481685769</v>
          </cell>
          <cell r="BK78">
            <v>29787.479352965373</v>
          </cell>
          <cell r="BL78">
            <v>116849.86463797887</v>
          </cell>
          <cell r="BM78">
            <v>124948.76121829478</v>
          </cell>
          <cell r="BN78">
            <v>102087.61318240332</v>
          </cell>
          <cell r="BO78">
            <v>150089.91334066016</v>
          </cell>
          <cell r="BP78">
            <v>141919.930698955</v>
          </cell>
          <cell r="BQ78">
            <v>152972.11694854475</v>
          </cell>
          <cell r="BR78">
            <v>188506.55907135803</v>
          </cell>
          <cell r="BS78">
            <v>152097.87508652982</v>
          </cell>
          <cell r="BT78">
            <v>131109.79593950571</v>
          </cell>
          <cell r="BU78">
            <v>175138.59031283858</v>
          </cell>
          <cell r="BV78">
            <v>154371.08242350936</v>
          </cell>
          <cell r="BW78">
            <v>159619.29081469509</v>
          </cell>
          <cell r="BX78">
            <v>145629.03984970012</v>
          </cell>
          <cell r="BY78">
            <v>151640.66839290937</v>
          </cell>
          <cell r="BZ78">
            <v>141724.14388789976</v>
          </cell>
        </row>
        <row r="79">
          <cell r="D79">
            <v>1517.5732513855505</v>
          </cell>
          <cell r="E79">
            <v>3332.519926134969</v>
          </cell>
          <cell r="F79">
            <v>2749.8001967534128</v>
          </cell>
          <cell r="G79">
            <v>1652.7957775354391</v>
          </cell>
          <cell r="H79">
            <v>1476.2464232934685</v>
          </cell>
          <cell r="I79">
            <v>1508.5031926807278</v>
          </cell>
          <cell r="J79">
            <v>1762.2564299137132</v>
          </cell>
          <cell r="K79">
            <v>9410.1450644851302</v>
          </cell>
          <cell r="L79">
            <v>7278.1259325914871</v>
          </cell>
          <cell r="M79">
            <v>9784.0499763051248</v>
          </cell>
          <cell r="N79">
            <v>8451.2307110236688</v>
          </cell>
          <cell r="O79">
            <v>7323.0366114555982</v>
          </cell>
          <cell r="P79">
            <v>7309.683709511788</v>
          </cell>
          <cell r="Q79">
            <v>7484.4222930762799</v>
          </cell>
          <cell r="R79">
            <v>6880.7156020035181</v>
          </cell>
          <cell r="S79">
            <v>2999.4738141651796</v>
          </cell>
          <cell r="T79">
            <v>3058.8876860672167</v>
          </cell>
          <cell r="U79">
            <v>2414.8996465939995</v>
          </cell>
          <cell r="V79">
            <v>3348.7151119030482</v>
          </cell>
          <cell r="W79">
            <v>3511.1759693716667</v>
          </cell>
          <cell r="X79">
            <v>4877.793359753794</v>
          </cell>
          <cell r="Y79">
            <v>5855.106820929549</v>
          </cell>
          <cell r="Z79">
            <v>4797.0689329043526</v>
          </cell>
          <cell r="AA79">
            <v>3906.2876346940711</v>
          </cell>
          <cell r="AB79">
            <v>5017.7904493816368</v>
          </cell>
          <cell r="AC79">
            <v>4397.1542258497766</v>
          </cell>
          <cell r="AD79">
            <v>4002.9762614441456</v>
          </cell>
          <cell r="AE79">
            <v>4296.6490321897572</v>
          </cell>
          <cell r="AF79">
            <v>4311.9651636469407</v>
          </cell>
          <cell r="AG79">
            <v>3938.8803890489148</v>
          </cell>
          <cell r="AH79">
            <v>3536.6552069690283</v>
          </cell>
          <cell r="AI79">
            <v>3188.6479569717935</v>
          </cell>
          <cell r="AJ79">
            <v>3659.2860648841943</v>
          </cell>
          <cell r="AK79">
            <v>3490.8708347477259</v>
          </cell>
          <cell r="AL79">
            <v>4257.3264015642408</v>
          </cell>
          <cell r="AM79">
            <v>4103.2165423891011</v>
          </cell>
          <cell r="AN79">
            <v>3987.2775244454765</v>
          </cell>
          <cell r="AO79">
            <v>3936.3408441188885</v>
          </cell>
          <cell r="AP79">
            <v>3044.9647407938251</v>
          </cell>
          <cell r="AQ79">
            <v>3327.0284759063102</v>
          </cell>
          <cell r="AR79">
            <v>2902.6628105480804</v>
          </cell>
          <cell r="AS79">
            <v>3203.7838508625373</v>
          </cell>
          <cell r="AT79">
            <v>2817.3785101066164</v>
          </cell>
          <cell r="AU79">
            <v>2713.0202529619301</v>
          </cell>
          <cell r="AV79">
            <v>2637.3480155481984</v>
          </cell>
          <cell r="AW79">
            <v>993.77319164156597</v>
          </cell>
          <cell r="AX79">
            <v>1203.8226353160103</v>
          </cell>
          <cell r="AY79">
            <v>1374.9151395003307</v>
          </cell>
          <cell r="AZ79">
            <v>1270.160245669239</v>
          </cell>
          <cell r="BA79">
            <v>1477.2006587172211</v>
          </cell>
          <cell r="BB79">
            <v>1514.6817949812212</v>
          </cell>
          <cell r="BC79">
            <v>1650.0824608449195</v>
          </cell>
          <cell r="BD79">
            <v>2767.8124578518336</v>
          </cell>
          <cell r="BE79">
            <v>2684.362026691098</v>
          </cell>
          <cell r="BF79">
            <v>3369.0819912101992</v>
          </cell>
          <cell r="BG79">
            <v>2553.887221710253</v>
          </cell>
          <cell r="BH79">
            <v>2509.3447509526995</v>
          </cell>
          <cell r="BI79">
            <v>2388.9741252676918</v>
          </cell>
          <cell r="BJ79">
            <v>1906.0541745914882</v>
          </cell>
          <cell r="BK79">
            <v>1828.6301765400244</v>
          </cell>
          <cell r="BL79">
            <v>16298.41384793034</v>
          </cell>
          <cell r="BM79">
            <v>17694.468560384616</v>
          </cell>
          <cell r="BN79">
            <v>14210.387232350353</v>
          </cell>
          <cell r="BO79">
            <v>21518.272289111988</v>
          </cell>
          <cell r="BP79">
            <v>19644.70625561733</v>
          </cell>
          <cell r="BQ79">
            <v>20501.842106974007</v>
          </cell>
          <cell r="BR79">
            <v>25328.291058916548</v>
          </cell>
          <cell r="BS79">
            <v>19106.472424205818</v>
          </cell>
          <cell r="BT79">
            <v>15290.740059276426</v>
          </cell>
          <cell r="BU79">
            <v>19194.742430419006</v>
          </cell>
          <cell r="BV79">
            <v>16745.77251827054</v>
          </cell>
          <cell r="BW79">
            <v>17187.928264009031</v>
          </cell>
          <cell r="BX79">
            <v>15558.890065569731</v>
          </cell>
          <cell r="BY79">
            <v>15500.218192671005</v>
          </cell>
          <cell r="BZ79">
            <v>13932.621330424567</v>
          </cell>
        </row>
        <row r="80">
          <cell r="D80">
            <v>55056.976780297919</v>
          </cell>
          <cell r="E80">
            <v>61433.386331039896</v>
          </cell>
          <cell r="F80">
            <v>48567.331907874861</v>
          </cell>
          <cell r="G80">
            <v>86542.107780636143</v>
          </cell>
          <cell r="H80">
            <v>82261.950199088067</v>
          </cell>
          <cell r="I80">
            <v>87057.866311133461</v>
          </cell>
          <cell r="J80">
            <v>109570.45221074365</v>
          </cell>
          <cell r="K80">
            <v>102788.41088489123</v>
          </cell>
          <cell r="L80">
            <v>93097.78320016613</v>
          </cell>
          <cell r="M80">
            <v>137413.41889671155</v>
          </cell>
          <cell r="N80">
            <v>129375.00130264963</v>
          </cell>
          <cell r="O80">
            <v>131096.87790941005</v>
          </cell>
          <cell r="P80">
            <v>137968.05146488291</v>
          </cell>
          <cell r="Q80">
            <v>144449.16752818943</v>
          </cell>
          <cell r="R80">
            <v>153417.66644006281</v>
          </cell>
          <cell r="S80">
            <v>102448.59451698279</v>
          </cell>
          <cell r="T80">
            <v>129367.25160123224</v>
          </cell>
          <cell r="U80">
            <v>163138.24311682623</v>
          </cell>
          <cell r="V80">
            <v>237111.22774838476</v>
          </cell>
          <cell r="W80">
            <v>233215.06679427036</v>
          </cell>
          <cell r="X80">
            <v>269771.02372902184</v>
          </cell>
          <cell r="Y80">
            <v>330861.74473095604</v>
          </cell>
          <cell r="Z80">
            <v>245638.53652922992</v>
          </cell>
          <cell r="AA80">
            <v>225948.46999090345</v>
          </cell>
          <cell r="AB80">
            <v>313655.06396077538</v>
          </cell>
          <cell r="AC80">
            <v>299263.81794004608</v>
          </cell>
          <cell r="AD80">
            <v>267018.66794030869</v>
          </cell>
          <cell r="AE80">
            <v>256780.23421564355</v>
          </cell>
          <cell r="AF80">
            <v>278385.13532425894</v>
          </cell>
          <cell r="AG80">
            <v>272539.20132817898</v>
          </cell>
          <cell r="AH80">
            <v>97128.106160101219</v>
          </cell>
          <cell r="AI80">
            <v>95061.956392568594</v>
          </cell>
          <cell r="AJ80">
            <v>112550.06459801781</v>
          </cell>
          <cell r="AK80">
            <v>126494.2963947859</v>
          </cell>
          <cell r="AL80">
            <v>150420.08832315521</v>
          </cell>
          <cell r="AM80">
            <v>152727.99028817797</v>
          </cell>
          <cell r="AN80">
            <v>156450.75817633892</v>
          </cell>
          <cell r="AO80">
            <v>161676.92598938587</v>
          </cell>
          <cell r="AP80">
            <v>133804.93543349695</v>
          </cell>
          <cell r="AQ80">
            <v>175691.47260810703</v>
          </cell>
          <cell r="AR80">
            <v>167722.54402773519</v>
          </cell>
          <cell r="AS80">
            <v>191918.83220819043</v>
          </cell>
          <cell r="AT80">
            <v>190004.91978446196</v>
          </cell>
          <cell r="AU80">
            <v>188370.72496141144</v>
          </cell>
          <cell r="AV80">
            <v>192448.87548235245</v>
          </cell>
          <cell r="AW80">
            <v>47322.773537000248</v>
          </cell>
          <cell r="AX80">
            <v>45588.420462134687</v>
          </cell>
          <cell r="AY80">
            <v>52841.099397773753</v>
          </cell>
          <cell r="AZ80">
            <v>51694.448639328213</v>
          </cell>
          <cell r="BA80">
            <v>65712.706227834744</v>
          </cell>
          <cell r="BB80">
            <v>73090.524980801638</v>
          </cell>
          <cell r="BC80">
            <v>89054.457003027201</v>
          </cell>
          <cell r="BD80">
            <v>73372.897275240117</v>
          </cell>
          <cell r="BE80">
            <v>69091.375768806887</v>
          </cell>
          <cell r="BF80">
            <v>83404.228052522638</v>
          </cell>
          <cell r="BG80">
            <v>78149.637907138793</v>
          </cell>
          <cell r="BH80">
            <v>83081.952798098879</v>
          </cell>
          <cell r="BI80">
            <v>75582.347098496015</v>
          </cell>
          <cell r="BJ80">
            <v>77195.475664461832</v>
          </cell>
          <cell r="BK80">
            <v>64331.383484922742</v>
          </cell>
          <cell r="BL80">
            <v>130047.72228397359</v>
          </cell>
          <cell r="BM80">
            <v>148338.88772820777</v>
          </cell>
          <cell r="BN80">
            <v>139752.52529734228</v>
          </cell>
          <cell r="BO80">
            <v>216424.93691234587</v>
          </cell>
          <cell r="BP80">
            <v>237825.70345451217</v>
          </cell>
          <cell r="BQ80">
            <v>250056.94447050238</v>
          </cell>
          <cell r="BR80">
            <v>316893.22788232955</v>
          </cell>
          <cell r="BS80">
            <v>274369.06016692991</v>
          </cell>
          <cell r="BT80">
            <v>260781.14561442111</v>
          </cell>
          <cell r="BU80">
            <v>337554.66727528936</v>
          </cell>
          <cell r="BV80">
            <v>323284.0085677593</v>
          </cell>
          <cell r="BW80">
            <v>348649.87618218374</v>
          </cell>
          <cell r="BX80">
            <v>302635.98075226776</v>
          </cell>
          <cell r="BY80">
            <v>295903.76694613858</v>
          </cell>
          <cell r="BZ80">
            <v>287473.82872261945</v>
          </cell>
        </row>
        <row r="83">
          <cell r="D83">
            <v>778839</v>
          </cell>
          <cell r="E83">
            <v>779426</v>
          </cell>
          <cell r="F83">
            <v>781110</v>
          </cell>
          <cell r="G83">
            <v>814467</v>
          </cell>
          <cell r="H83">
            <v>826964</v>
          </cell>
          <cell r="I83">
            <v>836055</v>
          </cell>
          <cell r="J83">
            <v>844153</v>
          </cell>
          <cell r="K83">
            <v>847766</v>
          </cell>
          <cell r="L83">
            <v>851766.5</v>
          </cell>
          <cell r="M83">
            <v>853939</v>
          </cell>
          <cell r="N83">
            <v>858646.5</v>
          </cell>
          <cell r="O83">
            <v>878299.5</v>
          </cell>
          <cell r="P83">
            <v>894397</v>
          </cell>
          <cell r="Q83">
            <v>906197.5</v>
          </cell>
          <cell r="R83">
            <v>914602.99999999965</v>
          </cell>
          <cell r="S83">
            <v>1836193.56238094</v>
          </cell>
          <cell r="T83">
            <v>1871223.97666665</v>
          </cell>
          <cell r="U83">
            <v>1911491.9433333301</v>
          </cell>
          <cell r="V83">
            <v>1950651.6833333101</v>
          </cell>
          <cell r="W83">
            <v>1984514.33333332</v>
          </cell>
          <cell r="X83">
            <v>2015522.49999999</v>
          </cell>
          <cell r="Y83">
            <v>2043128.49999999</v>
          </cell>
          <cell r="Z83">
            <v>2070142.49999999</v>
          </cell>
          <cell r="AA83">
            <v>2098413</v>
          </cell>
          <cell r="AB83">
            <v>2125481.5</v>
          </cell>
          <cell r="AC83">
            <v>2160875.5</v>
          </cell>
          <cell r="AD83">
            <v>2193748</v>
          </cell>
          <cell r="AE83">
            <v>2233927</v>
          </cell>
          <cell r="AF83">
            <v>2262241</v>
          </cell>
          <cell r="AG83">
            <v>2278501</v>
          </cell>
          <cell r="AH83">
            <v>2470249.51547518</v>
          </cell>
          <cell r="AI83">
            <v>2509726.8842806499</v>
          </cell>
          <cell r="AJ83">
            <v>2545782.2358690398</v>
          </cell>
          <cell r="AK83">
            <v>2578966.0261046896</v>
          </cell>
          <cell r="AL83">
            <v>2614510.15936684</v>
          </cell>
          <cell r="AM83">
            <v>2648682.9193331702</v>
          </cell>
          <cell r="AN83">
            <v>2691638.7355015697</v>
          </cell>
          <cell r="AO83">
            <v>2734055.2325656302</v>
          </cell>
          <cell r="AP83">
            <v>2760731.8908079602</v>
          </cell>
          <cell r="AQ83">
            <v>2808308.1834702599</v>
          </cell>
          <cell r="AR83">
            <v>2857670</v>
          </cell>
          <cell r="AS83">
            <v>2914087</v>
          </cell>
          <cell r="AT83">
            <v>2959040</v>
          </cell>
          <cell r="AU83">
            <v>3019187</v>
          </cell>
          <cell r="AV83">
            <v>3056690</v>
          </cell>
          <cell r="AW83">
            <v>250642.5242013</v>
          </cell>
          <cell r="AX83">
            <v>255484.38545674999</v>
          </cell>
          <cell r="AY83">
            <v>260424.25945124001</v>
          </cell>
          <cell r="AZ83">
            <v>265464.13023523003</v>
          </cell>
          <cell r="BA83">
            <v>270606.02202186</v>
          </cell>
          <cell r="BB83">
            <v>275851.99999998999</v>
          </cell>
          <cell r="BC83">
            <v>278391.99999998999</v>
          </cell>
          <cell r="BD83">
            <v>279867.99999998999</v>
          </cell>
          <cell r="BE83">
            <v>280750</v>
          </cell>
          <cell r="BF83">
            <v>283059</v>
          </cell>
          <cell r="BG83">
            <v>285325</v>
          </cell>
          <cell r="BH83">
            <v>287651.5001</v>
          </cell>
          <cell r="BI83">
            <v>287936</v>
          </cell>
          <cell r="BJ83">
            <v>290446</v>
          </cell>
          <cell r="BK83">
            <v>293949</v>
          </cell>
          <cell r="BL83">
            <v>3349280.7933019502</v>
          </cell>
          <cell r="BM83">
            <v>3382886.3052992402</v>
          </cell>
          <cell r="BN83">
            <v>3417292.5367963999</v>
          </cell>
          <cell r="BO83">
            <v>3447420.2077966202</v>
          </cell>
          <cell r="BP83">
            <v>3473076.79272155</v>
          </cell>
          <cell r="BQ83">
            <v>3507176.7698001899</v>
          </cell>
          <cell r="BR83">
            <v>3536976.1883934401</v>
          </cell>
          <cell r="BS83">
            <v>3575936.323899</v>
          </cell>
          <cell r="BT83">
            <v>3624129</v>
          </cell>
          <cell r="BU83">
            <v>3674243</v>
          </cell>
          <cell r="BV83">
            <v>3720662.2206584597</v>
          </cell>
          <cell r="BW83">
            <v>3774559.4999999898</v>
          </cell>
          <cell r="BX83">
            <v>3836363</v>
          </cell>
          <cell r="BY83">
            <v>3888763</v>
          </cell>
          <cell r="BZ83">
            <v>3944446.5000000042</v>
          </cell>
        </row>
      </sheetData>
      <sheetData sheetId="1">
        <row r="3">
          <cell r="P3">
            <v>31392.32235701906</v>
          </cell>
        </row>
      </sheetData>
      <sheetData sheetId="2">
        <row r="3">
          <cell r="Q3">
            <v>37369028.60839688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  <sheetName val="Extracted Data Check"/>
      <sheetName val="2022 Data revisions"/>
    </sheetNames>
    <sheetDataSet>
      <sheetData sheetId="0">
        <row r="10">
          <cell r="S10">
            <v>99744.818639999983</v>
          </cell>
          <cell r="AI10">
            <v>210668.87551737879</v>
          </cell>
          <cell r="AY10">
            <v>72153.170949800013</v>
          </cell>
          <cell r="BO10">
            <v>30726.430302345703</v>
          </cell>
          <cell r="CE10">
            <v>168541.965</v>
          </cell>
        </row>
        <row r="72">
          <cell r="S72">
            <v>5515.1390000000001</v>
          </cell>
          <cell r="AI72">
            <v>14534.2</v>
          </cell>
          <cell r="AY72">
            <v>6734.02</v>
          </cell>
          <cell r="BO72">
            <v>3350.2350000000001</v>
          </cell>
          <cell r="CE72">
            <v>13038.453</v>
          </cell>
        </row>
        <row r="78">
          <cell r="S78">
            <v>38372.196173906734</v>
          </cell>
          <cell r="AI78">
            <v>211249.33179259702</v>
          </cell>
          <cell r="AY78">
            <v>85051.500631599658</v>
          </cell>
          <cell r="BO78">
            <v>29257.817128789633</v>
          </cell>
          <cell r="CE78">
            <v>140797.94631250581</v>
          </cell>
        </row>
        <row r="79">
          <cell r="S79">
            <v>6689.6442509090484</v>
          </cell>
          <cell r="AI79">
            <v>3853.8723332180866</v>
          </cell>
          <cell r="AY79">
            <v>2510.0075592655476</v>
          </cell>
          <cell r="BO79">
            <v>1739.7044190294273</v>
          </cell>
          <cell r="CE79">
            <v>13576.816674066067</v>
          </cell>
        </row>
        <row r="80">
          <cell r="S80">
            <v>153526.37877520372</v>
          </cell>
          <cell r="AI80">
            <v>274394.72434992855</v>
          </cell>
          <cell r="AY80">
            <v>192897.2825774345</v>
          </cell>
          <cell r="BO80">
            <v>63938.994070449917</v>
          </cell>
          <cell r="CE80">
            <v>294695.65491377062</v>
          </cell>
        </row>
        <row r="83">
          <cell r="S83">
            <v>920841</v>
          </cell>
          <cell r="AI83">
            <v>2302983</v>
          </cell>
          <cell r="AY83">
            <v>3083734</v>
          </cell>
          <cell r="BO83">
            <v>297656</v>
          </cell>
          <cell r="CE83">
            <v>3989236.5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7-18 - RIN respon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93127422</v>
          </cell>
        </row>
      </sheetData>
      <sheetData sheetId="6" refreshError="1"/>
      <sheetData sheetId="7">
        <row r="14">
          <cell r="C14">
            <v>-103984564.12373078</v>
          </cell>
        </row>
        <row r="15">
          <cell r="C15">
            <v>204289220.00560573</v>
          </cell>
        </row>
        <row r="69">
          <cell r="C69">
            <v>520532393.79215574</v>
          </cell>
        </row>
        <row r="70">
          <cell r="C70">
            <v>104051300.09404072</v>
          </cell>
        </row>
        <row r="71">
          <cell r="C71">
            <v>1090199476.440166</v>
          </cell>
        </row>
        <row r="72">
          <cell r="C72">
            <v>107913623.67676431</v>
          </cell>
        </row>
        <row r="73">
          <cell r="C73">
            <v>433372270.52274102</v>
          </cell>
        </row>
        <row r="74">
          <cell r="C74">
            <v>27253819.769905701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8-19 - RIN Respon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C14">
            <v>-106385248.68914524</v>
          </cell>
        </row>
        <row r="15">
          <cell r="C15">
            <v>177293902.0082885</v>
          </cell>
        </row>
        <row r="69">
          <cell r="C69">
            <v>563302441.72471809</v>
          </cell>
        </row>
        <row r="70">
          <cell r="C70">
            <v>106023881.73579411</v>
          </cell>
        </row>
        <row r="71">
          <cell r="C71">
            <v>1146541190.6241651</v>
          </cell>
        </row>
        <row r="72">
          <cell r="C72">
            <v>116359515.33408327</v>
          </cell>
        </row>
        <row r="73">
          <cell r="C73">
            <v>442968943.33029634</v>
          </cell>
        </row>
        <row r="74">
          <cell r="C74">
            <v>35380923.009554505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9-20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C14">
            <v>-126424290</v>
          </cell>
        </row>
        <row r="15">
          <cell r="C15">
            <v>49311832</v>
          </cell>
        </row>
        <row r="69">
          <cell r="C69">
            <v>575798163</v>
          </cell>
        </row>
        <row r="70">
          <cell r="C70">
            <v>107373542</v>
          </cell>
        </row>
        <row r="71">
          <cell r="C71">
            <v>1162814316</v>
          </cell>
        </row>
        <row r="72">
          <cell r="C72">
            <v>118711442</v>
          </cell>
        </row>
        <row r="73">
          <cell r="C73">
            <v>450391583</v>
          </cell>
        </row>
        <row r="74">
          <cell r="C74">
            <v>32170370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Sheet1"/>
      <sheetName val="ElectraNet-EB Template-2020-21-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 t="str">
            <v>TREV0101</v>
          </cell>
        </row>
      </sheetData>
      <sheetData sheetId="8">
        <row r="15">
          <cell r="A15" t="str">
            <v>TOPEX0101</v>
          </cell>
        </row>
      </sheetData>
      <sheetData sheetId="9"/>
      <sheetData sheetId="10">
        <row r="14">
          <cell r="C14">
            <v>-131173979.72722203</v>
          </cell>
        </row>
        <row r="15">
          <cell r="C15">
            <v>77797344.739000961</v>
          </cell>
        </row>
        <row r="69">
          <cell r="C69">
            <v>567712936.57280838</v>
          </cell>
        </row>
        <row r="70">
          <cell r="C70">
            <v>107495137.33458856</v>
          </cell>
        </row>
        <row r="71">
          <cell r="C71">
            <v>1152767566.7509184</v>
          </cell>
        </row>
        <row r="72">
          <cell r="C72">
            <v>120358884.2944119</v>
          </cell>
        </row>
        <row r="73">
          <cell r="C73">
            <v>441117785.50006557</v>
          </cell>
        </row>
        <row r="74">
          <cell r="C74">
            <v>18613862.799050584</v>
          </cell>
        </row>
      </sheetData>
      <sheetData sheetId="11">
        <row r="12">
          <cell r="A12" t="str">
            <v>TOPED0101</v>
          </cell>
        </row>
        <row r="69">
          <cell r="C69" t="str">
            <v>MW</v>
          </cell>
        </row>
        <row r="70">
          <cell r="C70"/>
        </row>
        <row r="71">
          <cell r="C71"/>
        </row>
        <row r="72">
          <cell r="C72" t="str">
            <v>MVA</v>
          </cell>
        </row>
        <row r="73">
          <cell r="C73" t="str">
            <v>MVA</v>
          </cell>
        </row>
        <row r="74">
          <cell r="C74" t="str">
            <v>MVA</v>
          </cell>
        </row>
      </sheetData>
      <sheetData sheetId="12">
        <row r="12">
          <cell r="A12" t="str">
            <v>TPA0101</v>
          </cell>
        </row>
        <row r="69">
          <cell r="C69" t="str">
            <v>MVA</v>
          </cell>
        </row>
        <row r="70">
          <cell r="C70" t="str">
            <v>MVA</v>
          </cell>
        </row>
        <row r="71">
          <cell r="C71" t="str">
            <v>MVA</v>
          </cell>
        </row>
        <row r="73">
          <cell r="C73"/>
        </row>
        <row r="74">
          <cell r="C74" t="str">
            <v>MVA</v>
          </cell>
        </row>
      </sheetData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7-18 - RIN respons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187614234.28</v>
          </cell>
        </row>
      </sheetData>
      <sheetData sheetId="6" refreshError="1"/>
      <sheetData sheetId="7">
        <row r="14">
          <cell r="C14">
            <v>-261276591.77307546</v>
          </cell>
        </row>
        <row r="15">
          <cell r="C15">
            <v>124148142.40923423</v>
          </cell>
        </row>
        <row r="69">
          <cell r="C69">
            <v>3256246357.7334156</v>
          </cell>
        </row>
        <row r="70">
          <cell r="C70">
            <v>47022732.370214231</v>
          </cell>
        </row>
        <row r="71">
          <cell r="C71">
            <v>2504489309.2515402</v>
          </cell>
        </row>
        <row r="72">
          <cell r="C72">
            <v>453534648.28906929</v>
          </cell>
        </row>
        <row r="73">
          <cell r="C73">
            <v>217861311.74114609</v>
          </cell>
        </row>
        <row r="74">
          <cell r="C74">
            <v>62201548.125697955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8-19 - RIN Respons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>
            <v>789083699.45808303</v>
          </cell>
        </row>
      </sheetData>
      <sheetData sheetId="8">
        <row r="56">
          <cell r="C56">
            <v>199366949.91747183</v>
          </cell>
        </row>
      </sheetData>
      <sheetData sheetId="9"/>
      <sheetData sheetId="10">
        <row r="14">
          <cell r="C14">
            <v>-286093596.74934685</v>
          </cell>
        </row>
        <row r="15">
          <cell r="C15">
            <v>214676636.14106682</v>
          </cell>
        </row>
        <row r="69">
          <cell r="C69">
            <v>3218167115.8518128</v>
          </cell>
        </row>
        <row r="70">
          <cell r="C70">
            <v>45406758.002117097</v>
          </cell>
        </row>
        <row r="71">
          <cell r="C71">
            <v>2532523372.1245866</v>
          </cell>
        </row>
        <row r="72">
          <cell r="C72">
            <v>465054035.06458426</v>
          </cell>
        </row>
        <row r="73">
          <cell r="C73">
            <v>212623922.26240173</v>
          </cell>
        </row>
        <row r="74">
          <cell r="C74">
            <v>82340270.961058527</v>
          </cell>
        </row>
      </sheetData>
      <sheetData sheetId="11">
        <row r="25">
          <cell r="D25">
            <v>53765.29422406599</v>
          </cell>
        </row>
      </sheetData>
      <sheetData sheetId="12">
        <row r="12">
          <cell r="D12">
            <v>0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9-20 - Economic Be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C14">
            <v>-303179941.85928893</v>
          </cell>
        </row>
        <row r="15">
          <cell r="C15">
            <v>77521510.38817513</v>
          </cell>
        </row>
        <row r="69">
          <cell r="C69">
            <v>3172642143.463089</v>
          </cell>
        </row>
        <row r="70">
          <cell r="C70">
            <v>43700719.219563745</v>
          </cell>
        </row>
        <row r="71">
          <cell r="C71">
            <v>2531769995.3647962</v>
          </cell>
        </row>
        <row r="72">
          <cell r="C72">
            <v>474662176.38155037</v>
          </cell>
        </row>
        <row r="73">
          <cell r="C73">
            <v>204886688.53643554</v>
          </cell>
        </row>
        <row r="74">
          <cell r="C74">
            <v>97580515.507603168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3 Assets (RAB)"/>
      <sheetName val="3.2.3 Provisions"/>
      <sheetName val="3.4 Operational data"/>
      <sheetName val="3.5 Physical assets"/>
      <sheetName val="3.6 Quality of services"/>
      <sheetName val="3.7 Operating environment"/>
      <sheetName val="NSP Amendments"/>
      <sheetName val="Powerlink 2020-21 - Economic Be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-314468959.12751842</v>
          </cell>
        </row>
        <row r="15">
          <cell r="C15">
            <v>127577260.12747781</v>
          </cell>
        </row>
        <row r="69">
          <cell r="C69">
            <v>3120359115.6702619</v>
          </cell>
        </row>
        <row r="70">
          <cell r="C70">
            <v>41717607.085800029</v>
          </cell>
        </row>
        <row r="71">
          <cell r="C71">
            <v>2452232832.1846676</v>
          </cell>
        </row>
        <row r="72">
          <cell r="C72">
            <v>481767853.47090292</v>
          </cell>
        </row>
        <row r="73">
          <cell r="C73">
            <v>197209624.61013418</v>
          </cell>
        </row>
        <row r="74">
          <cell r="C74">
            <v>111335108.7169074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Services (T) (SP AusNet)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C14">
            <v>-170906180.48810545</v>
          </cell>
        </row>
        <row r="15">
          <cell r="C15">
            <v>113724564.13357373</v>
          </cell>
        </row>
        <row r="69">
          <cell r="C69">
            <v>1066690898.8027428</v>
          </cell>
        </row>
        <row r="70">
          <cell r="C70">
            <v>32836051.702854056</v>
          </cell>
        </row>
        <row r="71">
          <cell r="C71">
            <v>1335948360.1540978</v>
          </cell>
        </row>
        <row r="72">
          <cell r="C72">
            <v>136103397.91513449</v>
          </cell>
        </row>
        <row r="73">
          <cell r="C73">
            <v>310175653.48011422</v>
          </cell>
        </row>
        <row r="74">
          <cell r="C74">
            <v>66888511.85758172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(T) 2018-19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C20">
            <v>136365015</v>
          </cell>
        </row>
      </sheetData>
      <sheetData sheetId="6" refreshError="1"/>
      <sheetData sheetId="7">
        <row r="14">
          <cell r="C14">
            <v>-174346823.83437318</v>
          </cell>
        </row>
        <row r="15">
          <cell r="C15">
            <v>119668703.06964719</v>
          </cell>
        </row>
        <row r="69">
          <cell r="C69">
            <v>1055626652.7758466</v>
          </cell>
        </row>
        <row r="70">
          <cell r="C70">
            <v>31955065.820731748</v>
          </cell>
        </row>
        <row r="71">
          <cell r="C71">
            <v>1360695041.295763</v>
          </cell>
        </row>
        <row r="72">
          <cell r="C72">
            <v>138630680.21337748</v>
          </cell>
        </row>
        <row r="73">
          <cell r="C73">
            <v>301181142.96953511</v>
          </cell>
        </row>
        <row r="74">
          <cell r="C74">
            <v>56057521.247989282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(T) 2019-20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C14">
            <v>-182669677.24412391</v>
          </cell>
        </row>
        <row r="15">
          <cell r="C15">
            <v>230006499.98383895</v>
          </cell>
        </row>
        <row r="69">
          <cell r="C69">
            <v>1040219561.1814386</v>
          </cell>
        </row>
        <row r="70">
          <cell r="C70">
            <v>31022068.293530893</v>
          </cell>
        </row>
        <row r="71">
          <cell r="C71">
            <v>1403429424.2632325</v>
          </cell>
        </row>
        <row r="72">
          <cell r="C72">
            <v>141096321.47995597</v>
          </cell>
        </row>
        <row r="73">
          <cell r="C73">
            <v>330373487.88248038</v>
          </cell>
        </row>
        <row r="74">
          <cell r="C74">
            <v>45114333.051534601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(T) 2020-21 - Economic B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>
            <v>-186020172.68516028</v>
          </cell>
        </row>
        <row r="15">
          <cell r="C15">
            <v>148420047.15022445</v>
          </cell>
        </row>
        <row r="69">
          <cell r="C69">
            <v>1027465265.5098876</v>
          </cell>
        </row>
        <row r="70">
          <cell r="C70">
            <v>29877383.496024571</v>
          </cell>
        </row>
        <row r="71">
          <cell r="C71">
            <v>1436844362.1229677</v>
          </cell>
        </row>
        <row r="72">
          <cell r="C72">
            <v>142760629.3348965</v>
          </cell>
        </row>
        <row r="73">
          <cell r="C73">
            <v>360181490.01114053</v>
          </cell>
        </row>
        <row r="74">
          <cell r="C74">
            <v>32280615.688214727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asnetworks (Transend) 2017-18 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28974888.076739792</v>
          </cell>
        </row>
      </sheetData>
      <sheetData sheetId="6" refreshError="1"/>
      <sheetData sheetId="7">
        <row r="14">
          <cell r="C14">
            <v>-61390494.942420773</v>
          </cell>
        </row>
        <row r="15">
          <cell r="C15">
            <v>47336276.340199895</v>
          </cell>
        </row>
        <row r="69">
          <cell r="C69">
            <v>499931478.36867225</v>
          </cell>
        </row>
        <row r="70">
          <cell r="C70">
            <v>28561437.39424032</v>
          </cell>
        </row>
        <row r="71">
          <cell r="C71">
            <v>647478513.11667204</v>
          </cell>
        </row>
        <row r="72">
          <cell r="C72">
            <v>107208649.6376372</v>
          </cell>
        </row>
        <row r="73">
          <cell r="C73">
            <v>78211077.64530462</v>
          </cell>
        </row>
        <row r="74">
          <cell r="C74">
            <v>9674250.1560120657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asnetworks (Transend) 2018-19 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C14">
            <v>-62790620.312088862</v>
          </cell>
        </row>
        <row r="15">
          <cell r="C15">
            <v>64485204.634988837</v>
          </cell>
        </row>
        <row r="69">
          <cell r="C69">
            <v>508912302.20302117</v>
          </cell>
        </row>
        <row r="70">
          <cell r="C70">
            <v>28045231.588185351</v>
          </cell>
        </row>
        <row r="71">
          <cell r="C71">
            <v>580299902.51785195</v>
          </cell>
        </row>
        <row r="72">
          <cell r="C72">
            <v>109187737.44310585</v>
          </cell>
        </row>
        <row r="73">
          <cell r="C73">
            <v>155570775.56417596</v>
          </cell>
        </row>
        <row r="74">
          <cell r="C74">
            <v>8053558.8299427573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NSP - EB - TasNetworks 2019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2">
          <cell r="C12">
            <v>1375521128</v>
          </cell>
        </row>
        <row r="14">
          <cell r="C14">
            <v>-56413529.30933053</v>
          </cell>
        </row>
        <row r="15">
          <cell r="C15">
            <v>59472139.368714496</v>
          </cell>
        </row>
        <row r="17">
          <cell r="C17">
            <v>1404095762.1603251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NSP - EB - TasNetworks - 2020-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 t="str">
            <v>TREV0101</v>
          </cell>
        </row>
      </sheetData>
      <sheetData sheetId="8">
        <row r="15">
          <cell r="A15" t="str">
            <v>TOPEX0101</v>
          </cell>
        </row>
      </sheetData>
      <sheetData sheetId="9"/>
      <sheetData sheetId="10">
        <row r="14">
          <cell r="C14">
            <v>-58026015.771226466</v>
          </cell>
        </row>
        <row r="15">
          <cell r="C15">
            <v>38111489.240591824</v>
          </cell>
        </row>
        <row r="69">
          <cell r="C69">
            <v>472174128.4692477</v>
          </cell>
        </row>
        <row r="70">
          <cell r="C70">
            <v>27085350.29694045</v>
          </cell>
        </row>
        <row r="71">
          <cell r="C71">
            <v>618107467.94944215</v>
          </cell>
        </row>
        <row r="72">
          <cell r="C72">
            <v>117190441.48151192</v>
          </cell>
        </row>
        <row r="73">
          <cell r="C73">
            <v>155715918.0247438</v>
          </cell>
        </row>
        <row r="74">
          <cell r="C74">
            <v>9999920.2879450377</v>
          </cell>
        </row>
      </sheetData>
      <sheetData sheetId="11">
        <row r="12">
          <cell r="A12" t="str">
            <v>TOPED0101</v>
          </cell>
        </row>
        <row r="69">
          <cell r="C69" t="str">
            <v>MW</v>
          </cell>
        </row>
        <row r="70">
          <cell r="C70"/>
        </row>
        <row r="71">
          <cell r="C71"/>
        </row>
        <row r="72">
          <cell r="C72" t="str">
            <v>MVA</v>
          </cell>
        </row>
        <row r="73">
          <cell r="C73" t="str">
            <v>MVA</v>
          </cell>
        </row>
        <row r="74">
          <cell r="C74" t="str">
            <v>MVA</v>
          </cell>
        </row>
      </sheetData>
      <sheetData sheetId="12">
        <row r="12">
          <cell r="A12" t="str">
            <v>TPA0101</v>
          </cell>
        </row>
        <row r="69">
          <cell r="C69" t="str">
            <v>MVA</v>
          </cell>
        </row>
        <row r="70">
          <cell r="C70" t="str">
            <v>MVA</v>
          </cell>
        </row>
        <row r="71">
          <cell r="C71" t="str">
            <v>MVA</v>
          </cell>
        </row>
        <row r="73">
          <cell r="C73"/>
        </row>
        <row r="74">
          <cell r="C74" t="str">
            <v>MVA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7-18 - RIN respons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>
        <row r="20">
          <cell r="C20">
            <v>713126124.0323025</v>
          </cell>
        </row>
      </sheetData>
      <sheetData sheetId="5">
        <row r="56">
          <cell r="C56">
            <v>153556693.99000016</v>
          </cell>
        </row>
      </sheetData>
      <sheetData sheetId="6"/>
      <sheetData sheetId="7">
        <row r="14">
          <cell r="C14">
            <v>-265038966.94009852</v>
          </cell>
        </row>
        <row r="15">
          <cell r="C15">
            <v>239882389.90682527</v>
          </cell>
        </row>
        <row r="69">
          <cell r="C69">
            <v>1654041871.7922373</v>
          </cell>
        </row>
        <row r="70">
          <cell r="C70">
            <v>202801368.48791707</v>
          </cell>
        </row>
        <row r="71">
          <cell r="C71">
            <v>2932398691.9981418</v>
          </cell>
        </row>
        <row r="72">
          <cell r="C72">
            <v>867646292.81098557</v>
          </cell>
        </row>
        <row r="73">
          <cell r="C73">
            <v>323711656.69487941</v>
          </cell>
        </row>
        <row r="74">
          <cell r="C74">
            <v>60938099.596239656</v>
          </cell>
        </row>
      </sheetData>
      <sheetData sheetId="8">
        <row r="25">
          <cell r="D25">
            <v>75700</v>
          </cell>
        </row>
      </sheetData>
      <sheetData sheetId="9">
        <row r="12">
          <cell r="D12">
            <v>1023.7574999236784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8-19 - Economic Be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>
            <v>750080688.41414809</v>
          </cell>
        </row>
      </sheetData>
      <sheetData sheetId="8">
        <row r="56">
          <cell r="C56">
            <v>154447845.15999949</v>
          </cell>
        </row>
      </sheetData>
      <sheetData sheetId="9"/>
      <sheetData sheetId="10">
        <row r="14">
          <cell r="C14">
            <v>-255967763.14920798</v>
          </cell>
        </row>
        <row r="15">
          <cell r="C15">
            <v>265754537.29379684</v>
          </cell>
        </row>
        <row r="69">
          <cell r="C69">
            <v>1762515328.8275318</v>
          </cell>
        </row>
        <row r="70">
          <cell r="C70">
            <v>198828261.41022986</v>
          </cell>
        </row>
        <row r="71">
          <cell r="C71">
            <v>2958300077.9003768</v>
          </cell>
        </row>
        <row r="72">
          <cell r="C72">
            <v>895662755.14955902</v>
          </cell>
        </row>
        <row r="73">
          <cell r="C73">
            <v>372857499.75321573</v>
          </cell>
        </row>
        <row r="74">
          <cell r="C74">
            <v>70792162.941207498</v>
          </cell>
        </row>
      </sheetData>
      <sheetData sheetId="11">
        <row r="25">
          <cell r="D25">
            <v>74400</v>
          </cell>
        </row>
      </sheetData>
      <sheetData sheetId="12">
        <row r="12">
          <cell r="D12">
            <v>1022.8770999298056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9-20 - Economic Be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C14">
            <v>-274692067</v>
          </cell>
        </row>
        <row r="15">
          <cell r="C15">
            <v>217115573</v>
          </cell>
        </row>
        <row r="69">
          <cell r="C69">
            <v>1794112549</v>
          </cell>
        </row>
        <row r="70">
          <cell r="C70">
            <v>194690445</v>
          </cell>
        </row>
        <row r="71">
          <cell r="C71">
            <v>2983481379</v>
          </cell>
        </row>
        <row r="72">
          <cell r="C72">
            <v>914212670</v>
          </cell>
        </row>
        <row r="73">
          <cell r="C73">
            <v>383835051</v>
          </cell>
        </row>
        <row r="74">
          <cell r="C74">
            <v>74912510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20-21 - Economic Be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>
            <v>-289960286</v>
          </cell>
        </row>
        <row r="15">
          <cell r="C15">
            <v>208491982</v>
          </cell>
        </row>
        <row r="69">
          <cell r="C69">
            <v>1793484879</v>
          </cell>
        </row>
        <row r="70">
          <cell r="C70">
            <v>189449147</v>
          </cell>
        </row>
        <row r="71">
          <cell r="C71">
            <v>2985895511</v>
          </cell>
        </row>
        <row r="72">
          <cell r="C72">
            <v>928415346</v>
          </cell>
        </row>
        <row r="73">
          <cell r="C73">
            <v>389544879</v>
          </cell>
        </row>
        <row r="74">
          <cell r="C74">
            <v>71001444</v>
          </cell>
        </row>
      </sheetData>
      <sheetData sheetId="11"/>
      <sheetData sheetId="12">
        <row r="21">
          <cell r="D21"/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Decision tables"/>
      <sheetName val="Output|Models"/>
      <sheetName val="Output|Decomposition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>
        <row r="67">
          <cell r="F67">
            <v>119.7</v>
          </cell>
        </row>
        <row r="68">
          <cell r="F68">
            <v>121.3</v>
          </cell>
        </row>
        <row r="69">
          <cell r="F69">
            <v>123.9</v>
          </cell>
        </row>
        <row r="70">
          <cell r="F70">
            <v>126.1</v>
          </cell>
        </row>
        <row r="71">
          <cell r="F71">
            <v>128.4307</v>
          </cell>
        </row>
        <row r="72">
          <cell r="F72">
            <v>130.76140000000001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  <sheetName val="Extracted Data Check"/>
      <sheetName val="2022 Data revisions"/>
    </sheetNames>
    <sheetDataSet>
      <sheetData sheetId="0">
        <row r="7">
          <cell r="S7">
            <v>13621.768999909813</v>
          </cell>
          <cell r="AI7">
            <v>51783.263917914992</v>
          </cell>
          <cell r="AY7">
            <v>42258.720000000001</v>
          </cell>
          <cell r="BO7">
            <v>12909.204958704959</v>
          </cell>
          <cell r="CE7">
            <v>71300</v>
          </cell>
        </row>
        <row r="8">
          <cell r="S8">
            <v>3317.0199969799901</v>
          </cell>
          <cell r="AI8">
            <v>12014.231537999995</v>
          </cell>
          <cell r="AY8">
            <v>8943.6239999999998</v>
          </cell>
          <cell r="BO8">
            <v>2410.3831052365917</v>
          </cell>
          <cell r="CE8">
            <v>18500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workbookViewId="0">
      <selection activeCell="A31" sqref="A31"/>
    </sheetView>
  </sheetViews>
  <sheetFormatPr defaultColWidth="8.85546875" defaultRowHeight="15" x14ac:dyDescent="0.25"/>
  <cols>
    <col min="1" max="1" width="101.5703125" customWidth="1"/>
  </cols>
  <sheetData>
    <row r="1" spans="1:1" x14ac:dyDescent="0.25">
      <c r="A1" s="10" t="s">
        <v>77</v>
      </c>
    </row>
    <row r="2" spans="1:1" x14ac:dyDescent="0.25">
      <c r="A2" s="63" t="s">
        <v>111</v>
      </c>
    </row>
    <row r="4" spans="1:1" x14ac:dyDescent="0.25">
      <c r="A4" s="21" t="s">
        <v>73</v>
      </c>
    </row>
    <row r="5" spans="1:1" x14ac:dyDescent="0.25">
      <c r="A5" s="76" t="s">
        <v>143</v>
      </c>
    </row>
    <row r="7" spans="1:1" x14ac:dyDescent="0.25">
      <c r="A7" s="21" t="s">
        <v>74</v>
      </c>
    </row>
    <row r="8" spans="1:1" x14ac:dyDescent="0.25">
      <c r="A8" s="22" t="s">
        <v>97</v>
      </c>
    </row>
    <row r="9" spans="1:1" s="24" customFormat="1" ht="29.1" customHeight="1" x14ac:dyDescent="0.25">
      <c r="A9" s="23" t="s">
        <v>75</v>
      </c>
    </row>
    <row r="10" spans="1:1" ht="14.45" customHeight="1" x14ac:dyDescent="0.25">
      <c r="A10" s="23" t="s">
        <v>98</v>
      </c>
    </row>
    <row r="11" spans="1:1" s="24" customFormat="1" ht="14.45" customHeight="1" x14ac:dyDescent="0.25">
      <c r="A11" s="23" t="s">
        <v>99</v>
      </c>
    </row>
    <row r="12" spans="1:1" x14ac:dyDescent="0.25">
      <c r="A12" s="23" t="s">
        <v>101</v>
      </c>
    </row>
    <row r="13" spans="1:1" s="24" customFormat="1" ht="14.45" customHeight="1" x14ac:dyDescent="0.25">
      <c r="A13" s="23" t="s">
        <v>100</v>
      </c>
    </row>
    <row r="14" spans="1:1" x14ac:dyDescent="0.25">
      <c r="A14" s="22" t="s">
        <v>78</v>
      </c>
    </row>
    <row r="17" spans="1:1" x14ac:dyDescent="0.25">
      <c r="A17" s="25" t="s">
        <v>76</v>
      </c>
    </row>
    <row r="18" spans="1:1" x14ac:dyDescent="0.25">
      <c r="A18" s="22" t="s">
        <v>80</v>
      </c>
    </row>
    <row r="19" spans="1:1" x14ac:dyDescent="0.25">
      <c r="A19" s="22" t="s">
        <v>79</v>
      </c>
    </row>
    <row r="20" spans="1:1" x14ac:dyDescent="0.25">
      <c r="A20" s="22" t="s">
        <v>87</v>
      </c>
    </row>
    <row r="21" spans="1:1" x14ac:dyDescent="0.25">
      <c r="A21" s="22" t="s">
        <v>102</v>
      </c>
    </row>
    <row r="23" spans="1:1" x14ac:dyDescent="0.25">
      <c r="A23" s="75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8"/>
  <sheetViews>
    <sheetView topLeftCell="A15" zoomScale="90" zoomScaleNormal="90" workbookViewId="0">
      <selection activeCell="F119" sqref="F119"/>
    </sheetView>
  </sheetViews>
  <sheetFormatPr defaultRowHeight="15" x14ac:dyDescent="0.25"/>
  <cols>
    <col min="21" max="21" width="9.140625" customWidth="1"/>
  </cols>
  <sheetData>
    <row r="1" spans="1:15" ht="21" x14ac:dyDescent="0.35">
      <c r="A1" s="10" t="s">
        <v>86</v>
      </c>
      <c r="O1" s="16" t="s">
        <v>124</v>
      </c>
    </row>
    <row r="2" spans="1:15" ht="21" x14ac:dyDescent="0.35">
      <c r="A2" s="16" t="s">
        <v>123</v>
      </c>
    </row>
    <row r="27" spans="1:16" ht="21" x14ac:dyDescent="0.35">
      <c r="A27" s="16" t="s">
        <v>121</v>
      </c>
      <c r="P27" s="16" t="s">
        <v>122</v>
      </c>
    </row>
    <row r="53" spans="1:16" ht="26.25" x14ac:dyDescent="0.4">
      <c r="A53" s="16" t="s">
        <v>126</v>
      </c>
      <c r="J53" s="9"/>
      <c r="P53" s="16" t="s">
        <v>125</v>
      </c>
    </row>
    <row r="74" spans="1:16" ht="21" x14ac:dyDescent="0.35">
      <c r="P74" s="16" t="s">
        <v>127</v>
      </c>
    </row>
    <row r="76" spans="1:16" ht="21" x14ac:dyDescent="0.35">
      <c r="P76" s="16"/>
    </row>
    <row r="78" spans="1:16" ht="26.25" x14ac:dyDescent="0.4">
      <c r="A78" s="16" t="s">
        <v>128</v>
      </c>
      <c r="K78" s="9"/>
    </row>
    <row r="100" spans="16:16" ht="21" x14ac:dyDescent="0.35">
      <c r="P100" s="16" t="s">
        <v>129</v>
      </c>
    </row>
    <row r="128" spans="16:16" x14ac:dyDescent="0.25">
      <c r="P128" t="s">
        <v>149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7"/>
  <sheetViews>
    <sheetView topLeftCell="A41" zoomScale="90" zoomScaleNormal="90" workbookViewId="0">
      <pane xSplit="2" topLeftCell="C1" activePane="topRight" state="frozen"/>
      <selection pane="topRight" activeCell="T69" sqref="T69"/>
    </sheetView>
  </sheetViews>
  <sheetFormatPr defaultColWidth="9.140625" defaultRowHeight="15" x14ac:dyDescent="0.25"/>
  <cols>
    <col min="1" max="1" width="56.140625" customWidth="1"/>
    <col min="2" max="2" width="21.28515625" customWidth="1"/>
    <col min="3" max="3" width="13.85546875" bestFit="1" customWidth="1"/>
    <col min="4" max="4" width="13.85546875" customWidth="1"/>
    <col min="5" max="5" width="14.42578125" customWidth="1"/>
    <col min="6" max="6" width="15.42578125" customWidth="1"/>
    <col min="7" max="8" width="15.5703125" bestFit="1" customWidth="1"/>
    <col min="9" max="18" width="16.140625" bestFit="1" customWidth="1"/>
    <col min="19" max="19" width="16.140625" customWidth="1"/>
    <col min="20" max="20" width="19.85546875" bestFit="1" customWidth="1"/>
    <col min="21" max="22" width="27.7109375" bestFit="1" customWidth="1"/>
    <col min="23" max="23" width="30.5703125" customWidth="1"/>
    <col min="24" max="26" width="25.42578125" customWidth="1"/>
    <col min="27" max="27" width="14.85546875" customWidth="1"/>
    <col min="28" max="28" width="14.5703125" customWidth="1"/>
    <col min="29" max="29" width="19.85546875" customWidth="1"/>
    <col min="30" max="31" width="21" customWidth="1"/>
    <col min="32" max="32" width="12.85546875" customWidth="1"/>
    <col min="33" max="33" width="16" customWidth="1"/>
    <col min="34" max="34" width="21.140625" customWidth="1"/>
    <col min="35" max="36" width="18.5703125" customWidth="1"/>
  </cols>
  <sheetData>
    <row r="1" spans="1:26" x14ac:dyDescent="0.25">
      <c r="A1" s="10" t="s">
        <v>85</v>
      </c>
      <c r="B1" s="10" t="s">
        <v>85</v>
      </c>
    </row>
    <row r="2" spans="1:26" s="13" customFormat="1" ht="45" x14ac:dyDescent="0.25">
      <c r="A2" s="10" t="s">
        <v>135</v>
      </c>
      <c r="B2" s="10" t="s">
        <v>115</v>
      </c>
      <c r="C2" s="10"/>
      <c r="D2" s="13" t="s">
        <v>72</v>
      </c>
      <c r="E2" s="13" t="s">
        <v>33</v>
      </c>
      <c r="F2" s="13" t="s">
        <v>103</v>
      </c>
      <c r="G2" s="13" t="s">
        <v>110</v>
      </c>
    </row>
    <row r="3" spans="1:26" s="13" customFormat="1" x14ac:dyDescent="0.25">
      <c r="A3" s="10"/>
      <c r="B3" s="10"/>
      <c r="C3" s="10"/>
      <c r="D3" s="24" t="s">
        <v>116</v>
      </c>
      <c r="E3" s="24" t="s">
        <v>118</v>
      </c>
      <c r="F3" s="24" t="s">
        <v>119</v>
      </c>
      <c r="G3" s="13" t="s">
        <v>120</v>
      </c>
    </row>
    <row r="4" spans="1:26" x14ac:dyDescent="0.25">
      <c r="A4" s="27" t="s">
        <v>37</v>
      </c>
      <c r="B4" s="27" t="s">
        <v>91</v>
      </c>
      <c r="C4" s="27"/>
      <c r="D4" s="20">
        <f>$T13</f>
        <v>86690.43652445206</v>
      </c>
      <c r="E4" s="20">
        <f>T21</f>
        <v>22.40357595088819</v>
      </c>
      <c r="F4" s="20">
        <f>T29</f>
        <v>331.56818289385239</v>
      </c>
      <c r="G4" s="20">
        <f>T45</f>
        <v>54250.466118865064</v>
      </c>
      <c r="H4" s="58"/>
    </row>
    <row r="5" spans="1:26" x14ac:dyDescent="0.25">
      <c r="A5" s="27" t="s">
        <v>21</v>
      </c>
      <c r="B5" s="27" t="s">
        <v>92</v>
      </c>
      <c r="C5" s="27"/>
      <c r="D5" s="20">
        <f t="shared" ref="D5:D8" si="0">$T14</f>
        <v>59876.073134935592</v>
      </c>
      <c r="E5" s="20">
        <f t="shared" ref="E5:E8" si="1">T22</f>
        <v>13.819984280388192</v>
      </c>
      <c r="F5" s="20">
        <f t="shared" ref="F5:F8" si="2">T30</f>
        <v>328.60585626097361</v>
      </c>
      <c r="G5" s="20">
        <f t="shared" ref="G5:G8" si="3">T46</f>
        <v>50934.932812012892</v>
      </c>
      <c r="H5" s="58"/>
    </row>
    <row r="6" spans="1:26" x14ac:dyDescent="0.25">
      <c r="A6" s="27" t="s">
        <v>35</v>
      </c>
      <c r="B6" s="27" t="s">
        <v>93</v>
      </c>
      <c r="C6" s="27"/>
      <c r="D6" s="20">
        <f t="shared" si="0"/>
        <v>39380.333583517582</v>
      </c>
      <c r="E6" s="20">
        <f t="shared" si="1"/>
        <v>8.9964758668058629</v>
      </c>
      <c r="F6" s="20">
        <f t="shared" si="2"/>
        <v>128.07994678536767</v>
      </c>
      <c r="G6" s="20">
        <f t="shared" si="3"/>
        <v>57812.045783110058</v>
      </c>
      <c r="H6" s="58"/>
    </row>
    <row r="7" spans="1:26" x14ac:dyDescent="0.25">
      <c r="A7" s="27" t="s">
        <v>29</v>
      </c>
      <c r="B7" s="27" t="s">
        <v>94</v>
      </c>
      <c r="C7" s="27"/>
      <c r="D7" s="20">
        <f t="shared" si="0"/>
        <v>57992.857226466331</v>
      </c>
      <c r="E7" s="20">
        <f t="shared" si="1"/>
        <v>11.348289981138516</v>
      </c>
      <c r="F7" s="20">
        <f t="shared" si="2"/>
        <v>491.26603274775835</v>
      </c>
      <c r="G7" s="20">
        <f t="shared" si="3"/>
        <v>41125.99832988163</v>
      </c>
      <c r="H7" s="58"/>
    </row>
    <row r="8" spans="1:26" x14ac:dyDescent="0.25">
      <c r="A8" s="27" t="s">
        <v>38</v>
      </c>
      <c r="B8" s="27" t="s">
        <v>95</v>
      </c>
      <c r="C8" s="27"/>
      <c r="D8" s="20">
        <f t="shared" si="0"/>
        <v>35295.751091064973</v>
      </c>
      <c r="E8" s="20">
        <f t="shared" si="1"/>
        <v>8.912747159667278</v>
      </c>
      <c r="F8" s="20">
        <f t="shared" si="2"/>
        <v>169.72145624067198</v>
      </c>
      <c r="G8" s="20">
        <f t="shared" si="3"/>
        <v>50415.080345415059</v>
      </c>
      <c r="H8" s="58"/>
    </row>
    <row r="10" spans="1:26" x14ac:dyDescent="0.25">
      <c r="A10" s="10" t="s">
        <v>32</v>
      </c>
      <c r="B10" s="10" t="s">
        <v>32</v>
      </c>
      <c r="C10" s="10"/>
    </row>
    <row r="12" spans="1:26" s="10" customFormat="1" ht="45" x14ac:dyDescent="0.25">
      <c r="A12" s="29" t="s">
        <v>48</v>
      </c>
      <c r="B12" s="29" t="s">
        <v>48</v>
      </c>
      <c r="C12" s="29"/>
      <c r="D12" s="30">
        <v>2006</v>
      </c>
      <c r="E12" s="30">
        <v>2007</v>
      </c>
      <c r="F12" s="30">
        <v>2008</v>
      </c>
      <c r="G12" s="30">
        <v>2009</v>
      </c>
      <c r="H12" s="30">
        <v>2010</v>
      </c>
      <c r="I12" s="30">
        <v>2011</v>
      </c>
      <c r="J12" s="30">
        <v>2012</v>
      </c>
      <c r="K12" s="30">
        <v>2013</v>
      </c>
      <c r="L12" s="30">
        <v>2014</v>
      </c>
      <c r="M12" s="30">
        <v>2015</v>
      </c>
      <c r="N12" s="30">
        <v>2016</v>
      </c>
      <c r="O12" s="30">
        <v>2017</v>
      </c>
      <c r="P12" s="30">
        <v>2018</v>
      </c>
      <c r="Q12" s="30">
        <v>2019</v>
      </c>
      <c r="R12" s="30">
        <v>2020</v>
      </c>
      <c r="S12" s="30">
        <v>2021</v>
      </c>
      <c r="T12" s="30" t="s">
        <v>24</v>
      </c>
      <c r="U12" s="10" t="s">
        <v>117</v>
      </c>
      <c r="W12" s="13" t="s">
        <v>148</v>
      </c>
      <c r="Z12" s="10" t="s">
        <v>147</v>
      </c>
    </row>
    <row r="13" spans="1:26" x14ac:dyDescent="0.25">
      <c r="A13" s="27" t="s">
        <v>37</v>
      </c>
      <c r="B13" s="27" t="s">
        <v>91</v>
      </c>
      <c r="C13" s="27" t="s">
        <v>132</v>
      </c>
      <c r="D13" s="20">
        <f>D53/'Physical data'!D11</f>
        <v>51973.697603558699</v>
      </c>
      <c r="E13" s="20">
        <f>E53/'Physical data'!E11</f>
        <v>56666.112454933893</v>
      </c>
      <c r="F13" s="20">
        <f>F53/'Physical data'!F11</f>
        <v>44937.520519309306</v>
      </c>
      <c r="G13" s="20">
        <f>G53/'Physical data'!G11</f>
        <v>59198.640978272037</v>
      </c>
      <c r="H13" s="20">
        <f>H53/'Physical data'!H11</f>
        <v>56329.608992591522</v>
      </c>
      <c r="I13" s="20">
        <f>I53/'Physical data'!I11</f>
        <v>57464.242807637653</v>
      </c>
      <c r="J13" s="20">
        <f>J53/'Physical data'!J11</f>
        <v>69794.073179431114</v>
      </c>
      <c r="K13" s="20">
        <f>K53/'Physical data'!K11</f>
        <v>61397.692315455017</v>
      </c>
      <c r="L13" s="20">
        <f>L53/'Physical data'!L11</f>
        <v>71583.008452963535</v>
      </c>
      <c r="M13" s="20">
        <f>M53/'Physical data'!M11</f>
        <v>98840.488215304023</v>
      </c>
      <c r="N13" s="20">
        <f>N53/'Physical data'!N11</f>
        <v>92474.862592499965</v>
      </c>
      <c r="O13" s="20">
        <f>O53/'Physical data'!O11</f>
        <v>85257.018928119112</v>
      </c>
      <c r="P13" s="20">
        <f>P53/'Physical data'!P11</f>
        <v>88804.581618704789</v>
      </c>
      <c r="Q13" s="20">
        <f>Q53/'Physical data'!Q11</f>
        <v>81074.569076714353</v>
      </c>
      <c r="R13" s="20">
        <f>R53/'Physical data'!R11</f>
        <v>87148.083926034582</v>
      </c>
      <c r="S13" s="20">
        <f>S53/'Physical data'!S11</f>
        <v>91167.929072687431</v>
      </c>
      <c r="T13" s="20">
        <f>AVERAGE(O13:S13)</f>
        <v>86690.43652445206</v>
      </c>
      <c r="U13" s="56">
        <f>$S13/$D13-1</f>
        <v>0.75411666431916635</v>
      </c>
      <c r="V13" s="43">
        <f>R13/R15</f>
        <v>2.3694723578067616</v>
      </c>
      <c r="W13" s="43">
        <f>S13/S15</f>
        <v>2.2617691126657382</v>
      </c>
      <c r="X13" s="71">
        <f>S13/T13-1</f>
        <v>5.1649209852259181E-2</v>
      </c>
      <c r="Y13" s="11">
        <f>S13-R13</f>
        <v>4019.8451466528495</v>
      </c>
      <c r="Z13" s="71">
        <f>Y13/R13</f>
        <v>4.6126603885687525E-2</v>
      </c>
    </row>
    <row r="14" spans="1:26" x14ac:dyDescent="0.25">
      <c r="A14" s="27" t="s">
        <v>21</v>
      </c>
      <c r="B14" s="27" t="s">
        <v>92</v>
      </c>
      <c r="C14" s="27" t="s">
        <v>132</v>
      </c>
      <c r="D14" s="20">
        <f>D54/'Physical data'!D12</f>
        <v>49239.269482798176</v>
      </c>
      <c r="E14" s="20">
        <f>E54/'Physical data'!E12</f>
        <v>49976.12039675127</v>
      </c>
      <c r="F14" s="20">
        <f>F54/'Physical data'!F12</f>
        <v>48766.016484057545</v>
      </c>
      <c r="G14" s="20">
        <f>G54/'Physical data'!G12</f>
        <v>63386.266260482938</v>
      </c>
      <c r="H14" s="20">
        <f>H54/'Physical data'!H12</f>
        <v>61968.025350433243</v>
      </c>
      <c r="I14" s="20">
        <f>I54/'Physical data'!I12</f>
        <v>67416.995124224806</v>
      </c>
      <c r="J14" s="20">
        <f>J54/'Physical data'!J12</f>
        <v>82396.920927067535</v>
      </c>
      <c r="K14" s="20">
        <f>K54/'Physical data'!K12</f>
        <v>67742.205374966987</v>
      </c>
      <c r="L14" s="20">
        <f>L54/'Physical data'!L12</f>
        <v>62530.155095396694</v>
      </c>
      <c r="M14" s="20">
        <f>M54/'Physical data'!M12</f>
        <v>79935.055157651863</v>
      </c>
      <c r="N14" s="20">
        <f>N54/'Physical data'!N12</f>
        <v>73130.35687827527</v>
      </c>
      <c r="O14" s="20">
        <f>O54/'Physical data'!O12</f>
        <v>64604.650585123461</v>
      </c>
      <c r="P14" s="20">
        <f>P54/'Physical data'!P12</f>
        <v>58994.20655749947</v>
      </c>
      <c r="Q14" s="20">
        <f>Q54/'Physical data'!Q12</f>
        <v>60202.824608861942</v>
      </c>
      <c r="R14" s="20">
        <f>R54/'Physical data'!R12</f>
        <v>56504.960154085202</v>
      </c>
      <c r="S14" s="20">
        <f>S54/'Physical data'!S12</f>
        <v>59073.723769107884</v>
      </c>
      <c r="T14" s="20">
        <f t="shared" ref="T14:T17" si="4">AVERAGE(O14:S14)</f>
        <v>59876.073134935592</v>
      </c>
      <c r="U14" s="56">
        <f t="shared" ref="U14:U17" si="5">$S14/$D14-1</f>
        <v>0.19972786740358517</v>
      </c>
      <c r="V14" s="43">
        <f>R13/R17</f>
        <v>2.6647335889954804</v>
      </c>
      <c r="W14" s="43">
        <f>S13/S17</f>
        <v>2.6940707348577688</v>
      </c>
    </row>
    <row r="15" spans="1:26" x14ac:dyDescent="0.25">
      <c r="A15" s="27" t="s">
        <v>35</v>
      </c>
      <c r="B15" s="27" t="s">
        <v>93</v>
      </c>
      <c r="C15" s="27" t="s">
        <v>132</v>
      </c>
      <c r="D15" s="20">
        <f>D55/'Physical data'!D13</f>
        <v>43960.7250846362</v>
      </c>
      <c r="E15" s="20">
        <f>E55/'Physical data'!E13</f>
        <v>34246.819280446383</v>
      </c>
      <c r="F15" s="20">
        <f>F55/'Physical data'!F13</f>
        <v>36174.388943625905</v>
      </c>
      <c r="G15" s="20">
        <f>G55/'Physical data'!G13</f>
        <v>37384.971406588673</v>
      </c>
      <c r="H15" s="20">
        <f>H55/'Physical data'!H13</f>
        <v>44472.197288446165</v>
      </c>
      <c r="I15" s="20">
        <f>I55/'Physical data'!I13</f>
        <v>43778.596546869732</v>
      </c>
      <c r="J15" s="20">
        <f>J55/'Physical data'!J13</f>
        <v>45440.992056323419</v>
      </c>
      <c r="K15" s="20">
        <f>K55/'Physical data'!K13</f>
        <v>43056.84679969983</v>
      </c>
      <c r="L15" s="20">
        <f>L55/'Physical data'!L13</f>
        <v>34360.944570934378</v>
      </c>
      <c r="M15" s="20">
        <f>M55/'Physical data'!M13</f>
        <v>44579.963009089915</v>
      </c>
      <c r="N15" s="20">
        <f>N55/'Physical data'!N13</f>
        <v>39666.673313828331</v>
      </c>
      <c r="O15" s="20">
        <f>O55/'Physical data'!O13</f>
        <v>43107.53585975957</v>
      </c>
      <c r="P15" s="20">
        <f>P55/'Physical data'!P13</f>
        <v>37921.370126031456</v>
      </c>
      <c r="Q15" s="20">
        <f>Q55/'Physical data'!Q13</f>
        <v>38784.991525416524</v>
      </c>
      <c r="R15" s="20">
        <f>R55/'Physical data'!R13</f>
        <v>36779.531796986594</v>
      </c>
      <c r="S15" s="20">
        <f>S55/'Physical data'!S13</f>
        <v>40308.238609393782</v>
      </c>
      <c r="T15" s="20">
        <f t="shared" si="4"/>
        <v>39380.333583517582</v>
      </c>
      <c r="U15" s="56">
        <f t="shared" si="5"/>
        <v>-8.3085219095235585E-2</v>
      </c>
    </row>
    <row r="16" spans="1:26" x14ac:dyDescent="0.25">
      <c r="A16" s="27" t="s">
        <v>29</v>
      </c>
      <c r="B16" s="27" t="s">
        <v>94</v>
      </c>
      <c r="C16" s="27" t="s">
        <v>132</v>
      </c>
      <c r="D16" s="20">
        <f>D56/'Physical data'!D14</f>
        <v>56571.143189064765</v>
      </c>
      <c r="E16" s="20">
        <f>E56/'Physical data'!E14</f>
        <v>53161.527204402541</v>
      </c>
      <c r="F16" s="20">
        <f>F56/'Physical data'!F14</f>
        <v>65366.171881572096</v>
      </c>
      <c r="G16" s="20">
        <f>G56/'Physical data'!G14</f>
        <v>60803.414475449827</v>
      </c>
      <c r="H16" s="20">
        <f>H56/'Physical data'!H14</f>
        <v>69915.587695089474</v>
      </c>
      <c r="I16" s="20">
        <f>I56/'Physical data'!I14</f>
        <v>72477.276756962761</v>
      </c>
      <c r="J16" s="20">
        <f>J56/'Physical data'!J14</f>
        <v>86435.403905328872</v>
      </c>
      <c r="K16" s="20">
        <f>K56/'Physical data'!K14</f>
        <v>73844.208541137181</v>
      </c>
      <c r="L16" s="20">
        <f>L56/'Physical data'!L14</f>
        <v>68424.844442562317</v>
      </c>
      <c r="M16" s="20">
        <f>M56/'Physical data'!M14</f>
        <v>71331.496438288319</v>
      </c>
      <c r="N16" s="20">
        <f>N56/'Physical data'!N14</f>
        <v>66149.15462102645</v>
      </c>
      <c r="O16" s="20">
        <f>O56/'Physical data'!O14</f>
        <v>65517.320623882668</v>
      </c>
      <c r="P16" s="20">
        <f>P56/'Physical data'!P14</f>
        <v>58015.201156919415</v>
      </c>
      <c r="Q16" s="20">
        <f>Q56/'Physical data'!Q14</f>
        <v>62403.073352268089</v>
      </c>
      <c r="R16" s="20">
        <f>R56/'Physical data'!R14</f>
        <v>51182.950111941354</v>
      </c>
      <c r="S16" s="20">
        <f>S56/'Physical data'!S14</f>
        <v>52845.740887320128</v>
      </c>
      <c r="T16" s="20">
        <f t="shared" si="4"/>
        <v>57992.857226466331</v>
      </c>
      <c r="U16" s="56">
        <f t="shared" si="5"/>
        <v>-6.5853403196998839E-2</v>
      </c>
    </row>
    <row r="17" spans="1:35" x14ac:dyDescent="0.25">
      <c r="A17" s="27" t="s">
        <v>38</v>
      </c>
      <c r="B17" s="27" t="s">
        <v>95</v>
      </c>
      <c r="C17" s="27" t="s">
        <v>132</v>
      </c>
      <c r="D17" s="20">
        <f>D57/'Physical data'!D15</f>
        <v>29905.327238756639</v>
      </c>
      <c r="E17" s="20">
        <f>E57/'Physical data'!E15</f>
        <v>30539.476743784424</v>
      </c>
      <c r="F17" s="20">
        <f>F57/'Physical data'!F15</f>
        <v>26936.238402300791</v>
      </c>
      <c r="G17" s="20">
        <f>G57/'Physical data'!G15</f>
        <v>35214.347615577244</v>
      </c>
      <c r="H17" s="20">
        <f>H57/'Physical data'!H15</f>
        <v>36169.875743068806</v>
      </c>
      <c r="I17" s="20">
        <f>I57/'Physical data'!I15</f>
        <v>35472.08161187073</v>
      </c>
      <c r="J17" s="20">
        <f>J57/'Physical data'!J15</f>
        <v>45157.628405643161</v>
      </c>
      <c r="K17" s="20">
        <f>K57/'Physical data'!K15</f>
        <v>39400.755483494861</v>
      </c>
      <c r="L17" s="20">
        <f>L57/'Physical data'!L15</f>
        <v>38863.368980494248</v>
      </c>
      <c r="M17" s="20">
        <f>M57/'Physical data'!M15</f>
        <v>47287.425344592288</v>
      </c>
      <c r="N17" s="20">
        <f>N57/'Physical data'!N15</f>
        <v>40424.108077554964</v>
      </c>
      <c r="O17" s="20">
        <f>O57/'Physical data'!O15</f>
        <v>40186.615316008545</v>
      </c>
      <c r="P17" s="20">
        <f>P57/'Physical data'!P15</f>
        <v>35366.499907570695</v>
      </c>
      <c r="Q17" s="20">
        <f>Q57/'Physical data'!Q15</f>
        <v>34381.187739704903</v>
      </c>
      <c r="R17" s="20">
        <f>R57/'Physical data'!R15</f>
        <v>32704.238910009248</v>
      </c>
      <c r="S17" s="20">
        <f>S57/'Physical data'!S15</f>
        <v>33840.213582031494</v>
      </c>
      <c r="T17" s="20">
        <f t="shared" si="4"/>
        <v>35295.751091064973</v>
      </c>
      <c r="U17" s="56">
        <f t="shared" si="5"/>
        <v>0.13157810686570026</v>
      </c>
    </row>
    <row r="19" spans="1:35" x14ac:dyDescent="0.25"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0" customFormat="1" ht="45" x14ac:dyDescent="0.25">
      <c r="A20" s="29" t="s">
        <v>55</v>
      </c>
      <c r="B20" s="29" t="s">
        <v>55</v>
      </c>
      <c r="C20" s="29"/>
      <c r="D20" s="30">
        <v>2006</v>
      </c>
      <c r="E20" s="30">
        <v>2007</v>
      </c>
      <c r="F20" s="30">
        <v>2008</v>
      </c>
      <c r="G20" s="30">
        <v>2009</v>
      </c>
      <c r="H20" s="30">
        <v>2010</v>
      </c>
      <c r="I20" s="30">
        <v>2011</v>
      </c>
      <c r="J20" s="30">
        <v>2012</v>
      </c>
      <c r="K20" s="30">
        <v>2013</v>
      </c>
      <c r="L20" s="30">
        <v>2014</v>
      </c>
      <c r="M20" s="30">
        <v>2015</v>
      </c>
      <c r="N20" s="30">
        <v>2016</v>
      </c>
      <c r="O20" s="30">
        <v>2017</v>
      </c>
      <c r="P20" s="30">
        <v>2018</v>
      </c>
      <c r="Q20" s="30">
        <v>2019</v>
      </c>
      <c r="R20" s="30">
        <v>2020</v>
      </c>
      <c r="S20" s="30">
        <v>2021</v>
      </c>
      <c r="T20" s="30" t="s">
        <v>24</v>
      </c>
      <c r="U20" s="10" t="s">
        <v>117</v>
      </c>
      <c r="V20" s="10" t="s">
        <v>144</v>
      </c>
    </row>
    <row r="21" spans="1:35" x14ac:dyDescent="0.25">
      <c r="A21" s="27" t="s">
        <v>37</v>
      </c>
      <c r="B21" s="27" t="s">
        <v>91</v>
      </c>
      <c r="C21" s="27" t="s">
        <v>133</v>
      </c>
      <c r="D21" s="31">
        <f>D53/'Physical data'!D3</f>
        <v>13.692518582126285</v>
      </c>
      <c r="E21" s="31">
        <f>E53/'Physical data'!E3</f>
        <v>16.106598736617276</v>
      </c>
      <c r="F21" s="31">
        <f>F53/'Physical data'!F3</f>
        <v>14.504106125878291</v>
      </c>
      <c r="G21" s="31">
        <f>G53/'Physical data'!G3</f>
        <v>18.684772137832564</v>
      </c>
      <c r="H21" s="31">
        <f>H53/'Physical data'!H3</f>
        <v>17.432932795293183</v>
      </c>
      <c r="I21" s="31">
        <f>I53/'Physical data'!I3</f>
        <v>18.116827147104601</v>
      </c>
      <c r="J21" s="31">
        <f>J53/'Physical data'!J3</f>
        <v>20.988535544400452</v>
      </c>
      <c r="K21" s="31">
        <f>K53/'Physical data'!K3</f>
        <v>18.927572165366989</v>
      </c>
      <c r="L21" s="31">
        <f>L53/'Physical data'!L3</f>
        <v>17.589458693106831</v>
      </c>
      <c r="M21" s="31">
        <f>M53/'Physical data'!M3</f>
        <v>23.325301230315208</v>
      </c>
      <c r="N21" s="31">
        <f>N53/'Physical data'!N3</f>
        <v>21.23391717516381</v>
      </c>
      <c r="O21" s="31">
        <f>O53/'Physical data'!O3</f>
        <v>20.236024823616489</v>
      </c>
      <c r="P21" s="31">
        <f>P53/'Physical data'!P3</f>
        <v>25.816971138815457</v>
      </c>
      <c r="Q21" s="31">
        <f>Q53/'Physical data'!Q3</f>
        <v>21.674561628688753</v>
      </c>
      <c r="R21" s="31">
        <f>R53/'Physical data'!R3</f>
        <v>22.090133346481565</v>
      </c>
      <c r="S21" s="31">
        <f>S53/'Physical data'!S3</f>
        <v>22.200188816838679</v>
      </c>
      <c r="T21" s="20">
        <f>AVERAGE(O21:S21)</f>
        <v>22.40357595088819</v>
      </c>
      <c r="U21" s="56">
        <f>$S21/$D21-1</f>
        <v>0.62133713266002055</v>
      </c>
      <c r="V21" s="56">
        <f t="shared" ref="V21:V24" si="6">S21/R21-1</f>
        <v>4.9821098239157813E-3</v>
      </c>
      <c r="W21">
        <f>S21/S23</f>
        <v>2.6023496824083669</v>
      </c>
    </row>
    <row r="22" spans="1:35" x14ac:dyDescent="0.25">
      <c r="A22" s="27" t="s">
        <v>21</v>
      </c>
      <c r="B22" s="27" t="s">
        <v>92</v>
      </c>
      <c r="C22" s="27" t="s">
        <v>133</v>
      </c>
      <c r="D22" s="31">
        <f>D54/'Physical data'!D4</f>
        <v>10.640158869079183</v>
      </c>
      <c r="E22" s="31">
        <f>E54/'Physical data'!E4</f>
        <v>11.288269130111999</v>
      </c>
      <c r="F22" s="31">
        <f>F54/'Physical data'!F4</f>
        <v>11.063023181940881</v>
      </c>
      <c r="G22" s="31">
        <f>G54/'Physical data'!G4</f>
        <v>14.657263334240803</v>
      </c>
      <c r="H22" s="31">
        <f>H54/'Physical data'!H4</f>
        <v>14.360808802928153</v>
      </c>
      <c r="I22" s="31">
        <f>I54/'Physical data'!I4</f>
        <v>15.501637021534876</v>
      </c>
      <c r="J22" s="31">
        <f>J54/'Physical data'!J4</f>
        <v>18.906889217799964</v>
      </c>
      <c r="K22" s="31">
        <f>K54/'Physical data'!K4</f>
        <v>16.017430162879929</v>
      </c>
      <c r="L22" s="31">
        <f>L54/'Physical data'!L4</f>
        <v>15.118802737538697</v>
      </c>
      <c r="M22" s="31">
        <f>M54/'Physical data'!M4</f>
        <v>17.8161597809769</v>
      </c>
      <c r="N22" s="31">
        <f>N54/'Physical data'!N4</f>
        <v>16.591283303726939</v>
      </c>
      <c r="O22" s="31">
        <f>O54/'Physical data'!O4</f>
        <v>14.752724049438392</v>
      </c>
      <c r="P22" s="31">
        <f>P54/'Physical data'!P4</f>
        <v>13.252139345777726</v>
      </c>
      <c r="Q22" s="31">
        <f>Q54/'Physical data'!Q4</f>
        <v>13.993056942170984</v>
      </c>
      <c r="R22" s="31">
        <f>R54/'Physical data'!R4</f>
        <v>13.396310432558399</v>
      </c>
      <c r="S22" s="31">
        <f>S54/'Physical data'!S4</f>
        <v>13.705690631995456</v>
      </c>
      <c r="T22" s="20">
        <f t="shared" ref="T22:T25" si="7">AVERAGE(O22:S22)</f>
        <v>13.819984280388192</v>
      </c>
      <c r="U22" s="56">
        <f t="shared" ref="U22:U25" si="8">$S22/$D22-1</f>
        <v>0.28810958564019717</v>
      </c>
      <c r="V22" s="56">
        <f t="shared" si="6"/>
        <v>2.3094433425873584E-2</v>
      </c>
      <c r="W22">
        <f>T21/S25</f>
        <v>2.5515380542596766</v>
      </c>
    </row>
    <row r="23" spans="1:35" x14ac:dyDescent="0.25">
      <c r="A23" s="27" t="s">
        <v>35</v>
      </c>
      <c r="B23" s="27" t="s">
        <v>93</v>
      </c>
      <c r="C23" s="27" t="s">
        <v>133</v>
      </c>
      <c r="D23" s="31">
        <f>D55/'Physical data'!D5</f>
        <v>7.8285436734106044</v>
      </c>
      <c r="E23" s="31">
        <f>E55/'Physical data'!E5</f>
        <v>7.0929956535037153</v>
      </c>
      <c r="F23" s="31">
        <f>F55/'Physical data'!F5</f>
        <v>7.8872935590695281</v>
      </c>
      <c r="G23" s="31">
        <f>G55/'Physical data'!G5</f>
        <v>8.0722339911139649</v>
      </c>
      <c r="H23" s="31">
        <f>H55/'Physical data'!H5</f>
        <v>8.9671331003700843</v>
      </c>
      <c r="I23" s="31">
        <f>I55/'Physical data'!I5</f>
        <v>8.7586680496057792</v>
      </c>
      <c r="J23" s="31">
        <f>J55/'Physical data'!J5</f>
        <v>8.5401205091357557</v>
      </c>
      <c r="K23" s="31">
        <f>K55/'Physical data'!K5</f>
        <v>8.399541361463255</v>
      </c>
      <c r="L23" s="31">
        <f>L55/'Physical data'!L5</f>
        <v>7.267093469940118</v>
      </c>
      <c r="M23" s="31">
        <f>M55/'Physical data'!M5</f>
        <v>8.4556747743276421</v>
      </c>
      <c r="N23" s="31">
        <f>N55/'Physical data'!N5</f>
        <v>8.0300374010227333</v>
      </c>
      <c r="O23" s="31">
        <f>O55/'Physical data'!O5</f>
        <v>8.875319507659853</v>
      </c>
      <c r="P23" s="31">
        <f>P55/'Physical data'!P5</f>
        <v>9.3303038700011829</v>
      </c>
      <c r="Q23" s="31">
        <f>Q55/'Physical data'!Q5</f>
        <v>9.266072347679529</v>
      </c>
      <c r="R23" s="31">
        <f>R55/'Physical data'!R5</f>
        <v>8.9798589593690217</v>
      </c>
      <c r="S23" s="31">
        <f>S55/'Physical data'!S5</f>
        <v>8.5308246493197348</v>
      </c>
      <c r="T23" s="20">
        <f t="shared" si="7"/>
        <v>8.9964758668058629</v>
      </c>
      <c r="U23" s="56">
        <f t="shared" si="8"/>
        <v>8.9707741976889688E-2</v>
      </c>
      <c r="V23" s="56">
        <f t="shared" si="6"/>
        <v>-5.000460609470847E-2</v>
      </c>
    </row>
    <row r="24" spans="1:35" x14ac:dyDescent="0.25">
      <c r="A24" s="27" t="s">
        <v>29</v>
      </c>
      <c r="B24" s="27" t="s">
        <v>94</v>
      </c>
      <c r="C24" s="27" t="s">
        <v>133</v>
      </c>
      <c r="D24" s="31">
        <f>D56/'Physical data'!D6</f>
        <v>14.420625139066743</v>
      </c>
      <c r="E24" s="31">
        <f>E56/'Physical data'!E6</f>
        <v>11.149940738279822</v>
      </c>
      <c r="F24" s="31">
        <f>F56/'Physical data'!F6</f>
        <v>12.706198441881723</v>
      </c>
      <c r="G24" s="31">
        <f>G56/'Physical data'!G6</f>
        <v>12.041049044133956</v>
      </c>
      <c r="H24" s="31">
        <f>H56/'Physical data'!H6</f>
        <v>14.135671620494984</v>
      </c>
      <c r="I24" s="31">
        <f>I56/'Physical data'!I6</f>
        <v>14.362887458021007</v>
      </c>
      <c r="J24" s="31">
        <f>J56/'Physical data'!J6</f>
        <v>17.777457804314086</v>
      </c>
      <c r="K24" s="31">
        <f>K56/'Physical data'!K6</f>
        <v>14.605322738361449</v>
      </c>
      <c r="L24" s="31">
        <f>L56/'Physical data'!L6</f>
        <v>12.850179628105591</v>
      </c>
      <c r="M24" s="31">
        <f>M56/'Physical data'!M6</f>
        <v>13.629503351082164</v>
      </c>
      <c r="N24" s="31">
        <f>N56/'Physical data'!N6</f>
        <v>14.300204919529396</v>
      </c>
      <c r="O24" s="31">
        <f>O56/'Physical data'!O6</f>
        <v>13.305421682271673</v>
      </c>
      <c r="P24" s="31">
        <f>P56/'Physical data'!P6</f>
        <v>11.829257296337417</v>
      </c>
      <c r="Q24" s="31">
        <f>Q56/'Physical data'!Q6</f>
        <v>11.594729863905203</v>
      </c>
      <c r="R24" s="31">
        <f>R56/'Physical data'!R6</f>
        <v>10.144781117583197</v>
      </c>
      <c r="S24" s="31">
        <f>S56/'Physical data'!S6</f>
        <v>9.8672599455950945</v>
      </c>
      <c r="T24" s="20">
        <f t="shared" si="7"/>
        <v>11.348289981138516</v>
      </c>
      <c r="U24" s="56">
        <f t="shared" si="8"/>
        <v>-0.31575366182539355</v>
      </c>
      <c r="V24" s="56">
        <f t="shared" si="6"/>
        <v>-2.7356053203266728E-2</v>
      </c>
    </row>
    <row r="25" spans="1:35" x14ac:dyDescent="0.25">
      <c r="A25" s="27" t="s">
        <v>38</v>
      </c>
      <c r="B25" s="27" t="s">
        <v>95</v>
      </c>
      <c r="C25" s="27" t="s">
        <v>133</v>
      </c>
      <c r="D25" s="31">
        <f>D57/'Physical data'!D7</f>
        <v>6.678244855771422</v>
      </c>
      <c r="E25" s="31">
        <f>E57/'Physical data'!E7</f>
        <v>6.8437863546312085</v>
      </c>
      <c r="F25" s="31">
        <f>F57/'Physical data'!F7</f>
        <v>6.0728973852459962</v>
      </c>
      <c r="G25" s="31">
        <f>G57/'Physical data'!G7</f>
        <v>8.1197077732588721</v>
      </c>
      <c r="H25" s="31">
        <f>H57/'Physical data'!H7</f>
        <v>8.4815217313151408</v>
      </c>
      <c r="I25" s="31">
        <f>I57/'Physical data'!I7</f>
        <v>8.6235386374723326</v>
      </c>
      <c r="J25" s="31">
        <f>J57/'Physical data'!J7</f>
        <v>10.611453150151133</v>
      </c>
      <c r="K25" s="31">
        <f>K57/'Physical data'!K7</f>
        <v>9.64237897908313</v>
      </c>
      <c r="L25" s="31">
        <f>L57/'Physical data'!L7</f>
        <v>9.7445024969935279</v>
      </c>
      <c r="M25" s="31">
        <f>M57/'Physical data'!M7</f>
        <v>10.487130620776515</v>
      </c>
      <c r="N25" s="31">
        <f>N57/'Physical data'!N7</f>
        <v>10.078032484708993</v>
      </c>
      <c r="O25" s="31">
        <f>O57/'Physical data'!O7</f>
        <v>10.019862752124798</v>
      </c>
      <c r="P25" s="31">
        <f>P57/'Physical data'!P7</f>
        <v>8.6430680091156926</v>
      </c>
      <c r="Q25" s="31">
        <f>Q57/'Physical data'!Q7</f>
        <v>8.6415082087699151</v>
      </c>
      <c r="R25" s="31">
        <f>R57/'Physical data'!R7</f>
        <v>8.4788767544468424</v>
      </c>
      <c r="S25" s="31">
        <f>S57/'Physical data'!S7</f>
        <v>8.7804200738791405</v>
      </c>
      <c r="T25" s="20">
        <f t="shared" si="7"/>
        <v>8.912747159667278</v>
      </c>
      <c r="U25" s="56">
        <f t="shared" si="8"/>
        <v>0.31477959606272776</v>
      </c>
      <c r="V25" s="56">
        <f>S25/R25-1</f>
        <v>3.5564064458673661E-2</v>
      </c>
    </row>
    <row r="26" spans="1:35" x14ac:dyDescent="0.25">
      <c r="T26" s="57"/>
    </row>
    <row r="28" spans="1:35" s="10" customFormat="1" ht="45" x14ac:dyDescent="0.25">
      <c r="A28" s="29" t="s">
        <v>90</v>
      </c>
      <c r="B28" s="29" t="s">
        <v>90</v>
      </c>
      <c r="C28" s="29"/>
      <c r="D28" s="30">
        <v>2006</v>
      </c>
      <c r="E28" s="30">
        <v>2007</v>
      </c>
      <c r="F28" s="30">
        <v>2008</v>
      </c>
      <c r="G28" s="30">
        <v>2009</v>
      </c>
      <c r="H28" s="30">
        <v>2010</v>
      </c>
      <c r="I28" s="30">
        <v>2011</v>
      </c>
      <c r="J28" s="30">
        <v>2012</v>
      </c>
      <c r="K28" s="30">
        <v>2013</v>
      </c>
      <c r="L28" s="30">
        <v>2014</v>
      </c>
      <c r="M28" s="30">
        <v>2015</v>
      </c>
      <c r="N28" s="30">
        <v>2016</v>
      </c>
      <c r="O28" s="30">
        <v>2017</v>
      </c>
      <c r="P28" s="30">
        <v>2018</v>
      </c>
      <c r="Q28" s="30">
        <v>2019</v>
      </c>
      <c r="R28" s="30">
        <v>2020</v>
      </c>
      <c r="S28" s="30">
        <v>2021</v>
      </c>
      <c r="T28" s="30" t="s">
        <v>24</v>
      </c>
      <c r="U28" s="10" t="s">
        <v>117</v>
      </c>
      <c r="V28" s="10" t="s">
        <v>144</v>
      </c>
    </row>
    <row r="29" spans="1:35" x14ac:dyDescent="0.25">
      <c r="A29" s="27" t="s">
        <v>37</v>
      </c>
      <c r="B29" s="27" t="s">
        <v>91</v>
      </c>
      <c r="C29" s="27" t="s">
        <v>134</v>
      </c>
      <c r="D29" s="20">
        <f>D53/'Physical data'!D48</f>
        <v>265.4871416180722</v>
      </c>
      <c r="E29" s="20">
        <f>E53/'Physical data'!E48</f>
        <v>289.09099100077287</v>
      </c>
      <c r="F29" s="20">
        <f>F53/'Physical data'!F48</f>
        <v>242.93881490531942</v>
      </c>
      <c r="G29" s="20">
        <f>G53/'Physical data'!G48</f>
        <v>310.01661303941921</v>
      </c>
      <c r="H29" s="20">
        <f>H53/'Physical data'!H48</f>
        <v>291.89749468816478</v>
      </c>
      <c r="I29" s="20">
        <f>I53/'Physical data'!I48</f>
        <v>300.80486384595179</v>
      </c>
      <c r="J29" s="20">
        <f>J53/'Physical data'!J48</f>
        <v>349.65137194662401</v>
      </c>
      <c r="K29" s="20">
        <f>K53/'Physical data'!K48</f>
        <v>318.90140055139352</v>
      </c>
      <c r="L29" s="20">
        <f>L53/'Physical data'!L48</f>
        <v>288.21992292452455</v>
      </c>
      <c r="M29" s="20">
        <f>M53/'Physical data'!M48</f>
        <v>367.53166815199222</v>
      </c>
      <c r="N29" s="20">
        <f>N53/'Physical data'!N48</f>
        <v>352.34569604133998</v>
      </c>
      <c r="O29" s="20">
        <f>O53/'Physical data'!O48</f>
        <v>334.65655049067703</v>
      </c>
      <c r="P29" s="20">
        <f>P53/'Physical data'!P48</f>
        <v>330.35766932567049</v>
      </c>
      <c r="Q29" s="20">
        <f>Q53/'Physical data'!Q48</f>
        <v>329.75261701988029</v>
      </c>
      <c r="R29" s="20">
        <f>R53/'Physical data'!R48</f>
        <v>334.67227556583958</v>
      </c>
      <c r="S29" s="20">
        <f>S53/'Physical data'!S48</f>
        <v>328.40180206719464</v>
      </c>
      <c r="T29" s="20">
        <f>AVERAGE(O29:S29)</f>
        <v>331.56818289385239</v>
      </c>
      <c r="U29" s="56">
        <f>$S29/$D29-1</f>
        <v>0.23697818307009011</v>
      </c>
      <c r="V29" s="56">
        <f>S29/R29-1</f>
        <v>-1.8736160585884454E-2</v>
      </c>
      <c r="W29" s="26"/>
    </row>
    <row r="30" spans="1:35" x14ac:dyDescent="0.25">
      <c r="A30" s="27" t="s">
        <v>21</v>
      </c>
      <c r="B30" s="27" t="s">
        <v>92</v>
      </c>
      <c r="C30" s="27" t="s">
        <v>134</v>
      </c>
      <c r="D30" s="20">
        <f>D54/'Physical data'!D49</f>
        <v>295.79515569580383</v>
      </c>
      <c r="E30" s="20">
        <f>E54/'Physical data'!E49</f>
        <v>313.47870757939233</v>
      </c>
      <c r="F30" s="20">
        <f>F54/'Physical data'!F49</f>
        <v>296.253716255776</v>
      </c>
      <c r="G30" s="20">
        <f>G54/'Physical data'!G49</f>
        <v>392.17208080493054</v>
      </c>
      <c r="H30" s="20">
        <f>H54/'Physical data'!H49</f>
        <v>382.43487965034745</v>
      </c>
      <c r="I30" s="20">
        <f>I54/'Physical data'!I49</f>
        <v>399.3007236778933</v>
      </c>
      <c r="J30" s="20">
        <f>J54/'Physical data'!J49</f>
        <v>470.82482499697801</v>
      </c>
      <c r="K30" s="20">
        <f>K54/'Physical data'!K49</f>
        <v>381.71426233584526</v>
      </c>
      <c r="L30" s="20">
        <f>L54/'Physical data'!L49</f>
        <v>343.0498882423222</v>
      </c>
      <c r="M30" s="20">
        <f>M54/'Physical data'!M49</f>
        <v>444.98929412584675</v>
      </c>
      <c r="N30" s="20">
        <f>N54/'Physical data'!N49</f>
        <v>405.95617901968455</v>
      </c>
      <c r="O30" s="20">
        <f>O54/'Physical data'!O49</f>
        <v>364.84772361346268</v>
      </c>
      <c r="P30" s="20">
        <f>P54/'Physical data'!P49</f>
        <v>325.38125095414955</v>
      </c>
      <c r="Q30" s="20">
        <f>Q54/'Physical data'!Q49</f>
        <v>332.56440122424272</v>
      </c>
      <c r="R30" s="20">
        <f>R54/'Physical data'!R49</f>
        <v>312.05933835037416</v>
      </c>
      <c r="S30" s="20">
        <f>S54/'Physical data'!S49</f>
        <v>308.176567162639</v>
      </c>
      <c r="T30" s="20">
        <f t="shared" ref="T30:T33" si="9">AVERAGE(O30:S30)</f>
        <v>328.60585626097361</v>
      </c>
      <c r="U30" s="56">
        <f t="shared" ref="U30:U32" si="10">$S30/$D30-1</f>
        <v>4.1858060311062761E-2</v>
      </c>
      <c r="V30" s="56">
        <f t="shared" ref="V30:V32" si="11">S30/R30-1</f>
        <v>-1.2442413062401791E-2</v>
      </c>
      <c r="W30" s="26"/>
    </row>
    <row r="31" spans="1:35" x14ac:dyDescent="0.25">
      <c r="A31" s="27" t="s">
        <v>35</v>
      </c>
      <c r="B31" s="27" t="s">
        <v>93</v>
      </c>
      <c r="C31" s="27" t="s">
        <v>134</v>
      </c>
      <c r="D31" s="20">
        <f>D55/'Physical data'!D50</f>
        <v>143.20129131015668</v>
      </c>
      <c r="E31" s="20">
        <f>E55/'Physical data'!E50</f>
        <v>129.88218377710635</v>
      </c>
      <c r="F31" s="20">
        <f>F55/'Physical data'!F50</f>
        <v>139.56287540043613</v>
      </c>
      <c r="G31" s="20">
        <f>G55/'Physical data'!G50</f>
        <v>148.42332355551159</v>
      </c>
      <c r="H31" s="20">
        <f>H55/'Physical data'!H50</f>
        <v>167.97793437863507</v>
      </c>
      <c r="I31" s="20">
        <f>I55/'Physical data'!I50</f>
        <v>158.88509164635846</v>
      </c>
      <c r="J31" s="20">
        <f>J55/'Physical data'!J50</f>
        <v>150.80273127709157</v>
      </c>
      <c r="K31" s="20">
        <f>K55/'Physical data'!K50</f>
        <v>150.71074466855578</v>
      </c>
      <c r="L31" s="20">
        <f>L55/'Physical data'!L50</f>
        <v>127.67681018615731</v>
      </c>
      <c r="M31" s="20">
        <f>M55/'Physical data'!M50</f>
        <v>144.42645772558816</v>
      </c>
      <c r="N31" s="20">
        <f>N55/'Physical data'!N50</f>
        <v>134.33248482738637</v>
      </c>
      <c r="O31" s="20">
        <f>O55/'Physical data'!O50</f>
        <v>142.62615160081211</v>
      </c>
      <c r="P31" s="20">
        <f>P55/'Physical data'!P50</f>
        <v>131.56528096132507</v>
      </c>
      <c r="Q31" s="20">
        <f>Q55/'Physical data'!Q50</f>
        <v>127.30467792735396</v>
      </c>
      <c r="R31" s="20">
        <f>R55/'Physical data'!R50</f>
        <v>121.9993346028689</v>
      </c>
      <c r="S31" s="20">
        <f>S55/'Physical data'!S50</f>
        <v>116.90428883447822</v>
      </c>
      <c r="T31" s="20">
        <f t="shared" si="9"/>
        <v>128.07994678536767</v>
      </c>
      <c r="U31" s="56">
        <f t="shared" si="10"/>
        <v>-0.18363662949604498</v>
      </c>
      <c r="V31" s="56">
        <f>S31/R31-1</f>
        <v>-4.1762898010682004E-2</v>
      </c>
      <c r="W31" s="26"/>
    </row>
    <row r="32" spans="1:35" x14ac:dyDescent="0.25">
      <c r="A32" s="27" t="s">
        <v>29</v>
      </c>
      <c r="B32" s="27" t="s">
        <v>94</v>
      </c>
      <c r="C32" s="27" t="s">
        <v>134</v>
      </c>
      <c r="D32" s="20">
        <f>D56/'Physical data'!D51</f>
        <v>605.84592403973397</v>
      </c>
      <c r="E32" s="20">
        <f>E56/'Physical data'!E51</f>
        <v>559.86567028634204</v>
      </c>
      <c r="F32" s="20">
        <f>F56/'Physical data'!F51</f>
        <v>658.68656520609488</v>
      </c>
      <c r="G32" s="20">
        <f>G56/'Physical data'!G51</f>
        <v>608.38016353729495</v>
      </c>
      <c r="H32" s="20">
        <f>H56/'Physical data'!H51</f>
        <v>680.66038073075083</v>
      </c>
      <c r="I32" s="20">
        <f>I56/'Physical data'!I51</f>
        <v>682.52211895831852</v>
      </c>
      <c r="J32" s="20">
        <f>J56/'Physical data'!J51</f>
        <v>803.95773835256432</v>
      </c>
      <c r="K32" s="20">
        <f>K56/'Physical data'!K51</f>
        <v>671.44092269369821</v>
      </c>
      <c r="L32" s="20">
        <f>L56/'Physical data'!L51</f>
        <v>611.49754125160769</v>
      </c>
      <c r="M32" s="20">
        <f>M56/'Physical data'!M51</f>
        <v>631.2382413598599</v>
      </c>
      <c r="N32" s="20">
        <f>N56/'Physical data'!N51</f>
        <v>584.11564029677095</v>
      </c>
      <c r="O32" s="20">
        <f>O56/'Physical data'!O51</f>
        <v>574.80139530510098</v>
      </c>
      <c r="P32" s="20">
        <f>P56/'Physical data'!P51</f>
        <v>510.83866894090079</v>
      </c>
      <c r="Q32" s="20">
        <f>Q56/'Physical data'!Q51</f>
        <v>514.35736386333986</v>
      </c>
      <c r="R32" s="20">
        <f>R56/'Physical data'!R51</f>
        <v>428.39417225929463</v>
      </c>
      <c r="S32" s="20">
        <f>S56/'Physical data'!S51</f>
        <v>427.93856337015552</v>
      </c>
      <c r="T32" s="20">
        <f t="shared" si="9"/>
        <v>491.26603274775835</v>
      </c>
      <c r="U32" s="56">
        <f t="shared" si="10"/>
        <v>-0.29365116378650513</v>
      </c>
      <c r="V32" s="56">
        <f t="shared" si="11"/>
        <v>-1.0635272808131591E-3</v>
      </c>
      <c r="W32" s="26"/>
    </row>
    <row r="33" spans="1:24" x14ac:dyDescent="0.25">
      <c r="A33" s="27" t="s">
        <v>38</v>
      </c>
      <c r="B33" s="27" t="s">
        <v>95</v>
      </c>
      <c r="C33" s="27" t="s">
        <v>134</v>
      </c>
      <c r="D33" s="20">
        <f>D57/'Physical data'!D52</f>
        <v>162.50562115718742</v>
      </c>
      <c r="E33" s="20">
        <f>E57/'Physical data'!E52</f>
        <v>167.9140876075478</v>
      </c>
      <c r="F33" s="20">
        <f>F57/'Physical data'!F52</f>
        <v>146.61139744052437</v>
      </c>
      <c r="G33" s="20">
        <f>G57/'Physical data'!G52</f>
        <v>191.01480548324935</v>
      </c>
      <c r="H33" s="20">
        <f>H57/'Physical data'!H52</f>
        <v>196.83142422206961</v>
      </c>
      <c r="I33" s="20">
        <f>I57/'Physical data'!I52</f>
        <v>196.21434231542818</v>
      </c>
      <c r="J33" s="20">
        <f>J57/'Physical data'!J52</f>
        <v>229.81136089321046</v>
      </c>
      <c r="K33" s="20">
        <f>K57/'Physical data'!K52</f>
        <v>191.71849924477965</v>
      </c>
      <c r="L33" s="20">
        <f>L57/'Physical data'!L52</f>
        <v>182.29960155071802</v>
      </c>
      <c r="M33" s="20">
        <f>M57/'Physical data'!M52</f>
        <v>212.35463146715466</v>
      </c>
      <c r="N33" s="20">
        <f>N57/'Physical data'!N52</f>
        <v>195.5657090707947</v>
      </c>
      <c r="O33" s="20">
        <f>O57/'Physical data'!O52</f>
        <v>199.09335285597217</v>
      </c>
      <c r="P33" s="20">
        <f>P57/'Physical data'!P52</f>
        <v>170.54701244122569</v>
      </c>
      <c r="Q33" s="20">
        <f>Q57/'Physical data'!Q52</f>
        <v>165.32974900565597</v>
      </c>
      <c r="R33" s="20">
        <f>R57/'Physical data'!R52</f>
        <v>156.70389125550926</v>
      </c>
      <c r="S33" s="20">
        <f>S57/'Physical data'!S52</f>
        <v>156.93327564499688</v>
      </c>
      <c r="T33" s="20">
        <f t="shared" si="9"/>
        <v>169.72145624067198</v>
      </c>
      <c r="U33" s="56">
        <f>$S33/$D33-1</f>
        <v>-3.4290170841540069E-2</v>
      </c>
      <c r="V33" s="56">
        <f>S33/R33-1</f>
        <v>1.463807871328493E-3</v>
      </c>
      <c r="W33" s="26"/>
    </row>
    <row r="34" spans="1:24" ht="15" customHeight="1" x14ac:dyDescent="0.2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8"/>
      <c r="O34" s="11"/>
      <c r="P34" s="38"/>
      <c r="Q34" s="55">
        <f>Q32/Q31</f>
        <v>4.0403649908046297</v>
      </c>
      <c r="R34" s="55">
        <f>R32/R31</f>
        <v>3.5114467931632527</v>
      </c>
      <c r="S34" s="55">
        <f>S32/S31</f>
        <v>3.6605890822026446</v>
      </c>
    </row>
    <row r="35" spans="1:24" ht="15" customHeight="1" x14ac:dyDescent="0.25">
      <c r="B35" s="10" t="s">
        <v>39</v>
      </c>
      <c r="D35" s="27" t="s">
        <v>130</v>
      </c>
      <c r="E35" s="27" t="s">
        <v>130</v>
      </c>
      <c r="F35" s="27" t="s">
        <v>130</v>
      </c>
      <c r="P35" s="38"/>
      <c r="Q35" s="49"/>
    </row>
    <row r="36" spans="1:24" s="10" customFormat="1" ht="15" customHeight="1" x14ac:dyDescent="0.25">
      <c r="A36" s="30"/>
      <c r="B36" s="30"/>
      <c r="C36" s="30"/>
      <c r="D36" s="30" t="s">
        <v>25</v>
      </c>
      <c r="E36" s="30" t="s">
        <v>23</v>
      </c>
      <c r="F36" s="30" t="s">
        <v>34</v>
      </c>
      <c r="P36" s="38"/>
      <c r="Q36" s="49"/>
    </row>
    <row r="37" spans="1:24" ht="15" customHeight="1" x14ac:dyDescent="0.25">
      <c r="A37" s="27" t="s">
        <v>37</v>
      </c>
      <c r="B37" s="27" t="s">
        <v>91</v>
      </c>
      <c r="C37" s="27"/>
      <c r="D37" s="20">
        <f>Opex!S15</f>
        <v>99181</v>
      </c>
      <c r="E37" s="70">
        <f>ABS(Depreciation!S15)</f>
        <v>118947.58694794713</v>
      </c>
      <c r="F37" s="20">
        <f>RAB!S15*'Asset cost and Total cost'!$B$2</f>
        <v>61242.736803665073</v>
      </c>
      <c r="P37" s="38"/>
      <c r="Q37" s="49"/>
    </row>
    <row r="38" spans="1:24" ht="15" customHeight="1" x14ac:dyDescent="0.25">
      <c r="A38" s="27" t="s">
        <v>21</v>
      </c>
      <c r="B38" s="27" t="s">
        <v>92</v>
      </c>
      <c r="C38" s="27"/>
      <c r="D38" s="20">
        <f>Opex!S16</f>
        <v>214187</v>
      </c>
      <c r="E38" s="70">
        <f>ABS(Depreciation!S16)</f>
        <v>299843.05978529959</v>
      </c>
      <c r="F38" s="20">
        <f>RAB!S16*'Asset cost and Total cost'!$B$2</f>
        <v>171134.62216604047</v>
      </c>
      <c r="P38" s="38"/>
      <c r="Q38" s="49"/>
    </row>
    <row r="39" spans="1:24" ht="15" customHeight="1" x14ac:dyDescent="0.25">
      <c r="A39" s="27" t="s">
        <v>35</v>
      </c>
      <c r="B39" s="27" t="s">
        <v>93</v>
      </c>
      <c r="C39" s="27"/>
      <c r="D39" s="20">
        <f>Opex!S17</f>
        <v>85824</v>
      </c>
      <c r="E39" s="70">
        <f>ABS(Depreciation!S17)</f>
        <v>183613.14284009163</v>
      </c>
      <c r="F39" s="20">
        <f>RAB!S17*'Asset cost and Total cost'!$B$2</f>
        <v>78071.37855365593</v>
      </c>
      <c r="P39" s="38"/>
    </row>
    <row r="40" spans="1:24" ht="15" customHeight="1" x14ac:dyDescent="0.25">
      <c r="A40" s="27" t="s">
        <v>29</v>
      </c>
      <c r="B40" s="27" t="s">
        <v>94</v>
      </c>
      <c r="C40" s="27"/>
      <c r="D40" s="20">
        <f>Opex!S18</f>
        <v>31339</v>
      </c>
      <c r="E40" s="70">
        <f>ABS(Depreciation!S18)</f>
        <v>62627.824012769954</v>
      </c>
      <c r="F40" s="20">
        <f>RAB!S18*'Asset cost and Total cost'!$B$2</f>
        <v>36247.612176887713</v>
      </c>
      <c r="P40" s="38"/>
    </row>
    <row r="41" spans="1:24" ht="15" customHeight="1" x14ac:dyDescent="0.25">
      <c r="A41" s="27" t="s">
        <v>38</v>
      </c>
      <c r="B41" s="27" t="s">
        <v>95</v>
      </c>
      <c r="C41" s="27"/>
      <c r="D41" s="20">
        <f>Opex!S19</f>
        <v>168690</v>
      </c>
      <c r="E41" s="70">
        <f>ABS(Depreciation!S19)</f>
        <v>284846.6393025865</v>
      </c>
      <c r="F41" s="20">
        <f>RAB!S19*'Asset cost and Total cost'!$B$2</f>
        <v>162574.97627609692</v>
      </c>
      <c r="P41" s="38"/>
    </row>
    <row r="42" spans="1:24" ht="15" customHeight="1" x14ac:dyDescent="0.25"/>
    <row r="43" spans="1:24" ht="15" customHeight="1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24" s="10" customFormat="1" ht="15" customHeight="1" x14ac:dyDescent="0.25">
      <c r="A44" s="29" t="s">
        <v>49</v>
      </c>
      <c r="B44" s="29" t="s">
        <v>49</v>
      </c>
      <c r="C44" s="29"/>
      <c r="D44" s="30">
        <v>2006</v>
      </c>
      <c r="E44" s="30">
        <v>2007</v>
      </c>
      <c r="F44" s="30">
        <v>2008</v>
      </c>
      <c r="G44" s="30">
        <v>2009</v>
      </c>
      <c r="H44" s="30">
        <v>2010</v>
      </c>
      <c r="I44" s="30">
        <v>2011</v>
      </c>
      <c r="J44" s="30">
        <v>2012</v>
      </c>
      <c r="K44" s="30">
        <v>2013</v>
      </c>
      <c r="L44" s="30">
        <v>2014</v>
      </c>
      <c r="M44" s="30">
        <v>2015</v>
      </c>
      <c r="N44" s="30">
        <v>2016</v>
      </c>
      <c r="O44" s="30">
        <v>2017</v>
      </c>
      <c r="P44" s="30">
        <v>2018</v>
      </c>
      <c r="Q44" s="30">
        <v>2019</v>
      </c>
      <c r="R44" s="30">
        <v>2020</v>
      </c>
      <c r="S44" s="30">
        <v>2021</v>
      </c>
      <c r="T44" s="30" t="s">
        <v>24</v>
      </c>
      <c r="U44" s="10" t="s">
        <v>117</v>
      </c>
      <c r="V44" s="10" t="s">
        <v>144</v>
      </c>
      <c r="W44" s="10" t="s">
        <v>145</v>
      </c>
      <c r="X44" s="10" t="s">
        <v>146</v>
      </c>
    </row>
    <row r="45" spans="1:24" x14ac:dyDescent="0.25">
      <c r="A45" s="27" t="s">
        <v>37</v>
      </c>
      <c r="B45" s="27" t="s">
        <v>91</v>
      </c>
      <c r="C45" s="59" t="s">
        <v>109</v>
      </c>
      <c r="D45" s="20">
        <f>D53/'Physical data'!D33</f>
        <v>36919.971433227722</v>
      </c>
      <c r="E45" s="20">
        <f>E53/'Physical data'!E33</f>
        <v>40829.597635184939</v>
      </c>
      <c r="F45" s="20">
        <f>F53/'Physical data'!F33</f>
        <v>34385.453758994074</v>
      </c>
      <c r="G45" s="20">
        <f>G53/'Physical data'!G33</f>
        <v>45878.177043782365</v>
      </c>
      <c r="H45" s="20">
        <f>H53/'Physical data'!H33</f>
        <v>43875.543911729968</v>
      </c>
      <c r="I45" s="20">
        <f>I53/'Physical data'!I33</f>
        <v>45686.563614038772</v>
      </c>
      <c r="J45" s="20">
        <f>J53/'Physical data'!J33</f>
        <v>53412.155111139306</v>
      </c>
      <c r="K45" s="20">
        <f>K53/'Physical data'!K33</f>
        <v>48912.012746047454</v>
      </c>
      <c r="L45" s="20">
        <f>L53/'Physical data'!L33</f>
        <v>44398.296268545448</v>
      </c>
      <c r="M45" s="20">
        <f>M53/'Physical data'!M33</f>
        <v>56842.924649400724</v>
      </c>
      <c r="N45" s="20">
        <f>N53/'Physical data'!N33</f>
        <v>54764.896044033492</v>
      </c>
      <c r="O45" s="20">
        <f>O53/'Physical data'!O33</f>
        <v>53252.107359775095</v>
      </c>
      <c r="P45" s="20">
        <f>P53/'Physical data'!P33</f>
        <v>53506.313981312727</v>
      </c>
      <c r="Q45" s="20">
        <f>Q53/'Physical data'!Q33</f>
        <v>54206.228808925945</v>
      </c>
      <c r="R45" s="20">
        <f>R53/'Physical data'!R33</f>
        <v>55455.727193929728</v>
      </c>
      <c r="S45" s="20">
        <f>S53/'Physical data'!S33</f>
        <v>54831.953250381826</v>
      </c>
      <c r="T45" s="20">
        <f>AVERAGE(O45:S45)</f>
        <v>54250.466118865064</v>
      </c>
      <c r="U45" s="56">
        <f>$S45/$D45-1</f>
        <v>0.48515697932077595</v>
      </c>
      <c r="V45" s="56">
        <f>S45/R45-1</f>
        <v>-1.1248142890031065E-2</v>
      </c>
      <c r="W45" s="50">
        <f>S45-S48</f>
        <v>16811.193208621466</v>
      </c>
      <c r="X45" s="50">
        <f>L47-L45</f>
        <v>9227.3604479552523</v>
      </c>
    </row>
    <row r="46" spans="1:24" x14ac:dyDescent="0.25">
      <c r="A46" s="27" t="s">
        <v>21</v>
      </c>
      <c r="B46" s="27" t="s">
        <v>92</v>
      </c>
      <c r="C46" s="59" t="s">
        <v>109</v>
      </c>
      <c r="D46" s="20">
        <f>D54/'Physical data'!D34</f>
        <v>46418.805609197902</v>
      </c>
      <c r="E46" s="20">
        <f>E54/'Physical data'!E34</f>
        <v>49323.025174646216</v>
      </c>
      <c r="F46" s="20">
        <f>F54/'Physical data'!F34</f>
        <v>45562.451065708221</v>
      </c>
      <c r="G46" s="20">
        <f>G54/'Physical data'!G34</f>
        <v>59462.50939195689</v>
      </c>
      <c r="H46" s="20">
        <f>H54/'Physical data'!H34</f>
        <v>56973.335552823548</v>
      </c>
      <c r="I46" s="20">
        <f>I54/'Physical data'!I34</f>
        <v>58580.299950436201</v>
      </c>
      <c r="J46" s="20">
        <f>J54/'Physical data'!J34</f>
        <v>70203.440160762606</v>
      </c>
      <c r="K46" s="20">
        <f>K54/'Physical data'!K34</f>
        <v>55206.826933844182</v>
      </c>
      <c r="L46" s="20">
        <f>L54/'Physical data'!L34</f>
        <v>48729.757667032398</v>
      </c>
      <c r="M46" s="20">
        <f>M54/'Physical data'!M34</f>
        <v>64103.596351116335</v>
      </c>
      <c r="N46" s="20">
        <f>N54/'Physical data'!N34</f>
        <v>59450.426032140582</v>
      </c>
      <c r="O46" s="20">
        <f>O54/'Physical data'!O34</f>
        <v>55075.449095584831</v>
      </c>
      <c r="P46" s="20">
        <f>P54/'Physical data'!P34</f>
        <v>50034.621359507859</v>
      </c>
      <c r="Q46" s="20">
        <f>Q54/'Physical data'!Q34</f>
        <v>51791.991270251827</v>
      </c>
      <c r="R46" s="20">
        <f>R54/'Physical data'!R34</f>
        <v>48941.198117500164</v>
      </c>
      <c r="S46" s="20">
        <f>S54/'Physical data'!S34</f>
        <v>48831.404217219788</v>
      </c>
      <c r="T46" s="20">
        <f t="shared" ref="T46:T49" si="12">AVERAGE(O46:S46)</f>
        <v>50934.932812012892</v>
      </c>
      <c r="U46" s="56">
        <f t="shared" ref="U46:U49" si="13">$S46/$D46-1</f>
        <v>5.1974594700554544E-2</v>
      </c>
      <c r="V46" s="56">
        <f t="shared" ref="V46:V49" si="14">S46/R46-1</f>
        <v>-2.2433839894311358E-3</v>
      </c>
    </row>
    <row r="47" spans="1:24" x14ac:dyDescent="0.25">
      <c r="A47" s="27" t="s">
        <v>35</v>
      </c>
      <c r="B47" s="27" t="s">
        <v>93</v>
      </c>
      <c r="C47" s="59" t="s">
        <v>109</v>
      </c>
      <c r="D47" s="20">
        <f>D55/'Physical data'!D35</f>
        <v>53817.574999898774</v>
      </c>
      <c r="E47" s="20">
        <f>E55/'Physical data'!E35</f>
        <v>49592.090128477699</v>
      </c>
      <c r="F47" s="20">
        <f>F55/'Physical data'!F35</f>
        <v>54053.961506349384</v>
      </c>
      <c r="G47" s="20">
        <f>G55/'Physical data'!G35</f>
        <v>58235.008204960948</v>
      </c>
      <c r="H47" s="20">
        <f>H55/'Physical data'!H35</f>
        <v>66815.763879871854</v>
      </c>
      <c r="I47" s="20">
        <f>I55/'Physical data'!I35</f>
        <v>64024.98530053172</v>
      </c>
      <c r="J47" s="20">
        <f>J55/'Physical data'!J35</f>
        <v>61753.609147246883</v>
      </c>
      <c r="K47" s="20">
        <f>K55/'Physical data'!K35</f>
        <v>62688.49841243383</v>
      </c>
      <c r="L47" s="20">
        <f>L55/'Physical data'!L35</f>
        <v>53625.6567165007</v>
      </c>
      <c r="M47" s="20">
        <f>M55/'Physical data'!M35</f>
        <v>61704.193260571839</v>
      </c>
      <c r="N47" s="20">
        <f>N55/'Physical data'!N35</f>
        <v>58528.281450982169</v>
      </c>
      <c r="O47" s="20">
        <f>O55/'Physical data'!O35</f>
        <v>63357.74132677084</v>
      </c>
      <c r="P47" s="20">
        <f>P55/'Physical data'!P35</f>
        <v>58774.665743086873</v>
      </c>
      <c r="Q47" s="20">
        <f>Q55/'Physical data'!Q35</f>
        <v>57991.847731205817</v>
      </c>
      <c r="R47" s="20">
        <f>R55/'Physical data'!R35</f>
        <v>55401.5726388896</v>
      </c>
      <c r="S47" s="20">
        <f>S55/'Physical data'!S35</f>
        <v>53534.401475597166</v>
      </c>
      <c r="T47" s="20">
        <f t="shared" si="12"/>
        <v>57812.045783110058</v>
      </c>
      <c r="U47" s="56">
        <f t="shared" si="13"/>
        <v>-5.2617295428517563E-3</v>
      </c>
      <c r="V47" s="56">
        <f t="shared" si="14"/>
        <v>-3.3702493888806306E-2</v>
      </c>
      <c r="W47" s="56"/>
    </row>
    <row r="48" spans="1:24" x14ac:dyDescent="0.25">
      <c r="A48" s="27" t="s">
        <v>29</v>
      </c>
      <c r="B48" s="27" t="s">
        <v>94</v>
      </c>
      <c r="C48" s="59" t="s">
        <v>109</v>
      </c>
      <c r="D48" s="20">
        <f>D56/'Physical data'!D36</f>
        <v>42401.014067067255</v>
      </c>
      <c r="E48" s="20">
        <f>E56/'Physical data'!E36</f>
        <v>39487.876959787296</v>
      </c>
      <c r="F48" s="20">
        <f>F56/'Physical data'!F36</f>
        <v>47356.088936387976</v>
      </c>
      <c r="G48" s="20">
        <f>G56/'Physical data'!G36</f>
        <v>45877.655587817797</v>
      </c>
      <c r="H48" s="20">
        <f>H56/'Physical data'!H36</f>
        <v>52908.625506975317</v>
      </c>
      <c r="I48" s="20">
        <f>I56/'Physical data'!I36</f>
        <v>53896.055752120701</v>
      </c>
      <c r="J48" s="20">
        <f>J56/'Physical data'!J36</f>
        <v>64069.906018789974</v>
      </c>
      <c r="K48" s="20">
        <f>K56/'Physical data'!K36</f>
        <v>53641.06090518448</v>
      </c>
      <c r="L48" s="20">
        <f>L56/'Physical data'!L36</f>
        <v>48997.641048686812</v>
      </c>
      <c r="M48" s="20">
        <f>M56/'Physical data'!M36</f>
        <v>50138.245464287276</v>
      </c>
      <c r="N48" s="20">
        <f>N56/'Physical data'!N36</f>
        <v>46766.785943731556</v>
      </c>
      <c r="O48" s="20">
        <f>O56/'Physical data'!O36</f>
        <v>46396.297000052029</v>
      </c>
      <c r="P48" s="20">
        <f>P56/'Physical data'!P36</f>
        <v>41489.575476748061</v>
      </c>
      <c r="Q48" s="20">
        <f>Q56/'Physical data'!Q36</f>
        <v>42139.523554285122</v>
      </c>
      <c r="R48" s="20">
        <f>R56/'Physical data'!R36</f>
        <v>37583.835576562597</v>
      </c>
      <c r="S48" s="20">
        <f>S56/'Physical data'!S36</f>
        <v>38020.760041760361</v>
      </c>
      <c r="T48" s="20">
        <f t="shared" si="12"/>
        <v>41125.99832988163</v>
      </c>
      <c r="U48" s="56">
        <f>$S48/$D48-1</f>
        <v>-0.10330540723338566</v>
      </c>
      <c r="V48" s="56">
        <f t="shared" si="14"/>
        <v>1.1625329307002108E-2</v>
      </c>
      <c r="W48" s="56"/>
    </row>
    <row r="49" spans="1:23" x14ac:dyDescent="0.25">
      <c r="A49" s="27" t="s">
        <v>38</v>
      </c>
      <c r="B49" s="27" t="s">
        <v>95</v>
      </c>
      <c r="C49" s="59" t="s">
        <v>109</v>
      </c>
      <c r="D49" s="20">
        <f>D57/'Physical data'!D37</f>
        <v>43482.217093011292</v>
      </c>
      <c r="E49" s="20">
        <f>E57/'Physical data'!E37</f>
        <v>45346.62830911747</v>
      </c>
      <c r="F49" s="20">
        <f>F57/'Physical data'!F37</f>
        <v>40005.866906268842</v>
      </c>
      <c r="G49" s="20">
        <f>G57/'Physical data'!G37</f>
        <v>52582.444233670583</v>
      </c>
      <c r="H49" s="20">
        <f>H57/'Physical data'!H37</f>
        <v>53902.058862875128</v>
      </c>
      <c r="I49" s="20">
        <f>I57/'Physical data'!I37</f>
        <v>54263.193291891897</v>
      </c>
      <c r="J49" s="20">
        <f>J57/'Physical data'!J37</f>
        <v>64017.016600704141</v>
      </c>
      <c r="K49" s="20">
        <f>K57/'Physical data'!K37</f>
        <v>53171.514665963048</v>
      </c>
      <c r="L49" s="20">
        <f>L57/'Physical data'!L37</f>
        <v>51097.783397374849</v>
      </c>
      <c r="M49" s="20">
        <f>M57/'Physical data'!M37</f>
        <v>59904.538492702573</v>
      </c>
      <c r="N49" s="20">
        <f>N57/'Physical data'!N37</f>
        <v>55803.594117274057</v>
      </c>
      <c r="O49" s="20">
        <f>O57/'Physical data'!O37</f>
        <v>57461.629485393518</v>
      </c>
      <c r="P49" s="20">
        <f>P57/'Physical data'!P37</f>
        <v>49985.1417826705</v>
      </c>
      <c r="Q49" s="20">
        <f>Q57/'Physical data'!Q37</f>
        <v>49257.564229343152</v>
      </c>
      <c r="R49" s="20">
        <f>R57/'Physical data'!R37</f>
        <v>47355.864482376288</v>
      </c>
      <c r="S49" s="20">
        <f>S57/'Physical data'!S37</f>
        <v>48015.201747291852</v>
      </c>
      <c r="T49" s="20">
        <f t="shared" si="12"/>
        <v>50415.080345415059</v>
      </c>
      <c r="U49" s="56">
        <f t="shared" si="13"/>
        <v>0.10424916109002003</v>
      </c>
      <c r="V49" s="56">
        <f t="shared" si="14"/>
        <v>1.3923033020776909E-2</v>
      </c>
      <c r="W49" s="56"/>
    </row>
    <row r="50" spans="1:23" x14ac:dyDescent="0.25">
      <c r="C50" s="60"/>
      <c r="D50" s="11">
        <f>MAX(D45:D49)-MIN(D45:D49)</f>
        <v>16897.603566671052</v>
      </c>
      <c r="E50" s="11">
        <f t="shared" ref="E50:R50" si="15">MAX(E45:E49)-MIN(E45:E49)</f>
        <v>10104.213168690403</v>
      </c>
      <c r="F50" s="11">
        <f t="shared" si="15"/>
        <v>19668.50774735531</v>
      </c>
      <c r="G50" s="11">
        <f t="shared" si="15"/>
        <v>13584.853804139093</v>
      </c>
      <c r="H50" s="11">
        <f t="shared" si="15"/>
        <v>22940.219968141886</v>
      </c>
      <c r="I50" s="11">
        <f t="shared" si="15"/>
        <v>18338.421686492948</v>
      </c>
      <c r="J50" s="11">
        <f t="shared" si="15"/>
        <v>16791.2850496233</v>
      </c>
      <c r="K50" s="11">
        <f t="shared" si="15"/>
        <v>13776.485666386376</v>
      </c>
      <c r="L50" s="11">
        <f t="shared" si="15"/>
        <v>9227.3604479552523</v>
      </c>
      <c r="M50" s="11">
        <f t="shared" si="15"/>
        <v>13965.350886829059</v>
      </c>
      <c r="N50" s="11">
        <f t="shared" si="15"/>
        <v>12683.640088409025</v>
      </c>
      <c r="O50" s="11">
        <f t="shared" si="15"/>
        <v>16961.444326718811</v>
      </c>
      <c r="P50" s="11">
        <f t="shared" si="15"/>
        <v>17285.090266338811</v>
      </c>
      <c r="Q50" s="11">
        <f t="shared" si="15"/>
        <v>15852.324176920694</v>
      </c>
      <c r="R50" s="11">
        <f t="shared" si="15"/>
        <v>17871.891617367131</v>
      </c>
      <c r="S50" s="11">
        <f t="shared" ref="S50" si="16">MAX(S45:S49)-MIN(S45:S49)</f>
        <v>16811.193208621466</v>
      </c>
    </row>
    <row r="51" spans="1:23" x14ac:dyDescent="0.25">
      <c r="C51" s="6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23" x14ac:dyDescent="0.25">
      <c r="A52" s="29" t="s">
        <v>43</v>
      </c>
      <c r="B52" s="29" t="s">
        <v>43</v>
      </c>
      <c r="C52" s="61"/>
      <c r="D52" s="30">
        <v>2006</v>
      </c>
      <c r="E52" s="30">
        <v>2007</v>
      </c>
      <c r="F52" s="30">
        <v>2008</v>
      </c>
      <c r="G52" s="30">
        <v>2009</v>
      </c>
      <c r="H52" s="30">
        <v>2010</v>
      </c>
      <c r="I52" s="30">
        <v>2011</v>
      </c>
      <c r="J52" s="30">
        <v>2012</v>
      </c>
      <c r="K52" s="30">
        <v>2013</v>
      </c>
      <c r="L52" s="30">
        <v>2014</v>
      </c>
      <c r="M52" s="30">
        <v>2015</v>
      </c>
      <c r="N52" s="30">
        <v>2016</v>
      </c>
      <c r="O52" s="30">
        <v>2017</v>
      </c>
      <c r="P52" s="30">
        <v>2018</v>
      </c>
      <c r="Q52" s="30">
        <v>2019</v>
      </c>
      <c r="R52" s="30">
        <v>2020</v>
      </c>
      <c r="S52" s="30">
        <v>2021</v>
      </c>
      <c r="T52" s="30" t="s">
        <v>24</v>
      </c>
    </row>
    <row r="53" spans="1:23" x14ac:dyDescent="0.25">
      <c r="A53" s="27" t="s">
        <v>37</v>
      </c>
      <c r="B53" s="27" t="s">
        <v>91</v>
      </c>
      <c r="C53" s="62" t="s">
        <v>107</v>
      </c>
      <c r="D53" s="31">
        <f>'Asset cost and Total cost'!C19</f>
        <v>206771739.89067775</v>
      </c>
      <c r="E53" s="31">
        <f>'Asset cost and Total cost'!D19</f>
        <v>225325034.75176841</v>
      </c>
      <c r="F53" s="31">
        <f>'Asset cost and Total cost'!E19</f>
        <v>189761937.71069404</v>
      </c>
      <c r="G53" s="31">
        <f>'Asset cost and Total cost'!F19</f>
        <v>252498300.77237666</v>
      </c>
      <c r="H53" s="31">
        <f>'Asset cost and Total cost'!G19</f>
        <v>241388719.7973035</v>
      </c>
      <c r="I53" s="31">
        <f>'Asset cost and Total cost'!H19</f>
        <v>251489410.44272721</v>
      </c>
      <c r="J53" s="31">
        <f>'Asset cost and Total cost'!I19</f>
        <v>295159254.5828585</v>
      </c>
      <c r="K53" s="31">
        <f>'Asset cost and Total cost'!J19</f>
        <v>270353764.73985267</v>
      </c>
      <c r="L53" s="31">
        <f>'Asset cost and Total cost'!K19</f>
        <v>245496074.97969204</v>
      </c>
      <c r="M53" s="31">
        <f>'Asset cost and Total cost'!L19</f>
        <v>313849625.17004406</v>
      </c>
      <c r="N53" s="31">
        <f>'Asset cost and Total cost'!M19</f>
        <v>302540398.6959604</v>
      </c>
      <c r="O53" s="31">
        <f>'Asset cost and Total cost'!N19</f>
        <v>293928680.96768641</v>
      </c>
      <c r="P53" s="31">
        <f>'Asset cost and Total cost'!O19</f>
        <v>295470908.37187171</v>
      </c>
      <c r="Q53" s="31">
        <f>'Asset cost and Total cost'!P19</f>
        <v>298820997.16187298</v>
      </c>
      <c r="R53" s="31">
        <f>'Asset cost and Total cost'!Q19</f>
        <v>306092267.24934345</v>
      </c>
      <c r="S53" s="31">
        <f>'Asset cost and Total cost'!R19</f>
        <v>302405843.8173576</v>
      </c>
      <c r="T53" s="20">
        <f>AVERAGE(O53:S53)</f>
        <v>299343739.51362646</v>
      </c>
    </row>
    <row r="54" spans="1:23" x14ac:dyDescent="0.25">
      <c r="A54" s="27" t="s">
        <v>21</v>
      </c>
      <c r="B54" s="27" t="s">
        <v>92</v>
      </c>
      <c r="C54" s="62" t="s">
        <v>107</v>
      </c>
      <c r="D54" s="31">
        <f>'Asset cost and Total cost'!C20</f>
        <v>543137160.67210281</v>
      </c>
      <c r="E54" s="31">
        <f>'Asset cost and Total cost'!D20</f>
        <v>586588873.79703248</v>
      </c>
      <c r="F54" s="31">
        <f>'Asset cost and Total cost'!E20</f>
        <v>566286591.80547428</v>
      </c>
      <c r="G54" s="31">
        <f>'Asset cost and Total cost'!F20</f>
        <v>764991129.57846463</v>
      </c>
      <c r="H54" s="31">
        <f>'Asset cost and Total cost'!G20</f>
        <v>758947500.23271775</v>
      </c>
      <c r="I54" s="31">
        <f>'Asset cost and Total cost'!H20</f>
        <v>804799592.8390727</v>
      </c>
      <c r="J54" s="31">
        <f>'Asset cost and Total cost'!I20</f>
        <v>961955618.45883346</v>
      </c>
      <c r="K54" s="31">
        <f>'Asset cost and Total cost'!J20</f>
        <v>790202917.31757867</v>
      </c>
      <c r="L54" s="31">
        <f>'Asset cost and Total cost'!K20</f>
        <v>719860345.13623607</v>
      </c>
      <c r="M54" s="31">
        <f>'Asset cost and Total cost'!L20</f>
        <v>945816512.36254597</v>
      </c>
      <c r="N54" s="31">
        <f>'Asset cost and Total cost'!M20</f>
        <v>877220761.31725037</v>
      </c>
      <c r="O54" s="31">
        <f>'Asset cost and Total cost'!N20</f>
        <v>800383963.98158658</v>
      </c>
      <c r="P54" s="31">
        <f>'Asset cost and Total cost'!O20</f>
        <v>726877961.80025041</v>
      </c>
      <c r="Q54" s="31">
        <f>'Asset cost and Total cost'!P20</f>
        <v>752340823.58993208</v>
      </c>
      <c r="R54" s="31">
        <f>'Asset cost and Total cost'!Q20</f>
        <v>711027514.49066591</v>
      </c>
      <c r="S54" s="31">
        <f>'Asset cost and Total cost'!R20</f>
        <v>709725395.17391586</v>
      </c>
      <c r="T54" s="20">
        <f t="shared" ref="T54:T57" si="17">AVERAGE(O54:S54)</f>
        <v>740071131.80727017</v>
      </c>
    </row>
    <row r="55" spans="1:23" x14ac:dyDescent="0.25">
      <c r="A55" s="27" t="s">
        <v>35</v>
      </c>
      <c r="B55" s="27" t="s">
        <v>93</v>
      </c>
      <c r="C55" s="62" t="s">
        <v>107</v>
      </c>
      <c r="D55" s="31">
        <f>'Asset cost and Total cost'!C21</f>
        <v>353742920.47433466</v>
      </c>
      <c r="E55" s="31">
        <f>'Asset cost and Total cost'!D21</f>
        <v>325968808.4144839</v>
      </c>
      <c r="F55" s="31">
        <f>'Asset cost and Total cost'!E21</f>
        <v>355296688.98123449</v>
      </c>
      <c r="G55" s="31">
        <f>'Asset cost and Total cost'!F21</f>
        <v>382778708.93120831</v>
      </c>
      <c r="H55" s="31">
        <f>'Asset cost and Total cost'!G21</f>
        <v>439180015.98239774</v>
      </c>
      <c r="I55" s="31">
        <f>'Asset cost and Total cost'!H21</f>
        <v>420836228.380395</v>
      </c>
      <c r="J55" s="31">
        <f>'Asset cost and Total cost'!I21</f>
        <v>405906472.92485374</v>
      </c>
      <c r="K55" s="31">
        <f>'Asset cost and Total cost'!J21</f>
        <v>412051500.06492758</v>
      </c>
      <c r="L55" s="31">
        <f>'Asset cost and Total cost'!K21</f>
        <v>352481441.59755909</v>
      </c>
      <c r="M55" s="31">
        <f>'Asset cost and Total cost'!L21</f>
        <v>405594003.14039081</v>
      </c>
      <c r="N55" s="31">
        <f>'Asset cost and Total cost'!M21</f>
        <v>383877911.91667718</v>
      </c>
      <c r="O55" s="31">
        <f>'Asset cost and Total cost'!N21</f>
        <v>415625014.23995578</v>
      </c>
      <c r="P55" s="31">
        <f>'Asset cost and Total cost'!O21</f>
        <v>389306928.97579938</v>
      </c>
      <c r="Q55" s="31">
        <f>'Asset cost and Total cost'!P21</f>
        <v>384356628.63745403</v>
      </c>
      <c r="R55" s="31">
        <f>'Asset cost and Total cost'!Q21</f>
        <v>372914146.08724332</v>
      </c>
      <c r="S55" s="31">
        <f>'Asset cost and Total cost'!R21</f>
        <v>360501730.22470087</v>
      </c>
      <c r="T55" s="20">
        <f t="shared" si="17"/>
        <v>384540889.63303071</v>
      </c>
    </row>
    <row r="56" spans="1:23" x14ac:dyDescent="0.25">
      <c r="A56" s="27" t="s">
        <v>29</v>
      </c>
      <c r="B56" s="27" t="s">
        <v>94</v>
      </c>
      <c r="C56" s="62" t="s">
        <v>107</v>
      </c>
      <c r="D56" s="31">
        <f>'Asset cost and Total cost'!C22</f>
        <v>151850751.67838797</v>
      </c>
      <c r="E56" s="31">
        <f>'Asset cost and Total cost'!D22</f>
        <v>143036936.71143752</v>
      </c>
      <c r="F56" s="31">
        <f>'Asset cost and Total cost'!E22</f>
        <v>171537960.95427817</v>
      </c>
      <c r="G56" s="31">
        <f>'Asset cost and Total cost'!F22</f>
        <v>161503110.96579501</v>
      </c>
      <c r="H56" s="31">
        <f>'Asset cost and Total cost'!G22</f>
        <v>184190797.97743317</v>
      </c>
      <c r="I56" s="31">
        <f>'Asset cost and Total cost'!H22</f>
        <v>188275091.55888325</v>
      </c>
      <c r="J56" s="31">
        <f>'Asset cost and Total cost'!I22</f>
        <v>223815402.69543904</v>
      </c>
      <c r="K56" s="31">
        <f>'Asset cost and Total cost'!J22</f>
        <v>187914828.15243322</v>
      </c>
      <c r="L56" s="31">
        <f>'Asset cost and Total cost'!K22</f>
        <v>171677934.70638886</v>
      </c>
      <c r="M56" s="31">
        <f>'Asset cost and Total cost'!L22</f>
        <v>178677665.36108059</v>
      </c>
      <c r="N56" s="31">
        <f>'Asset cost and Total cost'!M22</f>
        <v>166662795.06767616</v>
      </c>
      <c r="O56" s="31">
        <f>'Asset cost and Total cost'!N22</f>
        <v>165342483.6190854</v>
      </c>
      <c r="P56" s="31">
        <f>'Asset cost and Total cost'!O22</f>
        <v>147088842.98016721</v>
      </c>
      <c r="Q56" s="31">
        <f>'Asset cost and Total cost'!P22</f>
        <v>149393038.90465161</v>
      </c>
      <c r="R56" s="31">
        <f>'Asset cost and Total cost'!Q22</f>
        <v>125926038.5414474</v>
      </c>
      <c r="S56" s="31">
        <f>'Asset cost and Total cost'!R22</f>
        <v>127378481.01850702</v>
      </c>
      <c r="T56" s="20">
        <f t="shared" si="17"/>
        <v>143025777.01277173</v>
      </c>
    </row>
    <row r="57" spans="1:23" x14ac:dyDescent="0.25">
      <c r="A57" s="27" t="s">
        <v>38</v>
      </c>
      <c r="B57" s="27" t="s">
        <v>95</v>
      </c>
      <c r="C57" s="62" t="s">
        <v>107</v>
      </c>
      <c r="D57" s="31">
        <f>'Asset cost and Total cost'!C23</f>
        <v>544276955.74537086</v>
      </c>
      <c r="E57" s="31">
        <f>'Asset cost and Total cost'!D23</f>
        <v>568034267.43439031</v>
      </c>
      <c r="F57" s="31">
        <f>'Asset cost and Total cost'!E23</f>
        <v>501014034.28279471</v>
      </c>
      <c r="G57" s="31">
        <f>'Asset cost and Total cost'!F23</f>
        <v>658508300.41129446</v>
      </c>
      <c r="H57" s="31">
        <f>'Asset cost and Total cost'!G23</f>
        <v>683610651.54400039</v>
      </c>
      <c r="I57" s="31">
        <f>'Asset cost and Total cost'!H23</f>
        <v>688158383.27029216</v>
      </c>
      <c r="J57" s="31">
        <f>'Asset cost and Total cost'!I23</f>
        <v>812837311.30157685</v>
      </c>
      <c r="K57" s="31">
        <f>'Asset cost and Total cost'!J23</f>
        <v>685573145.41281056</v>
      </c>
      <c r="L57" s="31">
        <f>'Asset cost and Total cost'!K23</f>
        <v>660677272.66840219</v>
      </c>
      <c r="M57" s="31">
        <f>'Asset cost and Total cost'!L23</f>
        <v>780242518.18577278</v>
      </c>
      <c r="N57" s="31">
        <f>'Asset cost and Total cost'!M23</f>
        <v>727633945.3959893</v>
      </c>
      <c r="O57" s="31">
        <f>'Asset cost and Total cost'!N23</f>
        <v>751489706.40935981</v>
      </c>
      <c r="P57" s="31">
        <f>'Asset cost and Total cost'!O23</f>
        <v>654280248.2900579</v>
      </c>
      <c r="Q57" s="31">
        <f>'Asset cost and Total cost'!P23</f>
        <v>642928210.73248172</v>
      </c>
      <c r="R57" s="31">
        <f>'Asset cost and Total cost'!Q23</f>
        <v>618110115.39917481</v>
      </c>
      <c r="S57" s="31">
        <f>'Asset cost and Total cost'!R23</f>
        <v>626043951.26758265</v>
      </c>
      <c r="T57" s="20">
        <f t="shared" si="17"/>
        <v>658570446.41973138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topLeftCell="A4" zoomScaleNormal="100" workbookViewId="0">
      <selection activeCell="S12" sqref="S12"/>
    </sheetView>
  </sheetViews>
  <sheetFormatPr defaultColWidth="9.140625" defaultRowHeight="15" x14ac:dyDescent="0.25"/>
  <cols>
    <col min="1" max="1" width="46.42578125" bestFit="1" customWidth="1"/>
    <col min="2" max="11" width="14" customWidth="1"/>
    <col min="12" max="12" width="12.140625" customWidth="1"/>
    <col min="13" max="15" width="14.140625" customWidth="1"/>
    <col min="16" max="17" width="11.140625" bestFit="1" customWidth="1"/>
    <col min="18" max="18" width="11.140625" customWidth="1"/>
    <col min="19" max="19" width="10.85546875" bestFit="1" customWidth="1"/>
  </cols>
  <sheetData>
    <row r="1" spans="1:19" x14ac:dyDescent="0.25">
      <c r="A1" s="10" t="s">
        <v>81</v>
      </c>
      <c r="E1" t="s">
        <v>96</v>
      </c>
    </row>
    <row r="2" spans="1:19" x14ac:dyDescent="0.25">
      <c r="A2" t="s">
        <v>31</v>
      </c>
      <c r="B2" s="28">
        <f>AVERAGE([3]WACC!$N$22:$R$22)</f>
        <v>2.5094977542418646E-2</v>
      </c>
      <c r="D2" s="28"/>
      <c r="E2" s="28">
        <f>AVERAGE('[4]PTRM inputs'!$L$26-'[4]PTRM inputs'!$L$28,'[4]PTRM inputs'!$M$26-'[4]PTRM inputs'!$M$28,'[4]PTRM inputs'!$N$26-'[4]PTRM inputs'!$N$28,'[4]PTRM inputs'!$O$26-'[4]PTRM inputs'!$O$28,'[4]PTRM inputs'!$P$26-'[4]PTRM inputs'!$P$28)</f>
        <v>3.3527858038188293E-2</v>
      </c>
      <c r="G2" s="28">
        <f>AVERAGE('[5]PTRM inputs'!$M$26-'[5]PTRM inputs'!$M$28,'[5]PTRM inputs'!$N$26-'[5]PTRM inputs'!$N$28,'[5]PTRM inputs'!$O$26-'[5]PTRM inputs'!$O$28,'[5]PTRM inputs'!$P$26-'[5]PTRM inputs'!$P$28,'[5]PTRM inputs'!$Q$26-'[5]PTRM inputs'!$Q$28)</f>
        <v>2.9744598129268912E-2</v>
      </c>
    </row>
    <row r="3" spans="1:19" x14ac:dyDescent="0.25">
      <c r="B3" s="28"/>
      <c r="C3" s="28"/>
      <c r="D3" s="28"/>
      <c r="E3" s="28"/>
      <c r="G3" s="28"/>
    </row>
    <row r="4" spans="1:19" x14ac:dyDescent="0.25">
      <c r="A4" s="10" t="s">
        <v>42</v>
      </c>
      <c r="B4" s="28" t="str">
        <f>"Real $"&amp;Real_year&amp;""</f>
        <v>Real $2021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</row>
    <row r="5" spans="1:19" x14ac:dyDescent="0.25">
      <c r="A5" t="s">
        <v>57</v>
      </c>
      <c r="B5" s="28"/>
      <c r="C5" s="17">
        <f>CPI!F13</f>
        <v>1.4244604316546761</v>
      </c>
      <c r="D5" s="17">
        <f>CPI!G13</f>
        <v>1.3702422145328719</v>
      </c>
      <c r="E5" s="17">
        <f>CPI!H13</f>
        <v>1.3454133635334089</v>
      </c>
      <c r="F5" s="17">
        <f>CPI!I13</f>
        <v>1.2815533980582523</v>
      </c>
      <c r="G5" s="17">
        <f>CPI!J13</f>
        <v>1.2665245202558635</v>
      </c>
      <c r="H5" s="17">
        <f>CPI!K13</f>
        <v>1.2310880829015545</v>
      </c>
      <c r="I5" s="17">
        <f>CPI!L13</f>
        <v>1.1903807615230462</v>
      </c>
      <c r="J5" s="17">
        <f>CPI!M13</f>
        <v>1.1669941060903732</v>
      </c>
      <c r="K5" s="17">
        <f>CPI!N13</f>
        <v>1.1423076923076922</v>
      </c>
      <c r="L5" s="17">
        <f>CPI!O13</f>
        <v>1.1165413533834585</v>
      </c>
      <c r="M5" s="17">
        <f>CPI!P13</f>
        <v>1.0999999999999999</v>
      </c>
      <c r="N5" s="17">
        <f>CPI!Q13</f>
        <v>1.0859232175502742</v>
      </c>
      <c r="O5" s="17">
        <f>CPI!R13</f>
        <v>1.0664272890484738</v>
      </c>
      <c r="P5" s="17">
        <f>CPI!S13</f>
        <v>1.0466960352422907</v>
      </c>
      <c r="Q5" s="17">
        <f>CPI!T13</f>
        <v>1.0294627383015598</v>
      </c>
      <c r="R5" s="17">
        <f>CPI!U13</f>
        <v>1.0223752151462995</v>
      </c>
    </row>
    <row r="6" spans="1:19" x14ac:dyDescent="0.25">
      <c r="A6" t="s">
        <v>56</v>
      </c>
      <c r="B6" s="28"/>
      <c r="C6" s="17">
        <f>CPI!F12</f>
        <v>1.4176610978520288</v>
      </c>
      <c r="D6" s="17">
        <f>CPI!G12</f>
        <v>1.371824480369515</v>
      </c>
      <c r="E6" s="17">
        <f>CPI!H12</f>
        <v>1.3333333333333335</v>
      </c>
      <c r="F6" s="17">
        <f>CPI!I12</f>
        <v>1.2857142857142856</v>
      </c>
      <c r="G6" s="17">
        <f>CPI!J12</f>
        <v>1.2598091198303287</v>
      </c>
      <c r="H6" s="17">
        <f>CPI!K12</f>
        <v>1.2260061919504643</v>
      </c>
      <c r="I6" s="17">
        <f>CPI!L12</f>
        <v>1.1903807615230462</v>
      </c>
      <c r="J6" s="17">
        <f>CPI!M12</f>
        <v>1.1647058823529413</v>
      </c>
      <c r="K6" s="17">
        <f>CPI!N12</f>
        <v>1.133587786259542</v>
      </c>
      <c r="L6" s="17">
        <f>CPI!O12</f>
        <v>1.1144465290806755</v>
      </c>
      <c r="M6" s="17">
        <f>CPI!P12</f>
        <v>1.0959409594095939</v>
      </c>
      <c r="N6" s="17">
        <f>CPI!Q12</f>
        <v>1.08</v>
      </c>
      <c r="O6" s="17">
        <f>CPI!R12</f>
        <v>1.0597680642283676</v>
      </c>
      <c r="P6" s="17">
        <f>CPI!S12</f>
        <v>1.0411919368974585</v>
      </c>
      <c r="Q6" s="17">
        <f>CPI!T12</f>
        <v>1.0223752151462995</v>
      </c>
      <c r="R6" s="17">
        <f>CPI!U12</f>
        <v>1.0136518771331058</v>
      </c>
    </row>
    <row r="9" spans="1:19" x14ac:dyDescent="0.25">
      <c r="A9" s="10" t="s">
        <v>52</v>
      </c>
      <c r="B9" s="10" t="str">
        <f>IF(Depreciation!A14=RAB!A14,"valid","invalid")</f>
        <v>valid</v>
      </c>
    </row>
    <row r="10" spans="1:19" x14ac:dyDescent="0.25">
      <c r="A10" s="10" t="str">
        <f>Depreciation!A14</f>
        <v>Real $2021</v>
      </c>
      <c r="B10" s="10"/>
      <c r="C10">
        <v>2006</v>
      </c>
      <c r="D10">
        <v>2007</v>
      </c>
      <c r="E10">
        <v>2008</v>
      </c>
      <c r="F10">
        <v>2009</v>
      </c>
      <c r="G10">
        <v>2010</v>
      </c>
      <c r="H10">
        <v>2011</v>
      </c>
      <c r="I10">
        <v>2012</v>
      </c>
      <c r="J10">
        <v>2013</v>
      </c>
      <c r="K10">
        <v>2014</v>
      </c>
      <c r="L10">
        <v>2015</v>
      </c>
      <c r="M10">
        <v>2016</v>
      </c>
      <c r="N10">
        <v>2017</v>
      </c>
      <c r="O10">
        <v>2018</v>
      </c>
      <c r="P10">
        <v>2019</v>
      </c>
      <c r="Q10">
        <v>2020</v>
      </c>
      <c r="R10">
        <v>2021</v>
      </c>
      <c r="S10" t="s">
        <v>114</v>
      </c>
    </row>
    <row r="11" spans="1:19" x14ac:dyDescent="0.25">
      <c r="A11" s="27" t="s">
        <v>37</v>
      </c>
      <c r="B11" s="27" t="s">
        <v>130</v>
      </c>
      <c r="C11" s="20">
        <f>C27*C$6</f>
        <v>138112.99526060614</v>
      </c>
      <c r="D11" s="20">
        <f>D27*D$6</f>
        <v>152714.36500580996</v>
      </c>
      <c r="E11" s="20">
        <f t="shared" ref="E11:Q11" si="0">E27*E$6</f>
        <v>123835.7563773607</v>
      </c>
      <c r="F11" s="20">
        <f t="shared" si="0"/>
        <v>181973.01505809094</v>
      </c>
      <c r="G11" s="20">
        <f t="shared" si="0"/>
        <v>168865.28819603098</v>
      </c>
      <c r="H11" s="20">
        <f t="shared" si="0"/>
        <v>172571.39186687581</v>
      </c>
      <c r="I11" s="20">
        <f t="shared" si="0"/>
        <v>208756.65738846976</v>
      </c>
      <c r="J11" s="20">
        <f t="shared" si="0"/>
        <v>188210.5529751468</v>
      </c>
      <c r="K11" s="20">
        <f t="shared" si="0"/>
        <v>161429.26596442485</v>
      </c>
      <c r="L11" s="20">
        <f t="shared" si="0"/>
        <v>225133.16492974386</v>
      </c>
      <c r="M11" s="20">
        <f t="shared" si="0"/>
        <v>209266.83743027778</v>
      </c>
      <c r="N11" s="20">
        <f t="shared" si="0"/>
        <v>197117.87732768638</v>
      </c>
      <c r="O11" s="20">
        <f t="shared" si="0"/>
        <v>196777.44063235342</v>
      </c>
      <c r="P11" s="20">
        <f t="shared" si="0"/>
        <v>201633.58668685105</v>
      </c>
      <c r="Q11" s="20">
        <f t="shared" si="0"/>
        <v>203985.23287385292</v>
      </c>
      <c r="R11" s="20">
        <f t="shared" ref="R11" si="1">R27*R$6</f>
        <v>201299.32116862043</v>
      </c>
      <c r="S11" s="20">
        <f>AVERAGE(N11:R11)</f>
        <v>200162.69173787287</v>
      </c>
    </row>
    <row r="12" spans="1:19" x14ac:dyDescent="0.25">
      <c r="A12" s="27" t="s">
        <v>21</v>
      </c>
      <c r="B12" s="27" t="s">
        <v>130</v>
      </c>
      <c r="C12" s="20">
        <f>C28*C$6</f>
        <v>374745.95780814096</v>
      </c>
      <c r="D12" s="20">
        <f t="shared" ref="D12:Q12" si="2">D28*D$6</f>
        <v>410631.80682243669</v>
      </c>
      <c r="E12" s="20">
        <f t="shared" si="2"/>
        <v>374137.25847214094</v>
      </c>
      <c r="F12" s="20">
        <f t="shared" si="2"/>
        <v>581396.27243560751</v>
      </c>
      <c r="G12" s="20">
        <f t="shared" si="2"/>
        <v>567579.97531225113</v>
      </c>
      <c r="H12" s="20">
        <f t="shared" si="2"/>
        <v>619637.10367498605</v>
      </c>
      <c r="I12" s="20">
        <f t="shared" si="2"/>
        <v>771037.59040272119</v>
      </c>
      <c r="J12" s="20">
        <f t="shared" si="2"/>
        <v>595257.24587863742</v>
      </c>
      <c r="K12" s="20">
        <f t="shared" si="2"/>
        <v>514658.53155709174</v>
      </c>
      <c r="L12" s="20">
        <f t="shared" si="2"/>
        <v>710377.43124840339</v>
      </c>
      <c r="M12" s="20">
        <f t="shared" si="2"/>
        <v>638677.15615119867</v>
      </c>
      <c r="N12" s="20">
        <f t="shared" si="2"/>
        <v>556021.92306158657</v>
      </c>
      <c r="O12" s="20">
        <f t="shared" si="2"/>
        <v>528050.38791564736</v>
      </c>
      <c r="P12" s="20">
        <f t="shared" si="2"/>
        <v>544761.56285202096</v>
      </c>
      <c r="Q12" s="20">
        <f t="shared" si="2"/>
        <v>504404.36707586376</v>
      </c>
      <c r="R12" s="20">
        <f t="shared" ref="R12" si="3">R28*R$6</f>
        <v>496180.4940522043</v>
      </c>
      <c r="S12" s="20">
        <f t="shared" ref="S12:S15" si="4">AVERAGE(N12:R12)</f>
        <v>525883.74699146464</v>
      </c>
    </row>
    <row r="13" spans="1:19" x14ac:dyDescent="0.25">
      <c r="A13" s="27" t="s">
        <v>35</v>
      </c>
      <c r="B13" s="27" t="s">
        <v>130</v>
      </c>
      <c r="C13" s="20">
        <f>C29*C$5</f>
        <v>265761.65651013574</v>
      </c>
      <c r="D13" s="20">
        <f t="shared" ref="D13:Q13" si="5">D29*D$5</f>
        <v>241263.73120375833</v>
      </c>
      <c r="E13" s="20">
        <f t="shared" si="5"/>
        <v>276900.27366300119</v>
      </c>
      <c r="F13" s="20">
        <f t="shared" si="5"/>
        <v>283342.35153315007</v>
      </c>
      <c r="G13" s="20">
        <f t="shared" si="5"/>
        <v>337777.7693725896</v>
      </c>
      <c r="H13" s="20">
        <f t="shared" si="5"/>
        <v>328384.44457521365</v>
      </c>
      <c r="I13" s="20">
        <f t="shared" si="5"/>
        <v>319315.93008317036</v>
      </c>
      <c r="J13" s="20">
        <f t="shared" si="5"/>
        <v>323208.45816315938</v>
      </c>
      <c r="K13" s="20">
        <f t="shared" si="5"/>
        <v>257973.45086676924</v>
      </c>
      <c r="L13" s="20">
        <f t="shared" si="5"/>
        <v>311084.38616504852</v>
      </c>
      <c r="M13" s="20">
        <f t="shared" si="5"/>
        <v>285548.63925410784</v>
      </c>
      <c r="N13" s="20">
        <f t="shared" si="5"/>
        <v>320452.28292770125</v>
      </c>
      <c r="O13" s="20">
        <f t="shared" si="5"/>
        <v>302067.22590133845</v>
      </c>
      <c r="P13" s="20">
        <f t="shared" si="5"/>
        <v>293388.49182195216</v>
      </c>
      <c r="Q13" s="20">
        <f t="shared" si="5"/>
        <v>290944.66210634791</v>
      </c>
      <c r="R13" s="20">
        <f t="shared" ref="R13" si="6">R29*R$5</f>
        <v>286734.1165514114</v>
      </c>
      <c r="S13" s="20">
        <f t="shared" si="4"/>
        <v>298717.35586175026</v>
      </c>
    </row>
    <row r="14" spans="1:19" x14ac:dyDescent="0.25">
      <c r="A14" s="27" t="s">
        <v>29</v>
      </c>
      <c r="B14" s="27" t="s">
        <v>130</v>
      </c>
      <c r="C14" s="20">
        <f>C30*C$6</f>
        <v>101628.62157814931</v>
      </c>
      <c r="D14" s="20">
        <f t="shared" ref="D14:Q14" si="7">D30*D$6</f>
        <v>91378.658060167319</v>
      </c>
      <c r="E14" s="20">
        <f t="shared" si="7"/>
        <v>109759.12628761149</v>
      </c>
      <c r="F14" s="20">
        <f t="shared" si="7"/>
        <v>101534.00110865216</v>
      </c>
      <c r="G14" s="20">
        <f t="shared" si="7"/>
        <v>123997.73805802703</v>
      </c>
      <c r="H14" s="20">
        <f t="shared" si="7"/>
        <v>131195.21264866655</v>
      </c>
      <c r="I14" s="20">
        <f t="shared" si="7"/>
        <v>167958.9995691865</v>
      </c>
      <c r="J14" s="20">
        <f t="shared" si="7"/>
        <v>135530.33736419791</v>
      </c>
      <c r="K14" s="20">
        <f t="shared" si="7"/>
        <v>119988.59882852624</v>
      </c>
      <c r="L14" s="20">
        <f t="shared" si="7"/>
        <v>139999.99865305057</v>
      </c>
      <c r="M14" s="20">
        <f t="shared" si="7"/>
        <v>125451.6890741603</v>
      </c>
      <c r="N14" s="20">
        <f t="shared" si="7"/>
        <v>130730.43692429601</v>
      </c>
      <c r="O14" s="20">
        <f t="shared" si="7"/>
        <v>116382.18193184708</v>
      </c>
      <c r="P14" s="20">
        <f t="shared" si="7"/>
        <v>116996.01868977919</v>
      </c>
      <c r="Q14" s="20">
        <f t="shared" si="7"/>
        <v>98094.338813374037</v>
      </c>
      <c r="R14" s="20">
        <f t="shared" ref="R14" si="8">R30*R$6</f>
        <v>96232.577264934764</v>
      </c>
      <c r="S14" s="20">
        <f t="shared" si="4"/>
        <v>111687.11072484622</v>
      </c>
    </row>
    <row r="15" spans="1:19" x14ac:dyDescent="0.25">
      <c r="A15" s="27" t="s">
        <v>38</v>
      </c>
      <c r="B15" s="27" t="s">
        <v>130</v>
      </c>
      <c r="C15" s="20">
        <f>C31*C$6</f>
        <v>373122.73140169546</v>
      </c>
      <c r="D15" s="20">
        <f t="shared" ref="D15:Q15" si="9">D31*D$6</f>
        <v>399176.39214570663</v>
      </c>
      <c r="E15" s="20">
        <f t="shared" si="9"/>
        <v>341400.70094946132</v>
      </c>
      <c r="F15" s="20">
        <f t="shared" si="9"/>
        <v>498899.72898272309</v>
      </c>
      <c r="G15" s="20">
        <f t="shared" si="9"/>
        <v>503155.59321950405</v>
      </c>
      <c r="H15" s="20">
        <f t="shared" si="9"/>
        <v>519251.51020527672</v>
      </c>
      <c r="I15" s="20">
        <f t="shared" si="9"/>
        <v>631768.49366630637</v>
      </c>
      <c r="J15" s="20">
        <f t="shared" si="9"/>
        <v>518961.9689422223</v>
      </c>
      <c r="K15" s="20">
        <f t="shared" si="9"/>
        <v>461576.18106534873</v>
      </c>
      <c r="L15" s="20">
        <f t="shared" si="9"/>
        <v>592760.73548033193</v>
      </c>
      <c r="M15" s="20">
        <f t="shared" si="9"/>
        <v>541834.15668757609</v>
      </c>
      <c r="N15" s="20">
        <f t="shared" si="9"/>
        <v>567493.662881759</v>
      </c>
      <c r="O15" s="20">
        <f t="shared" si="9"/>
        <v>491545.76795096759</v>
      </c>
      <c r="P15" s="20">
        <f t="shared" si="9"/>
        <v>482118.35968070308</v>
      </c>
      <c r="Q15" s="20">
        <f t="shared" si="9"/>
        <v>453045.73631827987</v>
      </c>
      <c r="R15" s="20">
        <f t="shared" ref="R15" si="10">R31*R$6</f>
        <v>455201.07206963043</v>
      </c>
      <c r="S15" s="20">
        <f t="shared" si="4"/>
        <v>489880.91978026804</v>
      </c>
    </row>
    <row r="17" spans="1:19" x14ac:dyDescent="0.25">
      <c r="A17" s="10" t="s">
        <v>43</v>
      </c>
      <c r="B17" s="10"/>
      <c r="C17" s="10" t="str">
        <f>IF(A10=A18,"valid","invalid")</f>
        <v>valid</v>
      </c>
      <c r="D17" s="11"/>
      <c r="E17" s="11"/>
      <c r="F17" s="11"/>
      <c r="G17" s="11"/>
      <c r="H17" s="11"/>
      <c r="I17" s="11"/>
      <c r="J17" s="11"/>
      <c r="K17" s="11"/>
    </row>
    <row r="18" spans="1:19" x14ac:dyDescent="0.25">
      <c r="A18" s="10" t="str">
        <f>Opex!A14</f>
        <v>Real $2021</v>
      </c>
      <c r="B18" s="10"/>
      <c r="C18">
        <v>2006</v>
      </c>
      <c r="D18">
        <v>2007</v>
      </c>
      <c r="E18">
        <v>2008</v>
      </c>
      <c r="F18">
        <v>2009</v>
      </c>
      <c r="G18">
        <v>2010</v>
      </c>
      <c r="H18">
        <v>2011</v>
      </c>
      <c r="I18">
        <v>2012</v>
      </c>
      <c r="J18">
        <v>2013</v>
      </c>
      <c r="K18">
        <v>2014</v>
      </c>
      <c r="L18">
        <v>2015</v>
      </c>
      <c r="M18">
        <v>2016</v>
      </c>
      <c r="N18">
        <v>2017</v>
      </c>
      <c r="O18">
        <v>2018</v>
      </c>
      <c r="P18">
        <v>2019</v>
      </c>
      <c r="Q18">
        <v>2020</v>
      </c>
      <c r="R18">
        <v>2021</v>
      </c>
    </row>
    <row r="19" spans="1:19" x14ac:dyDescent="0.25">
      <c r="A19" s="27" t="s">
        <v>37</v>
      </c>
      <c r="B19" s="48" t="s">
        <v>136</v>
      </c>
      <c r="C19" s="20">
        <f>(C11+Opex!C15)*1000</f>
        <v>206771739.89067775</v>
      </c>
      <c r="D19" s="20">
        <f>(D11+Opex!D15)*1000</f>
        <v>225325034.75176841</v>
      </c>
      <c r="E19" s="20">
        <f>(E11+Opex!E15)*1000</f>
        <v>189761937.71069404</v>
      </c>
      <c r="F19" s="20">
        <f>(F11+Opex!F15)*1000</f>
        <v>252498300.77237666</v>
      </c>
      <c r="G19" s="20">
        <f>(G11+Opex!G15)*1000</f>
        <v>241388719.7973035</v>
      </c>
      <c r="H19" s="20">
        <f>(H11+Opex!H15)*1000</f>
        <v>251489410.44272721</v>
      </c>
      <c r="I19" s="20">
        <f>(I11+Opex!I15)*1000</f>
        <v>295159254.5828585</v>
      </c>
      <c r="J19" s="20">
        <f>(J11+Opex!J15)*1000</f>
        <v>270353764.73985267</v>
      </c>
      <c r="K19" s="20">
        <f>(K11+Opex!K15)*1000</f>
        <v>245496074.97969204</v>
      </c>
      <c r="L19" s="20">
        <f>(L11+Opex!L15)*1000</f>
        <v>313849625.17004406</v>
      </c>
      <c r="M19" s="20">
        <f>(M11+Opex!M15)*1000</f>
        <v>302540398.6959604</v>
      </c>
      <c r="N19" s="20">
        <f>(N11+Opex!N15)*1000</f>
        <v>293928680.96768641</v>
      </c>
      <c r="O19" s="20">
        <f>(O11+Opex!O15)*1000</f>
        <v>295470908.37187171</v>
      </c>
      <c r="P19" s="20">
        <f>(P11+Opex!P15)*1000</f>
        <v>298820997.16187298</v>
      </c>
      <c r="Q19" s="20">
        <f>(Q11+Opex!Q15)*1000</f>
        <v>306092267.24934345</v>
      </c>
      <c r="R19" s="20">
        <f>(R11+Opex!R15)*1000</f>
        <v>302405843.8173576</v>
      </c>
    </row>
    <row r="20" spans="1:19" x14ac:dyDescent="0.25">
      <c r="A20" s="27" t="s">
        <v>21</v>
      </c>
      <c r="B20" s="48" t="s">
        <v>136</v>
      </c>
      <c r="C20" s="20">
        <f>(C12+Opex!C16)*1000</f>
        <v>543137160.67210281</v>
      </c>
      <c r="D20" s="20">
        <f>(D12+Opex!D16)*1000</f>
        <v>586588873.79703248</v>
      </c>
      <c r="E20" s="20">
        <f>(E12+Opex!E16)*1000</f>
        <v>566286591.80547428</v>
      </c>
      <c r="F20" s="20">
        <f>(F12+Opex!F16)*1000</f>
        <v>764991129.57846463</v>
      </c>
      <c r="G20" s="20">
        <f>(G12+Opex!G16)*1000</f>
        <v>758947500.23271775</v>
      </c>
      <c r="H20" s="20">
        <f>(H12+Opex!H16)*1000</f>
        <v>804799592.8390727</v>
      </c>
      <c r="I20" s="20">
        <f>(I12+Opex!I16)*1000</f>
        <v>961955618.45883346</v>
      </c>
      <c r="J20" s="20">
        <f>(J12+Opex!J16)*1000</f>
        <v>790202917.31757867</v>
      </c>
      <c r="K20" s="20">
        <f>(K12+Opex!K16)*1000</f>
        <v>719860345.13623607</v>
      </c>
      <c r="L20" s="20">
        <f>(L12+Opex!L16)*1000</f>
        <v>945816512.36254597</v>
      </c>
      <c r="M20" s="20">
        <f>(M12+Opex!M16)*1000</f>
        <v>877220761.31725037</v>
      </c>
      <c r="N20" s="20">
        <f>(N12+Opex!N16)*1000</f>
        <v>800383963.98158658</v>
      </c>
      <c r="O20" s="20">
        <f>(O12+Opex!O16)*1000</f>
        <v>726877961.80025041</v>
      </c>
      <c r="P20" s="20">
        <f>(P12+Opex!P16)*1000</f>
        <v>752340823.58993208</v>
      </c>
      <c r="Q20" s="20">
        <f>(Q12+Opex!Q16)*1000</f>
        <v>711027514.49066591</v>
      </c>
      <c r="R20" s="20">
        <f>(R12+Opex!R16)*1000</f>
        <v>709725395.17391586</v>
      </c>
    </row>
    <row r="21" spans="1:19" x14ac:dyDescent="0.25">
      <c r="A21" s="27" t="s">
        <v>35</v>
      </c>
      <c r="B21" s="48" t="s">
        <v>136</v>
      </c>
      <c r="C21" s="20">
        <f>(C13+Opex!C17)*1000</f>
        <v>353742920.47433466</v>
      </c>
      <c r="D21" s="20">
        <f>(D13+Opex!D17)*1000</f>
        <v>325968808.4144839</v>
      </c>
      <c r="E21" s="20">
        <f>(E13+Opex!E17)*1000</f>
        <v>355296688.98123449</v>
      </c>
      <c r="F21" s="20">
        <f>(F13+Opex!F17)*1000</f>
        <v>382778708.93120831</v>
      </c>
      <c r="G21" s="20">
        <f>(G13+Opex!G17)*1000</f>
        <v>439180015.98239774</v>
      </c>
      <c r="H21" s="20">
        <f>(H13+Opex!H17)*1000</f>
        <v>420836228.380395</v>
      </c>
      <c r="I21" s="20">
        <f>(I13+Opex!I17)*1000</f>
        <v>405906472.92485374</v>
      </c>
      <c r="J21" s="20">
        <f>(J13+Opex!J17)*1000</f>
        <v>412051500.06492758</v>
      </c>
      <c r="K21" s="20">
        <f>(K13+Opex!K17)*1000</f>
        <v>352481441.59755909</v>
      </c>
      <c r="L21" s="20">
        <f>(L13+Opex!L17)*1000</f>
        <v>405594003.14039081</v>
      </c>
      <c r="M21" s="20">
        <f>(M13+Opex!M17)*1000</f>
        <v>383877911.91667718</v>
      </c>
      <c r="N21" s="20">
        <f>(N13+Opex!N17)*1000</f>
        <v>415625014.23995578</v>
      </c>
      <c r="O21" s="20">
        <f>(O13+Opex!O17)*1000</f>
        <v>389306928.97579938</v>
      </c>
      <c r="P21" s="20">
        <f>(P13+Opex!P17)*1000</f>
        <v>384356628.63745403</v>
      </c>
      <c r="Q21" s="20">
        <f>(Q13+Opex!Q17)*1000</f>
        <v>372914146.08724332</v>
      </c>
      <c r="R21" s="20">
        <f>(R13+Opex!R17)*1000</f>
        <v>360501730.22470087</v>
      </c>
    </row>
    <row r="22" spans="1:19" x14ac:dyDescent="0.25">
      <c r="A22" s="27" t="s">
        <v>29</v>
      </c>
      <c r="B22" s="48" t="s">
        <v>136</v>
      </c>
      <c r="C22" s="20">
        <f>(C14+Opex!C18)*1000</f>
        <v>151850751.67838797</v>
      </c>
      <c r="D22" s="20">
        <f>(D14+Opex!D18)*1000</f>
        <v>143036936.71143752</v>
      </c>
      <c r="E22" s="20">
        <f>(E14+Opex!E18)*1000</f>
        <v>171537960.95427817</v>
      </c>
      <c r="F22" s="20">
        <f>(F14+Opex!F18)*1000</f>
        <v>161503110.96579501</v>
      </c>
      <c r="G22" s="20">
        <f>(G14+Opex!G18)*1000</f>
        <v>184190797.97743317</v>
      </c>
      <c r="H22" s="20">
        <f>(H14+Opex!H18)*1000</f>
        <v>188275091.55888325</v>
      </c>
      <c r="I22" s="20">
        <f>(I14+Opex!I18)*1000</f>
        <v>223815402.69543904</v>
      </c>
      <c r="J22" s="20">
        <f>(J14+Opex!J18)*1000</f>
        <v>187914828.15243322</v>
      </c>
      <c r="K22" s="20">
        <f>(K14+Opex!K18)*1000</f>
        <v>171677934.70638886</v>
      </c>
      <c r="L22" s="20">
        <f>(L14+Opex!L18)*1000</f>
        <v>178677665.36108059</v>
      </c>
      <c r="M22" s="20">
        <f>(M14+Opex!M18)*1000</f>
        <v>166662795.06767616</v>
      </c>
      <c r="N22" s="20">
        <f>(N14+Opex!N18)*1000</f>
        <v>165342483.6190854</v>
      </c>
      <c r="O22" s="20">
        <f>(O14+Opex!O18)*1000</f>
        <v>147088842.98016721</v>
      </c>
      <c r="P22" s="20">
        <f>(P14+Opex!P18)*1000</f>
        <v>149393038.90465161</v>
      </c>
      <c r="Q22" s="20">
        <f>(Q14+Opex!Q18)*1000</f>
        <v>125926038.5414474</v>
      </c>
      <c r="R22" s="20">
        <f>(R14+Opex!R18)*1000</f>
        <v>127378481.01850702</v>
      </c>
    </row>
    <row r="23" spans="1:19" x14ac:dyDescent="0.25">
      <c r="A23" s="27" t="s">
        <v>38</v>
      </c>
      <c r="B23" s="48" t="s">
        <v>136</v>
      </c>
      <c r="C23" s="20">
        <f>(C15+Opex!C19)*1000</f>
        <v>544276955.74537086</v>
      </c>
      <c r="D23" s="20">
        <f>(D15+Opex!D19)*1000</f>
        <v>568034267.43439031</v>
      </c>
      <c r="E23" s="20">
        <f>(E15+Opex!E19)*1000</f>
        <v>501014034.28279471</v>
      </c>
      <c r="F23" s="20">
        <f>(F15+Opex!F19)*1000</f>
        <v>658508300.41129446</v>
      </c>
      <c r="G23" s="20">
        <f>(G15+Opex!G19)*1000</f>
        <v>683610651.54400039</v>
      </c>
      <c r="H23" s="20">
        <f>(H15+Opex!H19)*1000</f>
        <v>688158383.27029216</v>
      </c>
      <c r="I23" s="20">
        <f>(I15+Opex!I19)*1000</f>
        <v>812837311.30157685</v>
      </c>
      <c r="J23" s="20">
        <f>(J15+Opex!J19)*1000</f>
        <v>685573145.41281056</v>
      </c>
      <c r="K23" s="20">
        <f>(K15+Opex!K19)*1000</f>
        <v>660677272.66840219</v>
      </c>
      <c r="L23" s="20">
        <f>(L15+Opex!L19)*1000</f>
        <v>780242518.18577278</v>
      </c>
      <c r="M23" s="20">
        <f>(M15+Opex!M19)*1000</f>
        <v>727633945.3959893</v>
      </c>
      <c r="N23" s="20">
        <f>(N15+Opex!N19)*1000</f>
        <v>751489706.40935981</v>
      </c>
      <c r="O23" s="20">
        <f>(O15+Opex!O19)*1000</f>
        <v>654280248.2900579</v>
      </c>
      <c r="P23" s="20">
        <f>(P15+Opex!P19)*1000</f>
        <v>642928210.73248172</v>
      </c>
      <c r="Q23" s="20">
        <f>(Q15+Opex!Q19)*1000</f>
        <v>618110115.39917481</v>
      </c>
      <c r="R23" s="20">
        <f>(R15+Opex!R19)*1000</f>
        <v>626043951.26758265</v>
      </c>
    </row>
    <row r="25" spans="1:19" x14ac:dyDescent="0.25">
      <c r="A25" s="10" t="s">
        <v>52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19" x14ac:dyDescent="0.25">
      <c r="A26" s="10" t="s">
        <v>61</v>
      </c>
    </row>
    <row r="27" spans="1:19" x14ac:dyDescent="0.25">
      <c r="A27" s="27" t="s">
        <v>37</v>
      </c>
      <c r="B27" s="59" t="s">
        <v>106</v>
      </c>
      <c r="C27" s="19">
        <f>SUM('[6]Extracted Data'!D78:D80)</f>
        <v>97423.139754535296</v>
      </c>
      <c r="D27" s="19">
        <f>SUM('[6]Extracted Data'!E78:E80)</f>
        <v>111322.08762208032</v>
      </c>
      <c r="E27" s="19">
        <f>SUM('[6]Extracted Data'!F78:F80)</f>
        <v>92876.817283020515</v>
      </c>
      <c r="F27" s="19">
        <f>SUM('[6]Extracted Data'!G78:G80)</f>
        <v>141534.56726740408</v>
      </c>
      <c r="G27" s="19">
        <f>SUM('[6]Extracted Data'!H78:H80)</f>
        <v>134040.37606806163</v>
      </c>
      <c r="H27" s="19">
        <f>SUM('[6]Extracted Data'!I78:I80)</f>
        <v>140758.98882070932</v>
      </c>
      <c r="I27" s="19">
        <f>SUM('[6]Extracted Data'!J78:J80)</f>
        <v>175369.64989368082</v>
      </c>
      <c r="J27" s="19">
        <f>SUM('[6]Extracted Data'!K78:K80)</f>
        <v>161594.91922108561</v>
      </c>
      <c r="K27" s="19">
        <f>SUM('[6]Extracted Data'!L78:L80)</f>
        <v>142405.61509319633</v>
      </c>
      <c r="L27" s="19">
        <f>SUM('[6]Extracted Data'!M78:M80)</f>
        <v>202013.4291372954</v>
      </c>
      <c r="M27" s="19">
        <f>SUM('[6]Extracted Data'!N78:N80)</f>
        <v>190947.18162830063</v>
      </c>
      <c r="N27" s="19">
        <f>SUM('[6]Extracted Data'!O78:O80)</f>
        <v>182516.55308119109</v>
      </c>
      <c r="O27" s="19">
        <f>SUM('[6]Extracted Data'!P78:P80)</f>
        <v>185679.72302093281</v>
      </c>
      <c r="P27" s="19">
        <f>SUM('[6]Extracted Data'!Q78:Q80)</f>
        <v>193656.50034486281</v>
      </c>
      <c r="Q27" s="19">
        <f>SUM('[6]Extracted Data'!R78:R80)</f>
        <v>199520.90959546893</v>
      </c>
      <c r="R27" s="19">
        <f>SUM('[7]Extracted Data'!$S$78:$S$80)</f>
        <v>198588.21920001949</v>
      </c>
      <c r="S27" s="15"/>
    </row>
    <row r="28" spans="1:19" x14ac:dyDescent="0.25">
      <c r="A28" s="27" t="s">
        <v>21</v>
      </c>
      <c r="B28" s="27" t="s">
        <v>106</v>
      </c>
      <c r="C28" s="19">
        <f>SUM('[6]Extracted Data'!S78:S80)</f>
        <v>264341.00390843611</v>
      </c>
      <c r="D28" s="19">
        <f>SUM('[6]Extracted Data'!T78:T80)</f>
        <v>299332.61339076614</v>
      </c>
      <c r="E28" s="19">
        <f>SUM('[6]Extracted Data'!U78:U80)</f>
        <v>280602.94385410566</v>
      </c>
      <c r="F28" s="19">
        <f>SUM('[6]Extracted Data'!V78:V80)</f>
        <v>452197.10078325029</v>
      </c>
      <c r="G28" s="19">
        <f>SUM('[6]Extracted Data'!W78:W80)</f>
        <v>450528.54942714889</v>
      </c>
      <c r="H28" s="19">
        <f>SUM('[6]Extracted Data'!X78:X80)</f>
        <v>505411.07193692046</v>
      </c>
      <c r="I28" s="19">
        <f>SUM('[6]Extracted Data'!Y78:Y80)</f>
        <v>647723.49766154517</v>
      </c>
      <c r="J28" s="19">
        <f>SUM('[6]Extracted Data'!Z78:Z80)</f>
        <v>511079.4535321634</v>
      </c>
      <c r="K28" s="19">
        <f>SUM('[6]Extracted Data'!AA78:AA80)</f>
        <v>454008.53625575092</v>
      </c>
      <c r="L28" s="19">
        <f>SUM('[6]Extracted Data'!AB78:AB80)</f>
        <v>637426.21356127772</v>
      </c>
      <c r="M28" s="19">
        <f>SUM('[6]Extracted Data'!AC78:AC80)</f>
        <v>582766.02463627898</v>
      </c>
      <c r="N28" s="19">
        <f>SUM('[6]Extracted Data'!AD78:AD80)</f>
        <v>514835.1139459135</v>
      </c>
      <c r="O28" s="19">
        <f>SUM('[6]Extracted Data'!AE78:AE80)</f>
        <v>498269.76839515206</v>
      </c>
      <c r="P28" s="19">
        <f>SUM('[6]Extracted Data'!AF78:AF80)</f>
        <v>523209.54816006386</v>
      </c>
      <c r="Q28" s="19">
        <f>SUM('[6]Extracted Data'!AG78:AG80)</f>
        <v>493365.21426107211</v>
      </c>
      <c r="R28" s="19">
        <f>SUM('[7]Extracted Data'!$AI$78:$AI$80)</f>
        <v>489497.92847574363</v>
      </c>
      <c r="S28" s="15"/>
    </row>
    <row r="29" spans="1:19" x14ac:dyDescent="0.25">
      <c r="A29" s="27" t="s">
        <v>35</v>
      </c>
      <c r="B29" s="27" t="s">
        <v>106</v>
      </c>
      <c r="C29" s="19">
        <f>SUM('[6]Extracted Data'!AH78:AH80)</f>
        <v>186570.05179246905</v>
      </c>
      <c r="D29" s="19">
        <f>SUM('[6]Extracted Data'!AI78:AI80)</f>
        <v>176073.78363102567</v>
      </c>
      <c r="E29" s="19">
        <f>SUM('[6]Extracted Data'!AJ78:AJ80)</f>
        <v>205810.55693975594</v>
      </c>
      <c r="F29" s="19">
        <f>SUM('[6]Extracted Data'!AK78:AK80)</f>
        <v>221092.89551450347</v>
      </c>
      <c r="G29" s="19">
        <f>SUM('[6]Extracted Data'!AL78:AL80)</f>
        <v>266696.58894906484</v>
      </c>
      <c r="H29" s="19">
        <f>SUM('[6]Extracted Data'!AM78:AM80)</f>
        <v>266743.25674670131</v>
      </c>
      <c r="I29" s="19">
        <f>SUM('[6]Extracted Data'!AN78:AN80)</f>
        <v>268246.88402609766</v>
      </c>
      <c r="J29" s="19">
        <f>SUM('[6]Extracted Data'!AO78:AO80)</f>
        <v>276958.08957078808</v>
      </c>
      <c r="K29" s="19">
        <f>SUM('[6]Extracted Data'!AP78:AP80)</f>
        <v>225835.34419313134</v>
      </c>
      <c r="L29" s="19">
        <f>SUM('[6]Extracted Data'!AQ78:AQ80)</f>
        <v>278614.29872021184</v>
      </c>
      <c r="M29" s="19">
        <f>SUM('[6]Extracted Data'!AR78:AR80)</f>
        <v>259589.67204918899</v>
      </c>
      <c r="N29" s="19">
        <f>SUM('[6]Extracted Data'!AS78:AS80)</f>
        <v>295096.63091153634</v>
      </c>
      <c r="O29" s="19">
        <f>SUM('[6]Extracted Data'!AT78:AT80)</f>
        <v>283251.59061792179</v>
      </c>
      <c r="P29" s="19">
        <f>SUM('[6]Extracted Data'!AU78:AU80)</f>
        <v>280299.61129454186</v>
      </c>
      <c r="Q29" s="19">
        <f>SUM('[6]Extracted Data'!AV78:AV80)</f>
        <v>282617.9630224962</v>
      </c>
      <c r="R29" s="19">
        <f>SUM('[7]Extracted Data'!$AY$78:$AY$80)</f>
        <v>280458.79076829972</v>
      </c>
    </row>
    <row r="30" spans="1:19" x14ac:dyDescent="0.25">
      <c r="A30" s="27" t="s">
        <v>29</v>
      </c>
      <c r="B30" s="27" t="s">
        <v>106</v>
      </c>
      <c r="C30" s="19">
        <f>SUM('[6]Extracted Data'!AW78:AW80)</f>
        <v>71687.52936236457</v>
      </c>
      <c r="D30" s="19">
        <f>SUM('[6]Extracted Data'!AX78:AX80)</f>
        <v>66611.041986620286</v>
      </c>
      <c r="E30" s="19">
        <f>SUM('[6]Extracted Data'!AY78:AY80)</f>
        <v>82319.344715708605</v>
      </c>
      <c r="F30" s="19">
        <f>SUM('[6]Extracted Data'!AZ78:AZ80)</f>
        <v>78970.889751173905</v>
      </c>
      <c r="G30" s="19">
        <f>SUM('[6]Extracted Data'!BA78:BA80)</f>
        <v>98425.813963568595</v>
      </c>
      <c r="H30" s="19">
        <f>SUM('[6]Extracted Data'!BB78:BB80)</f>
        <v>107010.23657959419</v>
      </c>
      <c r="I30" s="19">
        <f>SUM('[6]Extracted Data'!BC78:BC80)</f>
        <v>141096.87000845801</v>
      </c>
      <c r="J30" s="19">
        <f>SUM('[6]Extracted Data'!BD78:BD80)</f>
        <v>116364.43107027093</v>
      </c>
      <c r="K30" s="19">
        <f>SUM('[6]Extracted Data'!BE78:BE80)</f>
        <v>105848.52825950799</v>
      </c>
      <c r="L30" s="19">
        <f>SUM('[6]Extracted Data'!BF78:BF80)</f>
        <v>125622.89441426928</v>
      </c>
      <c r="M30" s="19">
        <f>SUM('[6]Extracted Data'!BG78:BG80)</f>
        <v>114469.38632692743</v>
      </c>
      <c r="N30" s="19">
        <f>SUM('[6]Extracted Data'!BH78:BH80)</f>
        <v>121046.70085582964</v>
      </c>
      <c r="O30" s="19">
        <f>SUM('[6]Extracted Data'!BI78:BI80)</f>
        <v>109818.54035824964</v>
      </c>
      <c r="P30" s="19">
        <f>SUM('[6]Extracted Data'!BJ78:BJ80)</f>
        <v>112367.38832073909</v>
      </c>
      <c r="Q30" s="19">
        <f>SUM('[6]Extracted Data'!BK78:BK80)</f>
        <v>95947.493014428139</v>
      </c>
      <c r="R30" s="19">
        <f>SUM('[7]Extracted Data'!$BO$78:$BO$80)</f>
        <v>94936.515618268983</v>
      </c>
    </row>
    <row r="31" spans="1:19" x14ac:dyDescent="0.25">
      <c r="A31" s="27" t="s">
        <v>38</v>
      </c>
      <c r="B31" s="27" t="s">
        <v>106</v>
      </c>
      <c r="C31" s="19">
        <f>SUM('[6]Extracted Data'!BL78:BL80)</f>
        <v>263196.00076988281</v>
      </c>
      <c r="D31" s="19">
        <f>SUM('[6]Extracted Data'!BM78:BM80)</f>
        <v>290982.11750688718</v>
      </c>
      <c r="E31" s="19">
        <f>SUM('[6]Extracted Data'!BN78:BN80)</f>
        <v>256050.52571209596</v>
      </c>
      <c r="F31" s="19">
        <f>SUM('[6]Extracted Data'!BO78:BO80)</f>
        <v>388033.12254211801</v>
      </c>
      <c r="G31" s="19">
        <f>SUM('[6]Extracted Data'!BP78:BP80)</f>
        <v>399390.34040908446</v>
      </c>
      <c r="H31" s="19">
        <f>SUM('[6]Extracted Data'!BQ78:BQ80)</f>
        <v>423530.90352602117</v>
      </c>
      <c r="I31" s="19">
        <f>SUM('[6]Extracted Data'!BR78:BR80)</f>
        <v>530728.07801260415</v>
      </c>
      <c r="J31" s="19">
        <f>SUM('[6]Extracted Data'!BS78:BS80)</f>
        <v>445573.40767766559</v>
      </c>
      <c r="K31" s="19">
        <f>SUM('[6]Extracted Data'!BT78:BT80)</f>
        <v>407181.68161320325</v>
      </c>
      <c r="L31" s="19">
        <f>SUM('[6]Extracted Data'!BU78:BU80)</f>
        <v>531888.00001854694</v>
      </c>
      <c r="M31" s="19">
        <f>SUM('[6]Extracted Data'!BV78:BV80)</f>
        <v>494400.86350953917</v>
      </c>
      <c r="N31" s="19">
        <f>SUM('[6]Extracted Data'!BW78:BW80)</f>
        <v>525457.09526088787</v>
      </c>
      <c r="O31" s="19">
        <f>SUM('[6]Extracted Data'!BX78:BX80)</f>
        <v>463823.9106675376</v>
      </c>
      <c r="P31" s="19">
        <f>SUM('[6]Extracted Data'!BY78:BY80)</f>
        <v>463044.653531719</v>
      </c>
      <c r="Q31" s="19">
        <f>SUM('[6]Extracted Data'!BZ78:BZ80)</f>
        <v>443130.59394094377</v>
      </c>
      <c r="R31" s="19">
        <f>SUM('[7]Extracted Data'!$CE$78:$CE$80)</f>
        <v>449070.41790034249</v>
      </c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cost'!C23:L23</xm:f>
              <xm:sqref>S23</xm:sqref>
            </x14:sparkline>
          </x14:sparklines>
        </x14:sparklineGroup>
        <x14:sparklineGroup displayEmptyCellsAs="gap" xr2:uid="{00000000-0003-0000-03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cost'!C22:L22</xm:f>
              <xm:sqref>S22</xm:sqref>
            </x14:sparkline>
          </x14:sparklines>
        </x14:sparklineGroup>
        <x14:sparklineGroup displayEmptyCellsAs="gap" xr2:uid="{00000000-0003-0000-03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cost'!C21:L21</xm:f>
              <xm:sqref>S21</xm:sqref>
            </x14:sparkline>
          </x14:sparklines>
        </x14:sparklineGroup>
        <x14:sparklineGroup displayEmptyCellsAs="gap" xr2:uid="{00000000-0003-0000-03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cost'!C20:L20</xm:f>
              <xm:sqref>S20</xm:sqref>
            </x14:sparkline>
          </x14:sparklines>
        </x14:sparklineGroup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cost'!C19:L19</xm:f>
              <xm:sqref>S19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21"/>
  <sheetViews>
    <sheetView zoomScaleNormal="100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S16" sqref="S16"/>
    </sheetView>
  </sheetViews>
  <sheetFormatPr defaultColWidth="9.140625" defaultRowHeight="15" x14ac:dyDescent="0.25"/>
  <cols>
    <col min="1" max="1" width="23.5703125" customWidth="1"/>
    <col min="2" max="15" width="12.140625" customWidth="1"/>
    <col min="16" max="17" width="11" bestFit="1" customWidth="1"/>
    <col min="18" max="18" width="11" customWidth="1"/>
  </cols>
  <sheetData>
    <row r="1" spans="1:19" x14ac:dyDescent="0.25">
      <c r="A1" s="10" t="s">
        <v>25</v>
      </c>
    </row>
    <row r="2" spans="1:19" x14ac:dyDescent="0.25">
      <c r="B2" s="10" t="str">
        <f>"Real $"&amp;Real_year&amp;""</f>
        <v>Real $2021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</row>
    <row r="3" spans="1:19" x14ac:dyDescent="0.25">
      <c r="A3" t="s">
        <v>57</v>
      </c>
      <c r="C3" s="17">
        <f>CPI!F13</f>
        <v>1.4244604316546761</v>
      </c>
      <c r="D3" s="17">
        <f>CPI!G13</f>
        <v>1.3702422145328719</v>
      </c>
      <c r="E3" s="17">
        <f>CPI!H13</f>
        <v>1.3454133635334089</v>
      </c>
      <c r="F3" s="17">
        <f>CPI!I13</f>
        <v>1.2815533980582523</v>
      </c>
      <c r="G3" s="17">
        <f>CPI!J13</f>
        <v>1.2665245202558635</v>
      </c>
      <c r="H3" s="17">
        <f>CPI!K13</f>
        <v>1.2310880829015545</v>
      </c>
      <c r="I3" s="17">
        <f>CPI!L13</f>
        <v>1.1903807615230462</v>
      </c>
      <c r="J3" s="17">
        <f>CPI!M13</f>
        <v>1.1669941060903732</v>
      </c>
      <c r="K3" s="17">
        <f>CPI!N13</f>
        <v>1.1423076923076922</v>
      </c>
      <c r="L3" s="17">
        <f>CPI!O13</f>
        <v>1.1165413533834585</v>
      </c>
      <c r="M3" s="17">
        <f>CPI!P13</f>
        <v>1.0999999999999999</v>
      </c>
      <c r="N3" s="17">
        <f>CPI!Q13</f>
        <v>1.0859232175502742</v>
      </c>
      <c r="O3" s="17">
        <f>CPI!R13</f>
        <v>1.0664272890484738</v>
      </c>
      <c r="P3" s="17">
        <f>CPI!S13</f>
        <v>1.0466960352422907</v>
      </c>
      <c r="Q3" s="17">
        <f>CPI!T13</f>
        <v>1.0294627383015598</v>
      </c>
      <c r="R3" s="17">
        <f>CPI!U13</f>
        <v>1.0223752151462995</v>
      </c>
    </row>
    <row r="4" spans="1:19" x14ac:dyDescent="0.25">
      <c r="A4" t="s">
        <v>56</v>
      </c>
      <c r="C4" s="17">
        <f>CPI!F12</f>
        <v>1.4176610978520288</v>
      </c>
      <c r="D4" s="17">
        <f>CPI!G12</f>
        <v>1.371824480369515</v>
      </c>
      <c r="E4" s="17">
        <f>CPI!H12</f>
        <v>1.3333333333333335</v>
      </c>
      <c r="F4" s="17">
        <f>CPI!I12</f>
        <v>1.2857142857142856</v>
      </c>
      <c r="G4" s="17">
        <f>CPI!J12</f>
        <v>1.2598091198303287</v>
      </c>
      <c r="H4" s="17">
        <f>CPI!K12</f>
        <v>1.2260061919504643</v>
      </c>
      <c r="I4" s="17">
        <f>CPI!L12</f>
        <v>1.1903807615230462</v>
      </c>
      <c r="J4" s="17">
        <f>CPI!M12</f>
        <v>1.1647058823529413</v>
      </c>
      <c r="K4" s="17">
        <f>CPI!N12</f>
        <v>1.133587786259542</v>
      </c>
      <c r="L4" s="17">
        <f>CPI!O12</f>
        <v>1.1144465290806755</v>
      </c>
      <c r="M4" s="17">
        <f>CPI!P12</f>
        <v>1.0959409594095939</v>
      </c>
      <c r="N4" s="17">
        <f>CPI!Q12</f>
        <v>1.08</v>
      </c>
      <c r="O4" s="17">
        <f>CPI!R12</f>
        <v>1.0597680642283676</v>
      </c>
      <c r="P4" s="17">
        <f>CPI!S12</f>
        <v>1.0411919368974585</v>
      </c>
      <c r="Q4" s="17">
        <f>CPI!T12</f>
        <v>1.0223752151462995</v>
      </c>
      <c r="R4" s="17">
        <f>CPI!U12</f>
        <v>1.0136518771331058</v>
      </c>
    </row>
    <row r="5" spans="1:19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9" x14ac:dyDescent="0.25">
      <c r="A6" s="10" t="s">
        <v>51</v>
      </c>
    </row>
    <row r="7" spans="1:19" x14ac:dyDescent="0.25">
      <c r="A7" s="10" t="s">
        <v>61</v>
      </c>
      <c r="B7" s="10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</row>
    <row r="8" spans="1:19" x14ac:dyDescent="0.25">
      <c r="A8" s="27" t="s">
        <v>37</v>
      </c>
      <c r="B8" s="27" t="s">
        <v>62</v>
      </c>
      <c r="C8" s="19">
        <f>'[6]Extracted Data'!D$10</f>
        <v>48431</v>
      </c>
      <c r="D8" s="19">
        <f>'[6]Extracted Data'!E$10</f>
        <v>52930</v>
      </c>
      <c r="E8" s="19">
        <f>'[6]Extracted Data'!F$10</f>
        <v>49444.635999999999</v>
      </c>
      <c r="F8" s="19">
        <f>'[6]Extracted Data'!G$10</f>
        <v>54853</v>
      </c>
      <c r="G8" s="19">
        <f>'[6]Extracted Data'!H$10</f>
        <v>57567</v>
      </c>
      <c r="H8" s="19">
        <f>'[6]Extracted Data'!I$10</f>
        <v>64370</v>
      </c>
      <c r="I8" s="19">
        <f>'[6]Extracted Data'!J$10</f>
        <v>72584</v>
      </c>
      <c r="J8" s="19">
        <f>'[6]Extracted Data'!K$10</f>
        <v>70527</v>
      </c>
      <c r="K8" s="19">
        <f>'[6]Extracted Data'!L$10</f>
        <v>74159.945999999996</v>
      </c>
      <c r="L8" s="19">
        <f>'[6]Extracted Data'!M$10</f>
        <v>79605.847320000015</v>
      </c>
      <c r="M8" s="19">
        <f>'[6]Extracted Data'!N$10</f>
        <v>85108.198999999993</v>
      </c>
      <c r="N8" s="19">
        <f>'[6]Extracted Data'!O$10</f>
        <v>89639.633000000002</v>
      </c>
      <c r="O8" s="19">
        <f>'[6]Extracted Data'!P$10</f>
        <v>93127.422000000006</v>
      </c>
      <c r="P8" s="19">
        <f>'[6]Extracted Data'!Q$10</f>
        <v>93342.453999999998</v>
      </c>
      <c r="Q8" s="19">
        <f>'[6]Extracted Data'!R$10</f>
        <v>99872.368640000001</v>
      </c>
      <c r="R8" s="15">
        <f>'[7]Extracted Data'!$S$10</f>
        <v>99744.818639999983</v>
      </c>
    </row>
    <row r="9" spans="1:19" x14ac:dyDescent="0.25">
      <c r="A9" s="27" t="s">
        <v>21</v>
      </c>
      <c r="B9" s="27" t="s">
        <v>62</v>
      </c>
      <c r="C9" s="19">
        <f>'[6]Extracted Data'!S$10</f>
        <v>118781</v>
      </c>
      <c r="D9" s="19">
        <f>'[6]Extracted Data'!T$10</f>
        <v>128265</v>
      </c>
      <c r="E9" s="19">
        <f>'[6]Extracted Data'!U$10</f>
        <v>144112</v>
      </c>
      <c r="F9" s="19">
        <f>'[6]Extracted Data'!V$10</f>
        <v>142796</v>
      </c>
      <c r="G9" s="19">
        <f>'[6]Extracted Data'!W$10</f>
        <v>151902</v>
      </c>
      <c r="H9" s="19">
        <f>'[6]Extracted Data'!X$10</f>
        <v>151029</v>
      </c>
      <c r="I9" s="19">
        <f>'[6]Extracted Data'!Y$10</f>
        <v>160384</v>
      </c>
      <c r="J9" s="19">
        <f>'[6]Extracted Data'!Z$10</f>
        <v>167377.59669000003</v>
      </c>
      <c r="K9" s="19">
        <f>'[6]Extracted Data'!AA$10</f>
        <v>181019.7816758781</v>
      </c>
      <c r="L9" s="19">
        <f>'[6]Extracted Data'!AB$10</f>
        <v>211260.9936596599</v>
      </c>
      <c r="M9" s="19">
        <f>'[6]Extracted Data'!AC$10</f>
        <v>217661</v>
      </c>
      <c r="N9" s="19">
        <f>'[6]Extracted Data'!AD$10</f>
        <v>226261.149</v>
      </c>
      <c r="O9" s="19">
        <f>'[6]Extracted Data'!AE$10</f>
        <v>187614.23428</v>
      </c>
      <c r="P9" s="19">
        <f>'[6]Extracted Data'!AF$10</f>
        <v>199366.94991747182</v>
      </c>
      <c r="Q9" s="19">
        <f>'[6]Extracted Data'!AG$10</f>
        <v>202101.092</v>
      </c>
      <c r="R9" s="15">
        <f>'[7]Extracted Data'!$AI$10</f>
        <v>210668.87551737879</v>
      </c>
    </row>
    <row r="10" spans="1:19" x14ac:dyDescent="0.25">
      <c r="A10" s="27" t="s">
        <v>35</v>
      </c>
      <c r="B10" s="27" t="s">
        <v>62</v>
      </c>
      <c r="C10" s="19">
        <f>'[6]Extracted Data'!AH$10</f>
        <v>61764.624702139656</v>
      </c>
      <c r="D10" s="19">
        <f>'[6]Extracted Data'!AI$10</f>
        <v>61817.594227019435</v>
      </c>
      <c r="E10" s="19">
        <f>'[6]Extracted Data'!AJ$10</f>
        <v>58269.389500000005</v>
      </c>
      <c r="F10" s="19">
        <f>'[6]Extracted Data'!AK$10</f>
        <v>77590.490999999995</v>
      </c>
      <c r="G10" s="19">
        <f>'[6]Extracted Data'!AL$10</f>
        <v>80063.390000000014</v>
      </c>
      <c r="H10" s="19">
        <f>'[6]Extracted Data'!AM$10</f>
        <v>75097.619000000006</v>
      </c>
      <c r="I10" s="19">
        <f>'[6]Extracted Data'!AN$10</f>
        <v>72741.886999999988</v>
      </c>
      <c r="J10" s="19">
        <f>'[6]Extracted Data'!AO$10</f>
        <v>76129.812000000005</v>
      </c>
      <c r="K10" s="19">
        <f>'[6]Extracted Data'!AP$10</f>
        <v>82734.26797981601</v>
      </c>
      <c r="L10" s="19">
        <f>'[6]Extracted Data'!AQ$10</f>
        <v>84644.97681966683</v>
      </c>
      <c r="M10" s="19">
        <f>'[6]Extracted Data'!AR$10</f>
        <v>89390.247875063069</v>
      </c>
      <c r="N10" s="19">
        <f>'[6]Extracted Data'!AS$10</f>
        <v>87642.229003035784</v>
      </c>
      <c r="O10" s="19">
        <f>'[6]Extracted Data'!AT$10</f>
        <v>81805.580155681397</v>
      </c>
      <c r="P10" s="19">
        <f>'[6]Extracted Data'!AU$10</f>
        <v>86909.794011443286</v>
      </c>
      <c r="Q10" s="19">
        <f>'[6]Extracted Data'!AV$10</f>
        <v>79623.555988176173</v>
      </c>
      <c r="R10" s="15">
        <f>'[7]Extracted Data'!$AY$10</f>
        <v>72153.170949800013</v>
      </c>
    </row>
    <row r="11" spans="1:19" x14ac:dyDescent="0.25">
      <c r="A11" s="27" t="s">
        <v>29</v>
      </c>
      <c r="B11" s="27" t="s">
        <v>62</v>
      </c>
      <c r="C11" s="19">
        <f>'[6]Extracted Data'!AW$10</f>
        <v>35426.048000000003</v>
      </c>
      <c r="D11" s="19">
        <f>'[6]Extracted Data'!AX$10</f>
        <v>37656.624000000003</v>
      </c>
      <c r="E11" s="19">
        <f>'[6]Extracted Data'!AY$10</f>
        <v>46334.126000000004</v>
      </c>
      <c r="F11" s="19">
        <f>'[6]Extracted Data'!AZ$10</f>
        <v>46642.640999999996</v>
      </c>
      <c r="G11" s="19">
        <f>'[6]Extracted Data'!BA$10</f>
        <v>47779.507999999994</v>
      </c>
      <c r="H11" s="19">
        <f>'[6]Extracted Data'!BB$10</f>
        <v>46557.578000000001</v>
      </c>
      <c r="I11" s="19">
        <f>'[6]Extracted Data'!BC$10</f>
        <v>46923.140000000007</v>
      </c>
      <c r="J11" s="19">
        <f>'[6]Extracted Data'!BD$10</f>
        <v>44976.582999999999</v>
      </c>
      <c r="K11" s="19">
        <f>'[6]Extracted Data'!BE$10</f>
        <v>45598</v>
      </c>
      <c r="L11" s="19">
        <f>'[6]Extracted Data'!BF$10</f>
        <v>34705.717769999996</v>
      </c>
      <c r="M11" s="19">
        <f>'[6]Extracted Data'!BG$10</f>
        <v>37603.399744925264</v>
      </c>
      <c r="N11" s="19">
        <f>'[6]Extracted Data'!BH$10</f>
        <v>32048.191384064245</v>
      </c>
      <c r="O11" s="19">
        <f>'[6]Extracted Data'!BI$10</f>
        <v>28974.888076739793</v>
      </c>
      <c r="P11" s="19">
        <f>'[6]Extracted Data'!BJ$10</f>
        <v>31115.319920176305</v>
      </c>
      <c r="Q11" s="19">
        <f>'[6]Extracted Data'!BK$10</f>
        <v>27222.588454563338</v>
      </c>
      <c r="R11" s="15">
        <f>'[7]Extracted Data'!$BO$10</f>
        <v>30726.430302345703</v>
      </c>
    </row>
    <row r="12" spans="1:19" x14ac:dyDescent="0.25">
      <c r="A12" s="27" t="s">
        <v>38</v>
      </c>
      <c r="B12" s="27" t="s">
        <v>62</v>
      </c>
      <c r="C12" s="19">
        <f>'[6]Extracted Data'!BL$10</f>
        <v>120730</v>
      </c>
      <c r="D12" s="19">
        <f>'[6]Extracted Data'!BM$10</f>
        <v>123090</v>
      </c>
      <c r="E12" s="19">
        <f>'[6]Extracted Data'!BN$10</f>
        <v>119710</v>
      </c>
      <c r="F12" s="19">
        <f>'[6]Extracted Data'!BO$10</f>
        <v>124140</v>
      </c>
      <c r="G12" s="19">
        <f>'[6]Extracted Data'!BP$10</f>
        <v>143240</v>
      </c>
      <c r="H12" s="19">
        <f>'[6]Extracted Data'!BQ$10</f>
        <v>137770</v>
      </c>
      <c r="I12" s="19">
        <f>'[6]Extracted Data'!BR$10</f>
        <v>152110</v>
      </c>
      <c r="J12" s="19">
        <f>'[6]Extracted Data'!BS$10</f>
        <v>143050</v>
      </c>
      <c r="K12" s="19">
        <f>'[6]Extracted Data'!BT$10</f>
        <v>175638</v>
      </c>
      <c r="L12" s="19">
        <f>'[6]Extracted Data'!BU$10</f>
        <v>168228.603</v>
      </c>
      <c r="M12" s="19">
        <f>'[6]Extracted Data'!BV$10</f>
        <v>169534.48734000002</v>
      </c>
      <c r="N12" s="19">
        <f>'[6]Extracted Data'!BW$10</f>
        <v>170366.70697000079</v>
      </c>
      <c r="O12" s="19">
        <f>'[6]Extracted Data'!BX$10</f>
        <v>153556.69399000015</v>
      </c>
      <c r="P12" s="19">
        <f>'[6]Extracted Data'!BY$10</f>
        <v>154447.8451599995</v>
      </c>
      <c r="Q12" s="19">
        <f>'[6]Extracted Data'!BZ$10</f>
        <v>161451.859</v>
      </c>
      <c r="R12" s="15">
        <f>'[7]Extracted Data'!$CE$10</f>
        <v>168541.965</v>
      </c>
    </row>
    <row r="14" spans="1:19" x14ac:dyDescent="0.25">
      <c r="A14" s="10" t="str">
        <f>CONCATENATE(B2)</f>
        <v>Real $2021</v>
      </c>
      <c r="B14" s="10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 t="s">
        <v>113</v>
      </c>
    </row>
    <row r="15" spans="1:19" x14ac:dyDescent="0.25">
      <c r="A15" s="27" t="s">
        <v>37</v>
      </c>
      <c r="B15" s="27" t="s">
        <v>130</v>
      </c>
      <c r="C15" s="20">
        <f t="shared" ref="C15:N15" si="0">C8*C$4</f>
        <v>68658.744630071611</v>
      </c>
      <c r="D15" s="20">
        <f t="shared" si="0"/>
        <v>72610.669745958425</v>
      </c>
      <c r="E15" s="20">
        <f t="shared" si="0"/>
        <v>65926.181333333341</v>
      </c>
      <c r="F15" s="20">
        <f t="shared" si="0"/>
        <v>70525.28571428571</v>
      </c>
      <c r="G15" s="20">
        <f t="shared" si="0"/>
        <v>72523.431601272532</v>
      </c>
      <c r="H15" s="20">
        <f t="shared" si="0"/>
        <v>78918.018575851384</v>
      </c>
      <c r="I15" s="20">
        <f t="shared" si="0"/>
        <v>86402.597194388785</v>
      </c>
      <c r="J15" s="20">
        <f t="shared" si="0"/>
        <v>82143.211764705891</v>
      </c>
      <c r="K15" s="20">
        <f t="shared" si="0"/>
        <v>84066.809015267179</v>
      </c>
      <c r="L15" s="20">
        <f t="shared" si="0"/>
        <v>88716.460240300221</v>
      </c>
      <c r="M15" s="20">
        <f>M8*M$4</f>
        <v>93273.561265682627</v>
      </c>
      <c r="N15" s="20">
        <f t="shared" si="0"/>
        <v>96810.803640000013</v>
      </c>
      <c r="O15" s="20">
        <f t="shared" ref="O15" si="1">O8*O$4</f>
        <v>98693.467739518295</v>
      </c>
      <c r="P15" s="20">
        <f>P8*P$4</f>
        <v>97187.410475021912</v>
      </c>
      <c r="Q15" s="20">
        <f>Q8*Q$4</f>
        <v>102107.03437549053</v>
      </c>
      <c r="R15" s="20">
        <f>R8*R$4</f>
        <v>101106.52264873718</v>
      </c>
      <c r="S15" s="11">
        <f>ROUND(AVERAGE(N15:R15),0)</f>
        <v>99181</v>
      </c>
    </row>
    <row r="16" spans="1:19" x14ac:dyDescent="0.25">
      <c r="A16" s="27" t="s">
        <v>21</v>
      </c>
      <c r="B16" s="27" t="s">
        <v>130</v>
      </c>
      <c r="C16" s="20">
        <f t="shared" ref="C16:N16" si="2">C9*C$4</f>
        <v>168391.20286396184</v>
      </c>
      <c r="D16" s="20">
        <f t="shared" si="2"/>
        <v>175957.06697459583</v>
      </c>
      <c r="E16" s="20">
        <f t="shared" si="2"/>
        <v>192149.33333333334</v>
      </c>
      <c r="F16" s="20">
        <f t="shared" si="2"/>
        <v>183594.85714285713</v>
      </c>
      <c r="G16" s="20">
        <f t="shared" si="2"/>
        <v>191367.52492046659</v>
      </c>
      <c r="H16" s="20">
        <f t="shared" si="2"/>
        <v>185162.48916408667</v>
      </c>
      <c r="I16" s="20">
        <f t="shared" si="2"/>
        <v>190918.02805611223</v>
      </c>
      <c r="J16" s="20">
        <f t="shared" si="2"/>
        <v>194945.67143894124</v>
      </c>
      <c r="K16" s="20">
        <f t="shared" si="2"/>
        <v>205201.81357914428</v>
      </c>
      <c r="L16" s="20">
        <f t="shared" si="2"/>
        <v>235439.08111414258</v>
      </c>
      <c r="M16" s="20">
        <f t="shared" ref="M16" si="3">M9*M$4</f>
        <v>238543.60516605162</v>
      </c>
      <c r="N16" s="20">
        <f t="shared" si="2"/>
        <v>244362.04092000003</v>
      </c>
      <c r="O16" s="20">
        <f t="shared" ref="O16:P16" si="4">O9*O$4</f>
        <v>198827.57388460304</v>
      </c>
      <c r="P16" s="20">
        <f t="shared" si="4"/>
        <v>207579.2607379111</v>
      </c>
      <c r="Q16" s="20">
        <f t="shared" ref="Q16:R16" si="5">Q9*Q$4</f>
        <v>206623.14741480208</v>
      </c>
      <c r="R16" s="20">
        <f t="shared" si="5"/>
        <v>213544.90112171162</v>
      </c>
      <c r="S16" s="11">
        <f t="shared" ref="S16:S19" si="6">ROUND(AVERAGE(N16:R16),0)</f>
        <v>214187</v>
      </c>
    </row>
    <row r="17" spans="1:19" x14ac:dyDescent="0.25">
      <c r="A17" s="27" t="s">
        <v>35</v>
      </c>
      <c r="B17" s="27" t="s">
        <v>130</v>
      </c>
      <c r="C17" s="20">
        <f t="shared" ref="C17:N17" si="7">C10*C$3</f>
        <v>87981.263964198923</v>
      </c>
      <c r="D17" s="20">
        <f t="shared" si="7"/>
        <v>84705.077210725591</v>
      </c>
      <c r="E17" s="20">
        <f t="shared" si="7"/>
        <v>78396.41531823331</v>
      </c>
      <c r="F17" s="20">
        <f t="shared" si="7"/>
        <v>99436.35739805823</v>
      </c>
      <c r="G17" s="20">
        <f t="shared" si="7"/>
        <v>101402.24660980812</v>
      </c>
      <c r="H17" s="20">
        <f t="shared" si="7"/>
        <v>92451.78380518136</v>
      </c>
      <c r="I17" s="20">
        <f t="shared" si="7"/>
        <v>86590.54284168336</v>
      </c>
      <c r="J17" s="20">
        <f t="shared" si="7"/>
        <v>88843.041901768171</v>
      </c>
      <c r="K17" s="20">
        <f t="shared" si="7"/>
        <v>94507.990730789825</v>
      </c>
      <c r="L17" s="20">
        <f t="shared" si="7"/>
        <v>94509.616975342273</v>
      </c>
      <c r="M17" s="20">
        <f t="shared" ref="M17" si="8">M10*M$3</f>
        <v>98329.272662569361</v>
      </c>
      <c r="N17" s="20">
        <f t="shared" si="7"/>
        <v>95172.731312254575</v>
      </c>
      <c r="O17" s="20">
        <f t="shared" ref="O17:P17" si="9">O10*O$3</f>
        <v>87239.703074460936</v>
      </c>
      <c r="P17" s="20">
        <f t="shared" si="9"/>
        <v>90968.136815501872</v>
      </c>
      <c r="Q17" s="20">
        <f t="shared" ref="Q17:R17" si="10">Q10*Q$3</f>
        <v>81969.483980895398</v>
      </c>
      <c r="R17" s="20">
        <f t="shared" si="10"/>
        <v>73767.61367328951</v>
      </c>
      <c r="S17" s="11">
        <f t="shared" si="6"/>
        <v>85824</v>
      </c>
    </row>
    <row r="18" spans="1:19" x14ac:dyDescent="0.25">
      <c r="A18" s="27" t="s">
        <v>29</v>
      </c>
      <c r="B18" s="27" t="s">
        <v>130</v>
      </c>
      <c r="C18" s="20">
        <f t="shared" ref="C18:N18" si="11">C11*C$4</f>
        <v>50222.130100238668</v>
      </c>
      <c r="D18" s="20">
        <f t="shared" si="11"/>
        <v>51658.278651270215</v>
      </c>
      <c r="E18" s="20">
        <f t="shared" si="11"/>
        <v>61778.834666666677</v>
      </c>
      <c r="F18" s="20">
        <f t="shared" si="11"/>
        <v>59969.109857142845</v>
      </c>
      <c r="G18" s="20">
        <f t="shared" si="11"/>
        <v>60193.059919406143</v>
      </c>
      <c r="H18" s="20">
        <f t="shared" si="11"/>
        <v>57079.878910216714</v>
      </c>
      <c r="I18" s="20">
        <f t="shared" si="11"/>
        <v>55856.403126252517</v>
      </c>
      <c r="J18" s="20">
        <f t="shared" si="11"/>
        <v>52384.490788235293</v>
      </c>
      <c r="K18" s="20">
        <f t="shared" si="11"/>
        <v>51689.335877862599</v>
      </c>
      <c r="L18" s="20">
        <f t="shared" si="11"/>
        <v>38677.666708030018</v>
      </c>
      <c r="M18" s="20">
        <f t="shared" ref="M18" si="12">M11*M$4</f>
        <v>41211.10599351587</v>
      </c>
      <c r="N18" s="20">
        <f t="shared" si="11"/>
        <v>34612.046694789387</v>
      </c>
      <c r="O18" s="20">
        <f t="shared" ref="O18:P18" si="13">O11*O$4</f>
        <v>30706.66104832014</v>
      </c>
      <c r="P18" s="20">
        <f t="shared" si="13"/>
        <v>32397.020214872442</v>
      </c>
      <c r="Q18" s="20">
        <f t="shared" ref="Q18:R18" si="14">Q11*Q$4</f>
        <v>27831.699728073359</v>
      </c>
      <c r="R18" s="20">
        <f t="shared" si="14"/>
        <v>31145.903753572264</v>
      </c>
      <c r="S18" s="11">
        <f t="shared" si="6"/>
        <v>31339</v>
      </c>
    </row>
    <row r="19" spans="1:19" x14ac:dyDescent="0.25">
      <c r="A19" s="27" t="s">
        <v>38</v>
      </c>
      <c r="B19" s="27" t="s">
        <v>130</v>
      </c>
      <c r="C19" s="20">
        <f t="shared" ref="C19:N19" si="15">C12*C$4</f>
        <v>171154.22434367542</v>
      </c>
      <c r="D19" s="20">
        <f t="shared" si="15"/>
        <v>168857.8752886836</v>
      </c>
      <c r="E19" s="20">
        <f t="shared" si="15"/>
        <v>159613.33333333334</v>
      </c>
      <c r="F19" s="20">
        <f t="shared" si="15"/>
        <v>159608.57142857142</v>
      </c>
      <c r="G19" s="20">
        <f t="shared" si="15"/>
        <v>180455.05832449629</v>
      </c>
      <c r="H19" s="20">
        <f t="shared" si="15"/>
        <v>168906.87306501548</v>
      </c>
      <c r="I19" s="20">
        <f t="shared" si="15"/>
        <v>181068.81763527056</v>
      </c>
      <c r="J19" s="20">
        <f t="shared" si="15"/>
        <v>166611.17647058825</v>
      </c>
      <c r="K19" s="20">
        <f t="shared" si="15"/>
        <v>199101.09160305344</v>
      </c>
      <c r="L19" s="20">
        <f t="shared" si="15"/>
        <v>187481.78270544091</v>
      </c>
      <c r="M19" s="20">
        <f t="shared" ref="M19" si="16">M12*M$4</f>
        <v>185799.78870841328</v>
      </c>
      <c r="N19" s="20">
        <f t="shared" si="15"/>
        <v>183996.04352760085</v>
      </c>
      <c r="O19" s="20">
        <f t="shared" ref="O19:P19" si="17">O12*O$4</f>
        <v>162734.48033909025</v>
      </c>
      <c r="P19" s="20">
        <f t="shared" si="17"/>
        <v>160809.85105177865</v>
      </c>
      <c r="Q19" s="20">
        <f t="shared" ref="Q19:R19" si="18">Q12*Q$4</f>
        <v>165064.37908089501</v>
      </c>
      <c r="R19" s="20">
        <f t="shared" si="18"/>
        <v>170842.87919795222</v>
      </c>
      <c r="S19" s="11">
        <f t="shared" si="6"/>
        <v>168690</v>
      </c>
    </row>
    <row r="21" spans="1:19" x14ac:dyDescent="0.25">
      <c r="C21" s="26"/>
      <c r="D21" s="26"/>
      <c r="E21" s="26"/>
      <c r="F21" s="26"/>
      <c r="G21" s="26"/>
      <c r="H21" s="26"/>
      <c r="I21" s="26"/>
      <c r="J21" s="26"/>
      <c r="K21" s="2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Opex!C8:P8</xm:f>
              <xm:sqref>S8</xm:sqref>
            </x14:sparkline>
            <x14:sparkline>
              <xm:f>Opex!C9:P9</xm:f>
              <xm:sqref>S9</xm:sqref>
            </x14:sparkline>
            <x14:sparkline>
              <xm:f>Opex!C10:P10</xm:f>
              <xm:sqref>S10</xm:sqref>
            </x14:sparkline>
            <x14:sparkline>
              <xm:f>Opex!C11:P11</xm:f>
              <xm:sqref>S11</xm:sqref>
            </x14:sparkline>
            <x14:sparkline>
              <xm:f>Opex!C12:P12</xm:f>
              <xm:sqref>S12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S26"/>
  <sheetViews>
    <sheetView zoomScaleNormal="100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S15" sqref="S15"/>
    </sheetView>
  </sheetViews>
  <sheetFormatPr defaultColWidth="9.140625" defaultRowHeight="15" x14ac:dyDescent="0.25"/>
  <cols>
    <col min="1" max="1" width="45.85546875" customWidth="1"/>
    <col min="2" max="2" width="11.85546875" customWidth="1"/>
    <col min="3" max="12" width="12" customWidth="1"/>
    <col min="13" max="15" width="14.140625" customWidth="1"/>
    <col min="16" max="16" width="17.85546875" bestFit="1" customWidth="1"/>
    <col min="17" max="17" width="17" bestFit="1" customWidth="1"/>
    <col min="18" max="18" width="17" customWidth="1"/>
    <col min="19" max="19" width="17.140625" bestFit="1" customWidth="1"/>
  </cols>
  <sheetData>
    <row r="1" spans="1:19" x14ac:dyDescent="0.25">
      <c r="A1" s="10" t="s">
        <v>27</v>
      </c>
    </row>
    <row r="2" spans="1:19" x14ac:dyDescent="0.25">
      <c r="A2" s="10" t="s">
        <v>42</v>
      </c>
      <c r="B2" s="10" t="str">
        <f>"Real $"&amp;Real_year&amp;""</f>
        <v>Real $2021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</row>
    <row r="3" spans="1:19" x14ac:dyDescent="0.25">
      <c r="A3" t="s">
        <v>57</v>
      </c>
      <c r="C3" s="17">
        <f>CPI!F13</f>
        <v>1.4244604316546761</v>
      </c>
      <c r="D3" s="17">
        <f>CPI!G13</f>
        <v>1.3702422145328719</v>
      </c>
      <c r="E3" s="17">
        <f>CPI!H13</f>
        <v>1.3454133635334089</v>
      </c>
      <c r="F3" s="17">
        <f>CPI!I13</f>
        <v>1.2815533980582523</v>
      </c>
      <c r="G3" s="17">
        <f>CPI!J13</f>
        <v>1.2665245202558635</v>
      </c>
      <c r="H3" s="17">
        <f>CPI!K13</f>
        <v>1.2310880829015545</v>
      </c>
      <c r="I3" s="17">
        <f>CPI!L13</f>
        <v>1.1903807615230462</v>
      </c>
      <c r="J3" s="17">
        <f>CPI!M13</f>
        <v>1.1669941060903732</v>
      </c>
      <c r="K3" s="17">
        <f>CPI!N13</f>
        <v>1.1423076923076922</v>
      </c>
      <c r="L3" s="17">
        <f>CPI!O13</f>
        <v>1.1165413533834585</v>
      </c>
      <c r="M3" s="17">
        <f>CPI!P13</f>
        <v>1.0999999999999999</v>
      </c>
      <c r="N3" s="17">
        <f>CPI!Q13</f>
        <v>1.0859232175502742</v>
      </c>
      <c r="O3" s="17">
        <f>CPI!R13</f>
        <v>1.0664272890484738</v>
      </c>
      <c r="P3" s="17">
        <f>CPI!S13</f>
        <v>1.0466960352422907</v>
      </c>
      <c r="Q3" s="17">
        <f>CPI!T13</f>
        <v>1.0294627383015598</v>
      </c>
      <c r="R3" s="17">
        <f>CPI!U13</f>
        <v>1.0223752151462995</v>
      </c>
    </row>
    <row r="4" spans="1:19" x14ac:dyDescent="0.25">
      <c r="A4" t="s">
        <v>56</v>
      </c>
      <c r="C4" s="17">
        <f>CPI!F12</f>
        <v>1.4176610978520288</v>
      </c>
      <c r="D4" s="17">
        <f>CPI!G12</f>
        <v>1.371824480369515</v>
      </c>
      <c r="E4" s="17">
        <f>CPI!H12</f>
        <v>1.3333333333333335</v>
      </c>
      <c r="F4" s="17">
        <f>CPI!I12</f>
        <v>1.2857142857142856</v>
      </c>
      <c r="G4" s="17">
        <f>CPI!J12</f>
        <v>1.2598091198303287</v>
      </c>
      <c r="H4" s="17">
        <f>CPI!K12</f>
        <v>1.2260061919504643</v>
      </c>
      <c r="I4" s="17">
        <f>CPI!L12</f>
        <v>1.1903807615230462</v>
      </c>
      <c r="J4" s="17">
        <f>CPI!M12</f>
        <v>1.1647058823529413</v>
      </c>
      <c r="K4" s="17">
        <f>CPI!N12</f>
        <v>1.133587786259542</v>
      </c>
      <c r="L4" s="17">
        <f>CPI!O12</f>
        <v>1.1144465290806755</v>
      </c>
      <c r="M4" s="17">
        <f>CPI!P12</f>
        <v>1.0959409594095939</v>
      </c>
      <c r="N4" s="17">
        <f>CPI!Q12</f>
        <v>1.08</v>
      </c>
      <c r="O4" s="17">
        <f>CPI!R12</f>
        <v>1.0597680642283676</v>
      </c>
      <c r="P4" s="17">
        <f>CPI!S12</f>
        <v>1.0411919368974585</v>
      </c>
      <c r="Q4" s="17">
        <f>CPI!T12</f>
        <v>1.0223752151462995</v>
      </c>
      <c r="R4" s="17">
        <f>CPI!U12</f>
        <v>1.0136518771331058</v>
      </c>
    </row>
    <row r="6" spans="1:19" x14ac:dyDescent="0.25">
      <c r="A6" s="10" t="s">
        <v>30</v>
      </c>
    </row>
    <row r="7" spans="1:19" x14ac:dyDescent="0.25">
      <c r="A7" s="10" t="s">
        <v>61</v>
      </c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</row>
    <row r="8" spans="1:19" x14ac:dyDescent="0.25">
      <c r="A8" s="27" t="s">
        <v>37</v>
      </c>
      <c r="B8" s="27" t="s">
        <v>18</v>
      </c>
      <c r="C8" s="20">
        <v>1008498.0744489165</v>
      </c>
      <c r="D8" s="20">
        <v>1072410.1977797956</v>
      </c>
      <c r="E8" s="20">
        <v>1180457.0630350162</v>
      </c>
      <c r="F8" s="20">
        <v>1278429.4831257048</v>
      </c>
      <c r="G8" s="20">
        <v>1294892.6529556361</v>
      </c>
      <c r="H8" s="20">
        <v>1331479.0051210094</v>
      </c>
      <c r="I8" s="20">
        <v>1504540.6896702116</v>
      </c>
      <c r="J8" s="20">
        <v>1712893.4299247104</v>
      </c>
      <c r="K8" s="20">
        <v>1890087.8232150995</v>
      </c>
      <c r="L8" s="20">
        <v>2013147.9935692761</v>
      </c>
      <c r="M8" s="20">
        <v>2066967.4263843338</v>
      </c>
      <c r="N8" s="20">
        <v>2157003.2621017266</v>
      </c>
      <c r="O8" s="20">
        <f>SUM([8]!dms_030303_01_Values)/1000</f>
        <v>2283322.8842957737</v>
      </c>
      <c r="P8" s="20">
        <f>SUM([9]!dms_030303_01_Values)/1000</f>
        <v>2410576.8957586112</v>
      </c>
      <c r="Q8" s="51">
        <f>SUM([10]!dms_030303_01_Values)/1000</f>
        <v>2447259.4160000002</v>
      </c>
      <c r="R8" s="51">
        <f>SUM([11]!dms_030303_01_Values)/1000</f>
        <v>2408066.1732518435</v>
      </c>
    </row>
    <row r="9" spans="1:19" x14ac:dyDescent="0.25">
      <c r="A9" s="27" t="s">
        <v>21</v>
      </c>
      <c r="B9" s="27" t="s">
        <v>18</v>
      </c>
      <c r="C9" s="20">
        <v>2906163.8020416386</v>
      </c>
      <c r="D9" s="20">
        <v>3110944.766611123</v>
      </c>
      <c r="E9" s="20">
        <v>3568307.0443376545</v>
      </c>
      <c r="F9" s="20">
        <v>4186908.5814354168</v>
      </c>
      <c r="G9" s="20">
        <v>4681557.1948703378</v>
      </c>
      <c r="H9" s="20">
        <v>5093089.0531193521</v>
      </c>
      <c r="I9" s="20">
        <v>5477581.7371609155</v>
      </c>
      <c r="J9" s="20">
        <v>5819506.0639425004</v>
      </c>
      <c r="K9" s="20">
        <v>6301890.3431227049</v>
      </c>
      <c r="L9" s="20">
        <v>6604013.1766181048</v>
      </c>
      <c r="M9" s="20">
        <v>6605068.5105675301</v>
      </c>
      <c r="N9" s="20">
        <v>6644060.9068036843</v>
      </c>
      <c r="O9" s="20">
        <f>SUM([12]!dms_030303_01_Values)/1000</f>
        <v>6541355.9075110834</v>
      </c>
      <c r="P9" s="20">
        <f>SUM([13]!dms_030303_01_Values)/1000</f>
        <v>6556115.4742665607</v>
      </c>
      <c r="Q9" s="51">
        <f>SUM([14]!dms_030303_01_Values)/1000</f>
        <v>6525242.2384730373</v>
      </c>
      <c r="R9" s="51">
        <f>SUM([15]!dms_030303_01_Values)/1000</f>
        <v>6404622.1417386746</v>
      </c>
    </row>
    <row r="10" spans="1:19" x14ac:dyDescent="0.25">
      <c r="A10" s="27" t="s">
        <v>35</v>
      </c>
      <c r="B10" s="27" t="s">
        <v>18</v>
      </c>
      <c r="C10" s="20">
        <v>1889957.733</v>
      </c>
      <c r="D10" s="20">
        <v>1929607.6654999999</v>
      </c>
      <c r="E10" s="20">
        <v>2007291.2560000001</v>
      </c>
      <c r="F10" s="20">
        <v>2181178.4835000001</v>
      </c>
      <c r="G10" s="20">
        <v>2198049.1735</v>
      </c>
      <c r="H10" s="20">
        <v>2232904.4265000001</v>
      </c>
      <c r="I10" s="20">
        <v>2292941.9665000001</v>
      </c>
      <c r="J10" s="20">
        <v>2370849.6140000001</v>
      </c>
      <c r="K10" s="20">
        <v>2476349.311010506</v>
      </c>
      <c r="L10" s="20">
        <v>2790207.8150309501</v>
      </c>
      <c r="M10" s="20">
        <v>2857110.3028806783</v>
      </c>
      <c r="N10" s="20">
        <v>2903023.4716057549</v>
      </c>
      <c r="O10" s="20">
        <f>SUM([16]!dms_030303_01_Values)/1000</f>
        <v>2948642.8739125249</v>
      </c>
      <c r="P10" s="20">
        <f>SUM([17]!dms_030303_01_Values)/1000</f>
        <v>2944146.1043232437</v>
      </c>
      <c r="Q10" s="51">
        <f>SUM([18]!dms_030303_01_Values)/1000</f>
        <v>2991255.196152173</v>
      </c>
      <c r="R10" s="51">
        <f>SUM([19]!dms_030303_01_Values)/1000</f>
        <v>3029409.7461631317</v>
      </c>
    </row>
    <row r="11" spans="1:19" x14ac:dyDescent="0.25">
      <c r="A11" s="27" t="s">
        <v>29</v>
      </c>
      <c r="B11" s="27" t="s">
        <v>18</v>
      </c>
      <c r="C11" s="20">
        <v>666396.5</v>
      </c>
      <c r="D11" s="20">
        <v>728278.5</v>
      </c>
      <c r="E11" s="20">
        <v>787887</v>
      </c>
      <c r="F11" s="20">
        <v>845035</v>
      </c>
      <c r="G11" s="20">
        <v>895293</v>
      </c>
      <c r="H11" s="20">
        <v>1006943.5</v>
      </c>
      <c r="I11" s="20">
        <v>1139787</v>
      </c>
      <c r="J11" s="20">
        <v>1204832</v>
      </c>
      <c r="K11" s="20">
        <v>1310583.1592409625</v>
      </c>
      <c r="L11" s="20">
        <v>1386261.7283497157</v>
      </c>
      <c r="M11" s="20">
        <v>1382762.1991195932</v>
      </c>
      <c r="N11" s="20">
        <v>1371712.8989775274</v>
      </c>
      <c r="O11" s="20">
        <f>SUM([20]!dms_030303_01_Values)/1000</f>
        <v>1371065.4063185384</v>
      </c>
      <c r="P11" s="20">
        <f>SUM([21]!dms_030303_01_Values)/1000</f>
        <v>1390069.5081462832</v>
      </c>
      <c r="Q11" s="64">
        <f>AVERAGE('[22]3.3 Assets (RAB)'!$C$12,'[22]3.3 Assets (RAB)'!$C$17)/1000</f>
        <v>1389808.4450801625</v>
      </c>
      <c r="R11" s="64">
        <f>SUM([23]!dms_030303_01_Values)/1000</f>
        <v>1400273.2265098309</v>
      </c>
    </row>
    <row r="12" spans="1:19" x14ac:dyDescent="0.25">
      <c r="A12" s="27" t="s">
        <v>38</v>
      </c>
      <c r="B12" s="27" t="s">
        <v>18</v>
      </c>
      <c r="C12" s="20">
        <v>3166374.415412093</v>
      </c>
      <c r="D12" s="20">
        <v>3313367.6045614304</v>
      </c>
      <c r="E12" s="20">
        <v>3566600.1045614304</v>
      </c>
      <c r="F12" s="20">
        <v>3976405.905427468</v>
      </c>
      <c r="G12" s="20">
        <v>4305989.6381644513</v>
      </c>
      <c r="H12" s="20">
        <v>4559614.3380024452</v>
      </c>
      <c r="I12" s="20">
        <v>4853368.9664179208</v>
      </c>
      <c r="J12" s="20">
        <v>5135315.116477563</v>
      </c>
      <c r="K12" s="20">
        <v>5576508.2256924072</v>
      </c>
      <c r="L12" s="20">
        <v>5908508.5172999017</v>
      </c>
      <c r="M12" s="20">
        <v>6033054.789736486</v>
      </c>
      <c r="N12" s="20">
        <v>6056226.9784158589</v>
      </c>
      <c r="O12" s="20">
        <f>SUM([24]!dms_030303_01_Values)/1000</f>
        <v>6041537.9813804002</v>
      </c>
      <c r="P12" s="20">
        <f>SUM([25]!dms_030303_01_Values)/1000</f>
        <v>6258956.0859821215</v>
      </c>
      <c r="Q12" s="51">
        <f>SUM([26]!dms_030303_01_Values)/1000</f>
        <v>6345244.6040000003</v>
      </c>
      <c r="R12" s="51">
        <f>SUM([27]!dms_030303_01_Values)/1000</f>
        <v>6357791.2060000002</v>
      </c>
    </row>
    <row r="13" spans="1:19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8"/>
    </row>
    <row r="14" spans="1:19" x14ac:dyDescent="0.25">
      <c r="A14" s="10" t="str">
        <f>CONCATENATE(B2)</f>
        <v>Real $2021</v>
      </c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 t="s">
        <v>113</v>
      </c>
    </row>
    <row r="15" spans="1:19" x14ac:dyDescent="0.25">
      <c r="A15" s="27" t="s">
        <v>37</v>
      </c>
      <c r="B15" s="27" t="s">
        <v>130</v>
      </c>
      <c r="C15" s="20">
        <f>C8*C$4</f>
        <v>1429708.4874049081</v>
      </c>
      <c r="D15" s="20">
        <f t="shared" ref="D15:L15" si="0">D8*D$4</f>
        <v>1471158.562312237</v>
      </c>
      <c r="E15" s="20">
        <f t="shared" si="0"/>
        <v>1573942.7507133551</v>
      </c>
      <c r="F15" s="20">
        <f t="shared" si="0"/>
        <v>1643695.0497330488</v>
      </c>
      <c r="G15" s="20">
        <f t="shared" si="0"/>
        <v>1631317.5733947994</v>
      </c>
      <c r="H15" s="20">
        <f t="shared" si="0"/>
        <v>1632401.5047304016</v>
      </c>
      <c r="I15" s="20">
        <f t="shared" si="0"/>
        <v>1790976.2919120356</v>
      </c>
      <c r="J15" s="20">
        <f t="shared" si="0"/>
        <v>1995017.0536770157</v>
      </c>
      <c r="K15" s="20">
        <f t="shared" si="0"/>
        <v>2142580.4713545213</v>
      </c>
      <c r="L15" s="20">
        <f t="shared" si="0"/>
        <v>2243545.7939590057</v>
      </c>
      <c r="M15" s="20">
        <f t="shared" ref="M15:O16" si="1">M8*M$4</f>
        <v>2265274.2643400258</v>
      </c>
      <c r="N15" s="20">
        <f t="shared" si="1"/>
        <v>2329563.5230698651</v>
      </c>
      <c r="O15" s="20">
        <f t="shared" si="1"/>
        <v>2419792.673098465</v>
      </c>
      <c r="P15" s="20">
        <f t="shared" ref="P15:Q15" si="2">P8*P$4</f>
        <v>2509873.2271351712</v>
      </c>
      <c r="Q15" s="20">
        <f t="shared" si="2"/>
        <v>2502017.3719518073</v>
      </c>
      <c r="R15" s="20">
        <f>R8*R$4</f>
        <v>2440940.7967774658</v>
      </c>
      <c r="S15" s="11">
        <f>ROUND(AVERAGE(N15:R15),0)</f>
        <v>2440438</v>
      </c>
    </row>
    <row r="16" spans="1:19" x14ac:dyDescent="0.25">
      <c r="A16" s="27" t="s">
        <v>21</v>
      </c>
      <c r="B16" s="27" t="s">
        <v>130</v>
      </c>
      <c r="C16" s="20">
        <f>C9*C$4</f>
        <v>4119955.3661401756</v>
      </c>
      <c r="D16" s="20">
        <f t="shared" ref="D16:L16" si="3">D9*D$4</f>
        <v>4267670.1879145661</v>
      </c>
      <c r="E16" s="20">
        <f t="shared" si="3"/>
        <v>4757742.7257835399</v>
      </c>
      <c r="F16" s="20">
        <f t="shared" si="3"/>
        <v>5383168.1761312494</v>
      </c>
      <c r="G16" s="20">
        <f t="shared" si="3"/>
        <v>5897868.4491049433</v>
      </c>
      <c r="H16" s="20">
        <f t="shared" si="3"/>
        <v>6244158.7152794534</v>
      </c>
      <c r="I16" s="20">
        <f t="shared" si="3"/>
        <v>6520407.9195863409</v>
      </c>
      <c r="J16" s="20">
        <f t="shared" si="3"/>
        <v>6778012.9450624418</v>
      </c>
      <c r="K16" s="20">
        <f t="shared" si="3"/>
        <v>7143745.9233108526</v>
      </c>
      <c r="L16" s="20">
        <f t="shared" si="3"/>
        <v>7359819.5626850929</v>
      </c>
      <c r="M16" s="20">
        <f t="shared" si="1"/>
        <v>7238765.1204374768</v>
      </c>
      <c r="N16" s="20">
        <f t="shared" si="1"/>
        <v>7175585.7793479795</v>
      </c>
      <c r="O16" s="20">
        <f t="shared" si="1"/>
        <v>6932320.0875318171</v>
      </c>
      <c r="P16" s="20">
        <f t="shared" ref="P16:Q16" si="4">P9*P$4</f>
        <v>6826174.5691750003</v>
      </c>
      <c r="Q16" s="20">
        <f t="shared" si="4"/>
        <v>6671245.9374405919</v>
      </c>
      <c r="R16" s="20">
        <f t="shared" ref="R16" si="5">R9*R$4</f>
        <v>6492057.2563016601</v>
      </c>
      <c r="S16" s="11">
        <f t="shared" ref="S16:S19" si="6">ROUND(AVERAGE(N16:R16),0)</f>
        <v>6819477</v>
      </c>
    </row>
    <row r="17" spans="1:19" x14ac:dyDescent="0.25">
      <c r="A17" s="27" t="s">
        <v>35</v>
      </c>
      <c r="B17" s="27" t="s">
        <v>130</v>
      </c>
      <c r="C17" s="20">
        <f>C10*C$3</f>
        <v>2692170.0081582731</v>
      </c>
      <c r="D17" s="20">
        <f t="shared" ref="D17:L17" si="7">D10*D$3</f>
        <v>2644029.8807543251</v>
      </c>
      <c r="E17" s="20">
        <f t="shared" si="7"/>
        <v>2700636.4803261613</v>
      </c>
      <c r="F17" s="20">
        <f t="shared" si="7"/>
        <v>2795296.6973009706</v>
      </c>
      <c r="G17" s="20">
        <f t="shared" si="7"/>
        <v>2783883.174965885</v>
      </c>
      <c r="H17" s="20">
        <f t="shared" si="7"/>
        <v>2748902.0297222799</v>
      </c>
      <c r="I17" s="20">
        <f t="shared" si="7"/>
        <v>2729474.0042104213</v>
      </c>
      <c r="J17" s="20">
        <f t="shared" si="7"/>
        <v>2766767.5259646364</v>
      </c>
      <c r="K17" s="20">
        <f t="shared" si="7"/>
        <v>2828752.8668081546</v>
      </c>
      <c r="L17" s="20">
        <f t="shared" si="7"/>
        <v>3115382.4100157595</v>
      </c>
      <c r="M17" s="20">
        <f t="shared" ref="M17:Q17" si="8">M10*M$3</f>
        <v>3142821.333168746</v>
      </c>
      <c r="N17" s="20">
        <f t="shared" si="8"/>
        <v>3152460.5889100884</v>
      </c>
      <c r="O17" s="20">
        <f t="shared" si="8"/>
        <v>3144513.2263986347</v>
      </c>
      <c r="P17" s="20">
        <f t="shared" si="8"/>
        <v>3081626.054569175</v>
      </c>
      <c r="Q17" s="20">
        <f t="shared" si="8"/>
        <v>3079385.7651895853</v>
      </c>
      <c r="R17" s="20">
        <f>R10*R$3</f>
        <v>3097193.4409998283</v>
      </c>
      <c r="S17" s="11">
        <f t="shared" si="6"/>
        <v>3111036</v>
      </c>
    </row>
    <row r="18" spans="1:19" x14ac:dyDescent="0.25">
      <c r="A18" s="27" t="s">
        <v>29</v>
      </c>
      <c r="B18" s="27" t="s">
        <v>130</v>
      </c>
      <c r="C18" s="20">
        <f>C11*C$4</f>
        <v>944724.39379474951</v>
      </c>
      <c r="D18" s="20">
        <f t="shared" ref="D18:L18" si="9">D11*D$4</f>
        <v>999070.27482678986</v>
      </c>
      <c r="E18" s="20">
        <f t="shared" si="9"/>
        <v>1050516.0000000002</v>
      </c>
      <c r="F18" s="20">
        <f t="shared" si="9"/>
        <v>1086473.5714285714</v>
      </c>
      <c r="G18" s="20">
        <f t="shared" si="9"/>
        <v>1127898.2863202544</v>
      </c>
      <c r="H18" s="20">
        <f t="shared" si="9"/>
        <v>1234518.9659442725</v>
      </c>
      <c r="I18" s="20">
        <f t="shared" si="9"/>
        <v>1356780.5170340682</v>
      </c>
      <c r="J18" s="20">
        <f t="shared" si="9"/>
        <v>1403274.9176470588</v>
      </c>
      <c r="K18" s="20">
        <f t="shared" si="9"/>
        <v>1485661.0621929995</v>
      </c>
      <c r="L18" s="20">
        <f t="shared" si="9"/>
        <v>1544914.571556719</v>
      </c>
      <c r="M18" s="20">
        <f t="shared" ref="M18:O19" si="10">M11*M$4</f>
        <v>1515425.7311384471</v>
      </c>
      <c r="N18" s="20">
        <f t="shared" si="10"/>
        <v>1481449.9308957297</v>
      </c>
      <c r="O18" s="20">
        <f t="shared" si="10"/>
        <v>1453011.3315846776</v>
      </c>
      <c r="P18" s="20">
        <f t="shared" ref="P18" si="11">P11*P$4</f>
        <v>1447329.1636089261</v>
      </c>
      <c r="Q18" s="20">
        <f>Q11*Q$4</f>
        <v>1420905.7080509751</v>
      </c>
      <c r="R18" s="20">
        <f t="shared" ref="R18" si="12">R11*R$4</f>
        <v>1419389.5845509206</v>
      </c>
      <c r="S18" s="11">
        <f t="shared" si="6"/>
        <v>1444417</v>
      </c>
    </row>
    <row r="19" spans="1:19" x14ac:dyDescent="0.25">
      <c r="A19" s="27" t="s">
        <v>38</v>
      </c>
      <c r="B19" s="27" t="s">
        <v>130</v>
      </c>
      <c r="C19" s="20">
        <f>C12*C$4</f>
        <v>4488845.8299636832</v>
      </c>
      <c r="D19" s="20">
        <f t="shared" ref="D19:L19" si="13">D12*D$4</f>
        <v>4545358.7924006693</v>
      </c>
      <c r="E19" s="20">
        <f t="shared" si="13"/>
        <v>4755466.8060819078</v>
      </c>
      <c r="F19" s="20">
        <f t="shared" si="13"/>
        <v>5112521.8784067445</v>
      </c>
      <c r="G19" s="20">
        <f t="shared" si="13"/>
        <v>5424725.0160544729</v>
      </c>
      <c r="H19" s="20">
        <f t="shared" si="13"/>
        <v>5590115.4112971155</v>
      </c>
      <c r="I19" s="20">
        <f t="shared" si="13"/>
        <v>5777357.0461968845</v>
      </c>
      <c r="J19" s="20">
        <f t="shared" si="13"/>
        <v>5981131.7238973975</v>
      </c>
      <c r="K19" s="20">
        <f t="shared" si="13"/>
        <v>6321461.6146207824</v>
      </c>
      <c r="L19" s="20">
        <f t="shared" si="13"/>
        <v>6584716.8091484839</v>
      </c>
      <c r="M19" s="20">
        <f t="shared" si="10"/>
        <v>6611871.8544344502</v>
      </c>
      <c r="N19" s="20">
        <f t="shared" si="10"/>
        <v>6540725.1366891284</v>
      </c>
      <c r="O19" s="20">
        <f t="shared" si="10"/>
        <v>6402629.0114896661</v>
      </c>
      <c r="P19" s="20">
        <f t="shared" ref="P19:Q19" si="14">P12*P$4</f>
        <v>6516774.6101198606</v>
      </c>
      <c r="Q19" s="20">
        <f t="shared" si="14"/>
        <v>6487220.8171703964</v>
      </c>
      <c r="R19" s="20">
        <f t="shared" ref="R19" si="15">R12*R$4</f>
        <v>6444586.9903822523</v>
      </c>
      <c r="S19" s="11">
        <f t="shared" si="6"/>
        <v>6478387</v>
      </c>
    </row>
    <row r="21" spans="1:19" x14ac:dyDescent="0.25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9" x14ac:dyDescent="0.25">
      <c r="P22" s="50"/>
    </row>
    <row r="25" spans="1:19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9" x14ac:dyDescent="0.2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RAB!C8:P8</xm:f>
              <xm:sqref>S8</xm:sqref>
            </x14:sparkline>
            <x14:sparkline>
              <xm:f>RAB!C9:P9</xm:f>
              <xm:sqref>S9</xm:sqref>
            </x14:sparkline>
            <x14:sparkline>
              <xm:f>RAB!C10:P10</xm:f>
              <xm:sqref>S10</xm:sqref>
            </x14:sparkline>
            <x14:sparkline>
              <xm:f>RAB!C11:P11</xm:f>
              <xm:sqref>S11</xm:sqref>
            </x14:sparkline>
            <x14:sparkline>
              <xm:f>RAB!C12:P12</xm:f>
              <xm:sqref>S12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3"/>
  <sheetViews>
    <sheetView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S15" sqref="S15"/>
    </sheetView>
  </sheetViews>
  <sheetFormatPr defaultRowHeight="15" x14ac:dyDescent="0.25"/>
  <cols>
    <col min="1" max="1" width="45.140625" customWidth="1"/>
    <col min="2" max="2" width="11.140625" style="12" customWidth="1"/>
    <col min="3" max="9" width="12.140625" style="12" customWidth="1"/>
    <col min="10" max="15" width="12.140625" customWidth="1"/>
    <col min="16" max="16" width="11.85546875" bestFit="1" customWidth="1"/>
  </cols>
  <sheetData>
    <row r="1" spans="1:19" x14ac:dyDescent="0.25">
      <c r="A1" s="10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pans="1:19" x14ac:dyDescent="0.25">
      <c r="B2" s="10" t="str">
        <f>"Real $"&amp;Real_year&amp;""</f>
        <v>Real $2021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</row>
    <row r="3" spans="1:19" x14ac:dyDescent="0.25">
      <c r="A3" t="s">
        <v>57</v>
      </c>
      <c r="B3"/>
      <c r="C3" s="17">
        <f>CPI!F13</f>
        <v>1.4244604316546761</v>
      </c>
      <c r="D3" s="17">
        <f>CPI!G13</f>
        <v>1.3702422145328719</v>
      </c>
      <c r="E3" s="17">
        <f>CPI!H13</f>
        <v>1.3454133635334089</v>
      </c>
      <c r="F3" s="17">
        <f>CPI!I13</f>
        <v>1.2815533980582523</v>
      </c>
      <c r="G3" s="17">
        <f>CPI!J13</f>
        <v>1.2665245202558635</v>
      </c>
      <c r="H3" s="17">
        <f>CPI!K13</f>
        <v>1.2310880829015545</v>
      </c>
      <c r="I3" s="17">
        <f>CPI!L13</f>
        <v>1.1903807615230462</v>
      </c>
      <c r="J3" s="17">
        <f>CPI!M13</f>
        <v>1.1669941060903732</v>
      </c>
      <c r="K3" s="17">
        <f>CPI!N13</f>
        <v>1.1423076923076922</v>
      </c>
      <c r="L3" s="17">
        <f>CPI!O13</f>
        <v>1.1165413533834585</v>
      </c>
      <c r="M3" s="17">
        <f>CPI!P13</f>
        <v>1.0999999999999999</v>
      </c>
      <c r="N3" s="17">
        <f>CPI!Q13</f>
        <v>1.0859232175502742</v>
      </c>
      <c r="O3" s="17">
        <f>CPI!R13</f>
        <v>1.0664272890484738</v>
      </c>
      <c r="P3" s="17">
        <f>CPI!S13</f>
        <v>1.0466960352422907</v>
      </c>
      <c r="Q3" s="17">
        <f>CPI!T13</f>
        <v>1.0294627383015598</v>
      </c>
      <c r="R3" s="17">
        <f>CPI!U13</f>
        <v>1.0223752151462995</v>
      </c>
    </row>
    <row r="4" spans="1:19" x14ac:dyDescent="0.25">
      <c r="A4" t="s">
        <v>56</v>
      </c>
      <c r="B4"/>
      <c r="C4" s="17">
        <f>CPI!F12</f>
        <v>1.4176610978520288</v>
      </c>
      <c r="D4" s="17">
        <f>CPI!G12</f>
        <v>1.371824480369515</v>
      </c>
      <c r="E4" s="17">
        <f>CPI!H12</f>
        <v>1.3333333333333335</v>
      </c>
      <c r="F4" s="17">
        <f>CPI!I12</f>
        <v>1.2857142857142856</v>
      </c>
      <c r="G4" s="17">
        <f>CPI!J12</f>
        <v>1.2598091198303287</v>
      </c>
      <c r="H4" s="17">
        <f>CPI!K12</f>
        <v>1.2260061919504643</v>
      </c>
      <c r="I4" s="17">
        <f>CPI!L12</f>
        <v>1.1903807615230462</v>
      </c>
      <c r="J4" s="17">
        <f>CPI!M12</f>
        <v>1.1647058823529413</v>
      </c>
      <c r="K4" s="17">
        <f>CPI!N12</f>
        <v>1.133587786259542</v>
      </c>
      <c r="L4" s="17">
        <f>CPI!O12</f>
        <v>1.1144465290806755</v>
      </c>
      <c r="M4" s="17">
        <f>CPI!P12</f>
        <v>1.0959409594095939</v>
      </c>
      <c r="N4" s="17">
        <f>CPI!Q12</f>
        <v>1.08</v>
      </c>
      <c r="O4" s="17">
        <f>CPI!R12</f>
        <v>1.0597680642283676</v>
      </c>
      <c r="P4" s="17">
        <f>CPI!S12</f>
        <v>1.0411919368974585</v>
      </c>
      <c r="Q4" s="17">
        <f>CPI!T12</f>
        <v>1.0223752151462995</v>
      </c>
      <c r="R4" s="17">
        <f>CPI!U12</f>
        <v>1.0136518771331058</v>
      </c>
    </row>
    <row r="5" spans="1:19" x14ac:dyDescent="0.25">
      <c r="B5"/>
      <c r="C5"/>
      <c r="D5"/>
      <c r="E5"/>
      <c r="F5"/>
      <c r="G5"/>
      <c r="H5"/>
      <c r="I5"/>
    </row>
    <row r="6" spans="1:19" x14ac:dyDescent="0.25">
      <c r="A6" s="10" t="s">
        <v>60</v>
      </c>
      <c r="B6" s="32"/>
      <c r="C6" s="32"/>
      <c r="D6" s="32"/>
      <c r="E6" s="32"/>
      <c r="F6" s="32"/>
      <c r="G6" s="32"/>
      <c r="H6" s="32"/>
      <c r="I6" s="32"/>
      <c r="J6" s="32"/>
    </row>
    <row r="7" spans="1:19" x14ac:dyDescent="0.25">
      <c r="A7" s="10" t="s">
        <v>61</v>
      </c>
      <c r="B7" s="32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</row>
    <row r="8" spans="1:19" x14ac:dyDescent="0.25">
      <c r="A8" s="27" t="s">
        <v>37</v>
      </c>
      <c r="B8" s="27" t="s">
        <v>18</v>
      </c>
      <c r="C8" s="20">
        <v>-45791.849417636906</v>
      </c>
      <c r="D8" s="20">
        <v>-50958.501088076984</v>
      </c>
      <c r="E8" s="20">
        <v>-48204.850280116312</v>
      </c>
      <c r="F8" s="20">
        <v>-55008.877124563965</v>
      </c>
      <c r="G8" s="20">
        <v>-60040.104570401381</v>
      </c>
      <c r="H8" s="20">
        <v>-63337.177692221783</v>
      </c>
      <c r="I8" s="20">
        <v>-66722.89939335885</v>
      </c>
      <c r="J8" s="20">
        <v>-73303.01352783374</v>
      </c>
      <c r="K8" s="20">
        <v>-76094.486579693286</v>
      </c>
      <c r="L8" s="20">
        <v>-85643.071653748921</v>
      </c>
      <c r="M8" s="20">
        <v>-95982.674057186538</v>
      </c>
      <c r="N8" s="20">
        <v>-103289.94435068821</v>
      </c>
      <c r="O8" s="20">
        <f>'[8]3.3 Assets (RAB)'!$C$14/1000</f>
        <v>-103984.56412373077</v>
      </c>
      <c r="P8" s="20">
        <f>'[9]3.3 Assets (RAB)'!$C$14/1000</f>
        <v>-106385.24868914524</v>
      </c>
      <c r="Q8" s="27">
        <f>'[10]3.3 Assets (RAB)'!$C$14/1000</f>
        <v>-126424.29</v>
      </c>
      <c r="R8" s="27">
        <f>'[11]3.3 Assets (RAB)'!$C$14/1000</f>
        <v>-131173.97972722203</v>
      </c>
    </row>
    <row r="9" spans="1:19" x14ac:dyDescent="0.25">
      <c r="A9" s="27" t="s">
        <v>21</v>
      </c>
      <c r="B9" s="27" t="s">
        <v>18</v>
      </c>
      <c r="C9" s="20">
        <v>-132496.74622431587</v>
      </c>
      <c r="D9" s="20">
        <v>-140357.26629175912</v>
      </c>
      <c r="E9" s="20">
        <v>-156999.72982458232</v>
      </c>
      <c r="F9" s="20">
        <v>-182601.09296048834</v>
      </c>
      <c r="G9" s="20">
        <v>-191974.42283243482</v>
      </c>
      <c r="H9" s="20">
        <v>-209895.4904502311</v>
      </c>
      <c r="I9" s="20">
        <v>-224992.70041557745</v>
      </c>
      <c r="J9" s="20">
        <v>-212080.91622801078</v>
      </c>
      <c r="K9" s="20">
        <v>-234896.24841606364</v>
      </c>
      <c r="L9" s="20">
        <v>-261726.28652177399</v>
      </c>
      <c r="M9" s="20">
        <v>-277132.67885741114</v>
      </c>
      <c r="N9" s="20">
        <v>-273813.57027352898</v>
      </c>
      <c r="O9" s="20">
        <f>'[12]3.3 Assets (RAB)'!$C$14/1000</f>
        <v>-261276.59177307546</v>
      </c>
      <c r="P9" s="20">
        <f>'[13]3.3 Assets (RAB)'!$C$14/1000</f>
        <v>-286093.59674934688</v>
      </c>
      <c r="Q9" s="27">
        <f>'[14]3.3 Assets (RAB)'!$C$14/1000</f>
        <v>-303179.94185928896</v>
      </c>
      <c r="R9" s="27">
        <f>'[15]3.3 Assets (RAB)'!$C$14/1000</f>
        <v>-314468.95912751841</v>
      </c>
    </row>
    <row r="10" spans="1:19" x14ac:dyDescent="0.25">
      <c r="A10" s="27" t="s">
        <v>35</v>
      </c>
      <c r="B10" s="27" t="s">
        <v>18</v>
      </c>
      <c r="C10" s="20">
        <v>-86280.945999999996</v>
      </c>
      <c r="D10" s="20">
        <v>-91719.03</v>
      </c>
      <c r="E10" s="20">
        <v>-103392.598</v>
      </c>
      <c r="F10" s="20">
        <v>-107125.821</v>
      </c>
      <c r="G10" s="20">
        <v>-112873.439</v>
      </c>
      <c r="H10" s="20">
        <v>-118888.912</v>
      </c>
      <c r="I10" s="20">
        <v>-123748.05100000001</v>
      </c>
      <c r="J10" s="20">
        <v>-129632.00900000001</v>
      </c>
      <c r="K10" s="20">
        <v>-127428.17617868638</v>
      </c>
      <c r="L10" s="20">
        <v>-145677.73598860696</v>
      </c>
      <c r="M10" s="20">
        <v>-152613.9833679182</v>
      </c>
      <c r="N10" s="20">
        <v>-161231.0402391114</v>
      </c>
      <c r="O10" s="20">
        <f>'[16]3.3 Assets (RAB)'!$C$14/1000</f>
        <v>-170906.18048810546</v>
      </c>
      <c r="P10" s="20">
        <f>'[17]3.3 Assets (RAB)'!$C$14/1000</f>
        <v>-174346.82383437318</v>
      </c>
      <c r="Q10" s="27">
        <f>'[18]3.3 Assets (RAB)'!$C$14/1000</f>
        <v>-182669.67724412392</v>
      </c>
      <c r="R10" s="27">
        <f>'[19]3.3 Assets (RAB)'!$C$14/1000</f>
        <v>-186020.17268516027</v>
      </c>
    </row>
    <row r="11" spans="1:19" x14ac:dyDescent="0.25">
      <c r="A11" s="27" t="s">
        <v>29</v>
      </c>
      <c r="B11" s="27" t="s">
        <v>18</v>
      </c>
      <c r="C11" s="20">
        <v>-34117</v>
      </c>
      <c r="D11" s="20">
        <v>-33914</v>
      </c>
      <c r="E11" s="20">
        <v>-37777</v>
      </c>
      <c r="F11" s="20">
        <v>-41311</v>
      </c>
      <c r="G11" s="20">
        <v>-49841</v>
      </c>
      <c r="H11" s="20">
        <v>-54231</v>
      </c>
      <c r="I11" s="20">
        <v>-54880</v>
      </c>
      <c r="J11" s="20">
        <v>-54578</v>
      </c>
      <c r="K11" s="20">
        <v>-61434.606590000003</v>
      </c>
      <c r="L11" s="20">
        <v>-53237.514772859882</v>
      </c>
      <c r="M11" s="20">
        <v>-57207.430475358902</v>
      </c>
      <c r="N11" s="20">
        <v>-61304.04863066168</v>
      </c>
      <c r="O11" s="20">
        <f>'[20]3.3 Assets (RAB)'!$C$14/1000</f>
        <v>-61390.494942420773</v>
      </c>
      <c r="P11" s="20">
        <f>'[21]3.3 Assets (RAB)'!$C$14/1000</f>
        <v>-62790.62031208886</v>
      </c>
      <c r="Q11" s="27">
        <f>'[22]3.3 Assets (RAB)'!$C$14/1000</f>
        <v>-56413.52930933053</v>
      </c>
      <c r="R11" s="27">
        <f>'[23]3.3 Assets (RAB)'!$C$14/1000</f>
        <v>-58026.015771226463</v>
      </c>
    </row>
    <row r="12" spans="1:19" x14ac:dyDescent="0.25">
      <c r="A12" s="27" t="s">
        <v>38</v>
      </c>
      <c r="B12" s="27" t="s">
        <v>18</v>
      </c>
      <c r="C12" s="20">
        <v>-121720.69285763716</v>
      </c>
      <c r="D12" s="20">
        <v>-130837</v>
      </c>
      <c r="E12" s="20">
        <v>-138414</v>
      </c>
      <c r="F12" s="20">
        <v>-155347.27373057668</v>
      </c>
      <c r="G12" s="20">
        <v>-178956.02871101134</v>
      </c>
      <c r="H12" s="20">
        <v>-181714.94605466677</v>
      </c>
      <c r="I12" s="20">
        <v>-184338.2857749275</v>
      </c>
      <c r="J12" s="20">
        <v>-199415.56154466461</v>
      </c>
      <c r="K12" s="20">
        <v>-222310.25735920473</v>
      </c>
      <c r="L12" s="20">
        <v>-244163.23008389489</v>
      </c>
      <c r="M12" s="20">
        <v>-261875.0623888979</v>
      </c>
      <c r="N12" s="20">
        <v>-279708.00294541242</v>
      </c>
      <c r="O12" s="20">
        <f>'[24]3.3 Assets (RAB)'!$C$14/1000</f>
        <v>-265038.9669400985</v>
      </c>
      <c r="P12" s="20">
        <f>'[25]3.3 Assets (RAB)'!$C$14/1000</f>
        <v>-255967.76314920798</v>
      </c>
      <c r="Q12" s="27">
        <f>'[26]3.3 Assets (RAB)'!$C$14/1000</f>
        <v>-274692.06699999998</v>
      </c>
      <c r="R12" s="27">
        <f>'[27]3.3 Assets (RAB)'!$C$14/1000</f>
        <v>-289960.28600000002</v>
      </c>
    </row>
    <row r="13" spans="1:19" x14ac:dyDescent="0.25">
      <c r="B13" s="32"/>
      <c r="C13" s="32"/>
      <c r="D13" s="32"/>
      <c r="E13" s="32"/>
      <c r="F13" s="32"/>
      <c r="G13" s="32"/>
      <c r="H13" s="32"/>
      <c r="I13" s="32"/>
    </row>
    <row r="14" spans="1:19" x14ac:dyDescent="0.25">
      <c r="A14" s="10" t="str">
        <f>CONCATENATE(B2)</f>
        <v>Real $2021</v>
      </c>
      <c r="B14" s="33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 t="s">
        <v>113</v>
      </c>
    </row>
    <row r="15" spans="1:19" x14ac:dyDescent="0.25">
      <c r="A15" s="27" t="s">
        <v>37</v>
      </c>
      <c r="B15" s="27" t="s">
        <v>130</v>
      </c>
      <c r="C15" s="20">
        <f>C8*C$4</f>
        <v>-64917.323518081917</v>
      </c>
      <c r="D15" s="20">
        <f t="shared" ref="D15:N15" si="0">D8*D$4</f>
        <v>-69906.119275560573</v>
      </c>
      <c r="E15" s="20">
        <f t="shared" si="0"/>
        <v>-64273.133706821754</v>
      </c>
      <c r="F15" s="20">
        <f t="shared" si="0"/>
        <v>-70725.699160153657</v>
      </c>
      <c r="G15" s="20">
        <f t="shared" si="0"/>
        <v>-75639.071293358254</v>
      </c>
      <c r="H15" s="20">
        <f t="shared" si="0"/>
        <v>-77651.772031330722</v>
      </c>
      <c r="I15" s="20">
        <f t="shared" si="0"/>
        <v>-79425.65579089211</v>
      </c>
      <c r="J15" s="20">
        <f t="shared" si="0"/>
        <v>-85376.451050065181</v>
      </c>
      <c r="K15" s="20">
        <f t="shared" si="0"/>
        <v>-86259.780588430949</v>
      </c>
      <c r="L15" s="20">
        <f t="shared" si="0"/>
        <v>-95444.623944328079</v>
      </c>
      <c r="M15" s="20">
        <f t="shared" si="0"/>
        <v>-105191.34389293136</v>
      </c>
      <c r="N15" s="20">
        <f t="shared" si="0"/>
        <v>-111553.13989874328</v>
      </c>
      <c r="O15" s="20">
        <f t="shared" ref="O15:Q16" si="1">O8*O$4</f>
        <v>-110199.52023103672</v>
      </c>
      <c r="P15" s="20">
        <f t="shared" si="1"/>
        <v>-110767.46313996894</v>
      </c>
      <c r="Q15" s="20">
        <f>Q8*Q$4</f>
        <v>-129253.06068846815</v>
      </c>
      <c r="R15" s="20">
        <f>R8*R$4</f>
        <v>-132964.75078151858</v>
      </c>
      <c r="S15" s="11">
        <f>AVERAGE(N15:R15)</f>
        <v>-118947.58694794713</v>
      </c>
    </row>
    <row r="16" spans="1:19" x14ac:dyDescent="0.25">
      <c r="A16" s="27" t="s">
        <v>21</v>
      </c>
      <c r="B16" s="27" t="s">
        <v>130</v>
      </c>
      <c r="C16" s="20">
        <f>C9*C$4</f>
        <v>-187835.48271418529</v>
      </c>
      <c r="D16" s="20">
        <f t="shared" ref="D16:N16" si="2">D9*D$4</f>
        <v>-192545.5338967781</v>
      </c>
      <c r="E16" s="20">
        <f t="shared" si="2"/>
        <v>-209332.9730994431</v>
      </c>
      <c r="F16" s="20">
        <f t="shared" si="2"/>
        <v>-234772.83380634213</v>
      </c>
      <c r="G16" s="20">
        <f t="shared" si="2"/>
        <v>-241851.12865846508</v>
      </c>
      <c r="H16" s="20">
        <f t="shared" si="2"/>
        <v>-257333.17095446287</v>
      </c>
      <c r="I16" s="20">
        <f t="shared" si="2"/>
        <v>-267826.98205782165</v>
      </c>
      <c r="J16" s="20">
        <f t="shared" si="2"/>
        <v>-247011.89066556553</v>
      </c>
      <c r="K16" s="20">
        <f t="shared" si="2"/>
        <v>-266275.51824263704</v>
      </c>
      <c r="L16" s="20">
        <f t="shared" si="2"/>
        <v>-291679.95158336539</v>
      </c>
      <c r="M16" s="20">
        <f t="shared" si="2"/>
        <v>-303721.05395074206</v>
      </c>
      <c r="N16" s="20">
        <f t="shared" si="2"/>
        <v>-295718.65589541133</v>
      </c>
      <c r="O16" s="20">
        <f t="shared" si="1"/>
        <v>-276892.58789153758</v>
      </c>
      <c r="P16" s="20">
        <f t="shared" si="1"/>
        <v>-297878.34613341291</v>
      </c>
      <c r="Q16" s="20">
        <f t="shared" si="1"/>
        <v>-309963.65828643308</v>
      </c>
      <c r="R16" s="20">
        <f t="shared" ref="R16" si="3">R9*R$4</f>
        <v>-318762.05071970297</v>
      </c>
      <c r="S16" s="11">
        <f t="shared" ref="S16:S19" si="4">AVERAGE(N16:R16)</f>
        <v>-299843.05978529959</v>
      </c>
    </row>
    <row r="17" spans="1:19" x14ac:dyDescent="0.25">
      <c r="A17" s="27" t="s">
        <v>35</v>
      </c>
      <c r="B17" s="27" t="s">
        <v>130</v>
      </c>
      <c r="C17" s="20">
        <f>C10*C$3</f>
        <v>-122903.79358273379</v>
      </c>
      <c r="D17" s="20">
        <f t="shared" ref="D17:N17" si="5">D10*D$3</f>
        <v>-125677.28678200691</v>
      </c>
      <c r="E17" s="20">
        <f t="shared" si="5"/>
        <v>-139105.78303963761</v>
      </c>
      <c r="F17" s="20">
        <f t="shared" si="5"/>
        <v>-137287.45992233008</v>
      </c>
      <c r="G17" s="20">
        <f t="shared" si="5"/>
        <v>-142956.97817910448</v>
      </c>
      <c r="H17" s="20">
        <f t="shared" si="5"/>
        <v>-146362.72275233161</v>
      </c>
      <c r="I17" s="20">
        <f t="shared" si="5"/>
        <v>-147307.29918637275</v>
      </c>
      <c r="J17" s="20">
        <f t="shared" si="5"/>
        <v>-151279.79046365424</v>
      </c>
      <c r="K17" s="20">
        <f t="shared" si="5"/>
        <v>-145562.18586565327</v>
      </c>
      <c r="L17" s="20">
        <f t="shared" si="5"/>
        <v>-162655.21649855736</v>
      </c>
      <c r="M17" s="20">
        <f t="shared" si="5"/>
        <v>-167875.38170471002</v>
      </c>
      <c r="N17" s="20">
        <f t="shared" si="5"/>
        <v>-175084.52998543359</v>
      </c>
      <c r="O17" s="20">
        <f>O10*O$3</f>
        <v>-182259.01473955947</v>
      </c>
      <c r="P17" s="20">
        <f>P10*P$3</f>
        <v>-182488.12926452453</v>
      </c>
      <c r="Q17" s="20">
        <f>Q10*Q$3</f>
        <v>-188051.62614039792</v>
      </c>
      <c r="R17" s="20">
        <f>R10*R$3</f>
        <v>-190182.41407054252</v>
      </c>
      <c r="S17" s="11">
        <f t="shared" si="4"/>
        <v>-183613.14284009163</v>
      </c>
    </row>
    <row r="18" spans="1:19" x14ac:dyDescent="0.25">
      <c r="A18" s="27" t="s">
        <v>29</v>
      </c>
      <c r="B18" s="27" t="s">
        <v>130</v>
      </c>
      <c r="C18" s="20">
        <f>C11*C$4</f>
        <v>-48366.343675417666</v>
      </c>
      <c r="D18" s="20">
        <f t="shared" ref="D18:N18" si="6">D11*D$4</f>
        <v>-46524.055427251733</v>
      </c>
      <c r="E18" s="20">
        <f t="shared" si="6"/>
        <v>-50369.333333333336</v>
      </c>
      <c r="F18" s="20">
        <f t="shared" si="6"/>
        <v>-53114.142857142855</v>
      </c>
      <c r="G18" s="20">
        <f t="shared" si="6"/>
        <v>-62790.146341463413</v>
      </c>
      <c r="H18" s="20">
        <f t="shared" si="6"/>
        <v>-66487.541795665631</v>
      </c>
      <c r="I18" s="20">
        <f t="shared" si="6"/>
        <v>-65328.096192384772</v>
      </c>
      <c r="J18" s="20">
        <f t="shared" si="6"/>
        <v>-63567.31764705883</v>
      </c>
      <c r="K18" s="20">
        <f t="shared" si="6"/>
        <v>-69641.519684083978</v>
      </c>
      <c r="L18" s="20">
        <f t="shared" si="6"/>
        <v>-59330.363555494885</v>
      </c>
      <c r="M18" s="20">
        <f t="shared" si="6"/>
        <v>-62695.966240522474</v>
      </c>
      <c r="N18" s="20">
        <f t="shared" si="6"/>
        <v>-66208.372521114623</v>
      </c>
      <c r="O18" s="20">
        <f t="shared" ref="O18:Q19" si="7">O11*O$4</f>
        <v>-65059.685987150653</v>
      </c>
      <c r="P18" s="20">
        <f t="shared" si="7"/>
        <v>-65377.087581736698</v>
      </c>
      <c r="Q18" s="20">
        <f t="shared" si="7"/>
        <v>-57675.794164788873</v>
      </c>
      <c r="R18" s="20">
        <f t="shared" ref="R18" si="8">R11*R$4</f>
        <v>-58818.179809058907</v>
      </c>
      <c r="S18" s="11">
        <f t="shared" si="4"/>
        <v>-62627.824012769954</v>
      </c>
    </row>
    <row r="19" spans="1:19" x14ac:dyDescent="0.25">
      <c r="A19" s="27" t="s">
        <v>38</v>
      </c>
      <c r="B19" s="27" t="s">
        <v>130</v>
      </c>
      <c r="C19" s="20">
        <f>C12*C$4</f>
        <v>-172558.69106786748</v>
      </c>
      <c r="D19" s="20">
        <f t="shared" ref="D19:N19" si="9">D12*D$4</f>
        <v>-179485.39953810623</v>
      </c>
      <c r="E19" s="20">
        <f t="shared" si="9"/>
        <v>-184552.00000000003</v>
      </c>
      <c r="F19" s="20">
        <f t="shared" si="9"/>
        <v>-199732.20908216998</v>
      </c>
      <c r="G19" s="20">
        <f t="shared" si="9"/>
        <v>-225450.43701875024</v>
      </c>
      <c r="H19" s="20">
        <f t="shared" si="9"/>
        <v>-222783.64903296606</v>
      </c>
      <c r="I19" s="20">
        <f t="shared" si="9"/>
        <v>-219432.74899861112</v>
      </c>
      <c r="J19" s="20">
        <f t="shared" si="9"/>
        <v>-232260.47756378585</v>
      </c>
      <c r="K19" s="20">
        <f t="shared" si="9"/>
        <v>-252008.19250260995</v>
      </c>
      <c r="L19" s="20">
        <f t="shared" si="9"/>
        <v>-272106.86429612304</v>
      </c>
      <c r="M19" s="20">
        <f t="shared" si="9"/>
        <v>-286999.60711993603</v>
      </c>
      <c r="N19" s="20">
        <f t="shared" si="9"/>
        <v>-302084.64318104542</v>
      </c>
      <c r="O19" s="20">
        <f t="shared" si="7"/>
        <v>-280879.83293919452</v>
      </c>
      <c r="P19" s="20">
        <f t="shared" si="7"/>
        <v>-266511.57109663374</v>
      </c>
      <c r="Q19" s="20">
        <f t="shared" si="7"/>
        <v>-280838.36109810672</v>
      </c>
      <c r="R19" s="20">
        <f t="shared" ref="R19" si="10">R12*R$4</f>
        <v>-293918.78819795221</v>
      </c>
      <c r="S19" s="11">
        <f t="shared" si="4"/>
        <v>-284846.6393025865</v>
      </c>
    </row>
    <row r="20" spans="1:19" x14ac:dyDescent="0.25">
      <c r="B20" s="32"/>
      <c r="C20" s="32"/>
      <c r="D20" s="32"/>
      <c r="E20" s="32"/>
      <c r="F20" s="32"/>
      <c r="G20" s="32"/>
      <c r="H20" s="32"/>
      <c r="I20" s="32"/>
    </row>
    <row r="21" spans="1:19" x14ac:dyDescent="0.25">
      <c r="B21" s="32"/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9" x14ac:dyDescent="0.25">
      <c r="B22" s="32"/>
      <c r="C22" s="32"/>
      <c r="D22" s="32"/>
      <c r="E22" s="32"/>
      <c r="F22" s="32"/>
      <c r="G22" s="32"/>
      <c r="H22" s="32"/>
      <c r="I22" s="32"/>
    </row>
    <row r="23" spans="1:19" x14ac:dyDescent="0.25">
      <c r="B23" s="32"/>
      <c r="C23" s="32"/>
      <c r="D23" s="32"/>
      <c r="E23" s="32"/>
      <c r="F23" s="32"/>
      <c r="G23" s="32"/>
      <c r="H23" s="32"/>
      <c r="I23" s="3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Depreciation!C8:P8</xm:f>
              <xm:sqref>S8</xm:sqref>
            </x14:sparkline>
            <x14:sparkline>
              <xm:f>Depreciation!C9:P9</xm:f>
              <xm:sqref>S9</xm:sqref>
            </x14:sparkline>
            <x14:sparkline>
              <xm:f>Depreciation!C10:P10</xm:f>
              <xm:sqref>S10</xm:sqref>
            </x14:sparkline>
            <x14:sparkline>
              <xm:f>Depreciation!C11:P11</xm:f>
              <xm:sqref>S11</xm:sqref>
            </x14:sparkline>
            <x14:sparkline>
              <xm:f>Depreciation!C12:P12</xm:f>
              <xm:sqref>S12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S21"/>
  <sheetViews>
    <sheetView workbookViewId="0">
      <pane xSplit="1" ySplit="9" topLeftCell="I16" activePane="bottomRight" state="frozen"/>
      <selection pane="topRight" activeCell="B1" sqref="B1"/>
      <selection pane="bottomLeft" activeCell="A8" sqref="A8"/>
      <selection pane="bottomRight" activeCell="S17" sqref="S17"/>
    </sheetView>
  </sheetViews>
  <sheetFormatPr defaultRowHeight="15" x14ac:dyDescent="0.25"/>
  <cols>
    <col min="1" max="1" width="52.140625" customWidth="1"/>
    <col min="2" max="12" width="12.85546875" customWidth="1"/>
    <col min="14" max="14" width="11.140625" bestFit="1" customWidth="1"/>
    <col min="15" max="15" width="11.140625" customWidth="1"/>
    <col min="17" max="17" width="11.5703125" bestFit="1" customWidth="1"/>
    <col min="18" max="18" width="11.5703125" customWidth="1"/>
  </cols>
  <sheetData>
    <row r="1" spans="1:19" x14ac:dyDescent="0.25">
      <c r="A1" s="10" t="s">
        <v>26</v>
      </c>
    </row>
    <row r="2" spans="1:19" x14ac:dyDescent="0.25">
      <c r="B2" s="10" t="str">
        <f>"Real $"&amp;Real_year&amp;""</f>
        <v>Real $2021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</row>
    <row r="3" spans="1:19" x14ac:dyDescent="0.25">
      <c r="A3" t="s">
        <v>105</v>
      </c>
      <c r="B3" s="10"/>
      <c r="C3" s="17">
        <f>CPI!F11</f>
        <v>1.3830034924330616</v>
      </c>
      <c r="D3" s="17">
        <f>CPI!G11</f>
        <v>1.3546180159635119</v>
      </c>
      <c r="E3" s="17">
        <f>CPI!H11</f>
        <v>1.2969432314410481</v>
      </c>
      <c r="F3" s="17">
        <f>CPI!I11</f>
        <v>1.278794402583423</v>
      </c>
      <c r="G3" s="17">
        <f>CPI!J11</f>
        <v>1.2400835073068894</v>
      </c>
      <c r="H3" s="17">
        <f>CPI!K11</f>
        <v>1.1975806451612903</v>
      </c>
      <c r="I3" s="17">
        <f>CPI!L11</f>
        <v>1.1832669322709162</v>
      </c>
      <c r="J3" s="17">
        <f>CPI!M11</f>
        <v>1.1556420233463036</v>
      </c>
      <c r="K3" s="17">
        <f>CPI!N11</f>
        <v>1.1218130311614729</v>
      </c>
      <c r="L3" s="17">
        <f>CPI!O11</f>
        <v>1.1051162790697675</v>
      </c>
      <c r="M3" s="17">
        <f>CPI!P11</f>
        <v>1.0939226519337018</v>
      </c>
      <c r="N3" s="17">
        <f>CPI!Q11</f>
        <v>1.0731707317073169</v>
      </c>
      <c r="O3" s="17">
        <f>CPI!R11</f>
        <v>1.0513274336283185</v>
      </c>
      <c r="P3" s="17">
        <f>CPI!S11</f>
        <v>1.0348432055749128</v>
      </c>
      <c r="Q3" s="17">
        <f>CPI!T11</f>
        <v>1.0384615384615383</v>
      </c>
      <c r="R3" s="17">
        <f>CPI!U11</f>
        <v>1</v>
      </c>
    </row>
    <row r="4" spans="1:19" x14ac:dyDescent="0.25">
      <c r="A4" t="s">
        <v>57</v>
      </c>
      <c r="C4" s="17">
        <f>CPI!F13</f>
        <v>1.4244604316546761</v>
      </c>
      <c r="D4" s="17">
        <f>CPI!G13</f>
        <v>1.3702422145328719</v>
      </c>
      <c r="E4" s="17">
        <f>CPI!H13</f>
        <v>1.3454133635334089</v>
      </c>
      <c r="F4" s="17">
        <f>CPI!I13</f>
        <v>1.2815533980582523</v>
      </c>
      <c r="G4" s="17">
        <f>CPI!J13</f>
        <v>1.2665245202558635</v>
      </c>
      <c r="H4" s="17">
        <f>CPI!K13</f>
        <v>1.2310880829015545</v>
      </c>
      <c r="I4" s="17">
        <f>CPI!L13</f>
        <v>1.1903807615230462</v>
      </c>
      <c r="J4" s="17">
        <f>CPI!M13</f>
        <v>1.1669941060903732</v>
      </c>
      <c r="K4" s="17">
        <f>CPI!N13</f>
        <v>1.1423076923076922</v>
      </c>
      <c r="L4" s="17">
        <f>CPI!O13</f>
        <v>1.1165413533834585</v>
      </c>
      <c r="M4" s="17">
        <f>CPI!P13</f>
        <v>1.0999999999999999</v>
      </c>
      <c r="N4" s="17">
        <f>CPI!Q13</f>
        <v>1.0859232175502742</v>
      </c>
      <c r="O4" s="17">
        <f>CPI!R13</f>
        <v>1.0664272890484738</v>
      </c>
      <c r="P4" s="17">
        <f>CPI!S13</f>
        <v>1.0466960352422907</v>
      </c>
      <c r="Q4" s="17">
        <f>CPI!T13</f>
        <v>1.0294627383015598</v>
      </c>
      <c r="R4" s="17">
        <f>CPI!U13</f>
        <v>1.0223752151462995</v>
      </c>
    </row>
    <row r="5" spans="1:19" x14ac:dyDescent="0.25">
      <c r="A5" t="s">
        <v>56</v>
      </c>
      <c r="C5" s="17">
        <f>CPI!F12</f>
        <v>1.4176610978520288</v>
      </c>
      <c r="D5" s="17">
        <f>CPI!G12</f>
        <v>1.371824480369515</v>
      </c>
      <c r="E5" s="17">
        <f>CPI!H12</f>
        <v>1.3333333333333335</v>
      </c>
      <c r="F5" s="17">
        <f>CPI!I12</f>
        <v>1.2857142857142856</v>
      </c>
      <c r="G5" s="17">
        <f>CPI!J12</f>
        <v>1.2598091198303287</v>
      </c>
      <c r="H5" s="17">
        <f>CPI!K12</f>
        <v>1.2260061919504643</v>
      </c>
      <c r="I5" s="17">
        <f>CPI!L12</f>
        <v>1.1903807615230462</v>
      </c>
      <c r="J5" s="17">
        <f>CPI!M12</f>
        <v>1.1647058823529413</v>
      </c>
      <c r="K5" s="17">
        <f>CPI!N12</f>
        <v>1.133587786259542</v>
      </c>
      <c r="L5" s="17">
        <f>CPI!O12</f>
        <v>1.1144465290806755</v>
      </c>
      <c r="M5" s="17">
        <f>CPI!P12</f>
        <v>1.0959409594095939</v>
      </c>
      <c r="N5" s="17">
        <f>CPI!Q12</f>
        <v>1.08</v>
      </c>
      <c r="O5" s="17">
        <f>CPI!R12</f>
        <v>1.0597680642283676</v>
      </c>
      <c r="P5" s="17">
        <f>CPI!S12</f>
        <v>1.0411919368974585</v>
      </c>
      <c r="Q5" s="17">
        <f>CPI!T12</f>
        <v>1.0223752151462995</v>
      </c>
      <c r="R5" s="17">
        <f>CPI!U12</f>
        <v>1.0136518771331058</v>
      </c>
    </row>
    <row r="6" spans="1:19" x14ac:dyDescent="0.25">
      <c r="R6" s="17"/>
    </row>
    <row r="8" spans="1:19" x14ac:dyDescent="0.25">
      <c r="A8" s="10" t="s">
        <v>20</v>
      </c>
      <c r="B8" s="10" t="s">
        <v>104</v>
      </c>
    </row>
    <row r="9" spans="1:19" x14ac:dyDescent="0.25">
      <c r="A9" s="10" t="s">
        <v>63</v>
      </c>
      <c r="B9" s="10"/>
      <c r="C9">
        <f t="shared" ref="C9:M9" si="0">C2</f>
        <v>2006</v>
      </c>
      <c r="D9">
        <f t="shared" si="0"/>
        <v>2007</v>
      </c>
      <c r="E9">
        <f t="shared" si="0"/>
        <v>2008</v>
      </c>
      <c r="F9">
        <f t="shared" si="0"/>
        <v>2009</v>
      </c>
      <c r="G9">
        <f t="shared" si="0"/>
        <v>2010</v>
      </c>
      <c r="H9">
        <f t="shared" si="0"/>
        <v>2011</v>
      </c>
      <c r="I9">
        <f t="shared" si="0"/>
        <v>2012</v>
      </c>
      <c r="J9">
        <f t="shared" si="0"/>
        <v>2013</v>
      </c>
      <c r="K9">
        <f t="shared" si="0"/>
        <v>2014</v>
      </c>
      <c r="L9">
        <f t="shared" si="0"/>
        <v>2015</v>
      </c>
      <c r="M9">
        <f t="shared" si="0"/>
        <v>2016</v>
      </c>
      <c r="N9">
        <v>2017</v>
      </c>
      <c r="O9">
        <v>2018</v>
      </c>
      <c r="P9">
        <v>2019</v>
      </c>
      <c r="Q9">
        <v>2020</v>
      </c>
      <c r="R9">
        <v>2021</v>
      </c>
    </row>
    <row r="10" spans="1:19" x14ac:dyDescent="0.25">
      <c r="A10" s="27" t="s">
        <v>37</v>
      </c>
      <c r="B10" s="27" t="s">
        <v>62</v>
      </c>
      <c r="C10" s="20">
        <v>89258.11425374214</v>
      </c>
      <c r="D10" s="20">
        <v>80842.987365847715</v>
      </c>
      <c r="E10" s="20">
        <v>162293.47653741398</v>
      </c>
      <c r="F10" s="20">
        <v>59106.056239456964</v>
      </c>
      <c r="G10" s="20">
        <v>20345.625267704796</v>
      </c>
      <c r="H10" s="20">
        <v>97061.100193905717</v>
      </c>
      <c r="I10" s="20">
        <v>315713.09947788186</v>
      </c>
      <c r="J10" s="20">
        <v>178283.85468255344</v>
      </c>
      <c r="K10" s="20">
        <v>232198.0008218725</v>
      </c>
      <c r="L10" s="20">
        <v>96869.77632107136</v>
      </c>
      <c r="M10" s="20">
        <v>142117.46961331938</v>
      </c>
      <c r="N10" s="20">
        <v>169671.86470311059</v>
      </c>
      <c r="O10" s="20">
        <f>'[8]3.3 Assets (RAB)'!$C$15/1000</f>
        <v>204289.22000560572</v>
      </c>
      <c r="P10" s="20">
        <f>'[9]3.3 Assets (RAB)'!$C$15/1000</f>
        <v>177293.90200828851</v>
      </c>
      <c r="Q10" s="51">
        <f>'[10]3.3 Assets (RAB)'!$C$15/1000</f>
        <v>49311.832000000002</v>
      </c>
      <c r="R10" s="51">
        <f>'[11]3.3 Assets (RAB)'!$C$15/1000</f>
        <v>77797.344739000968</v>
      </c>
    </row>
    <row r="11" spans="1:19" x14ac:dyDescent="0.25">
      <c r="A11" s="27" t="s">
        <v>21</v>
      </c>
      <c r="B11" s="27" t="s">
        <v>62</v>
      </c>
      <c r="C11" s="20">
        <v>269318.53261280397</v>
      </c>
      <c r="D11" s="20">
        <v>256570.90166529323</v>
      </c>
      <c r="E11" s="20">
        <v>678189.56935022678</v>
      </c>
      <c r="F11" s="20">
        <v>671491.83669466269</v>
      </c>
      <c r="G11" s="20">
        <v>473251.6947943017</v>
      </c>
      <c r="H11" s="20">
        <v>463875.87787008594</v>
      </c>
      <c r="I11" s="20">
        <v>503875.60955456615</v>
      </c>
      <c r="J11" s="20">
        <v>504179.01052687335</v>
      </c>
      <c r="K11" s="20">
        <v>593347.80624161765</v>
      </c>
      <c r="L11" s="20">
        <v>245700.20910001502</v>
      </c>
      <c r="M11" s="20">
        <v>124656.92009012518</v>
      </c>
      <c r="N11" s="20">
        <v>165717.78678948872</v>
      </c>
      <c r="O11" s="20">
        <f>'[12]3.3 Assets (RAB)'!$C$15/1000</f>
        <v>124148.14240923422</v>
      </c>
      <c r="P11" s="20">
        <f>'[13]3.3 Assets (RAB)'!$C$15/1000</f>
        <v>214676.63614106682</v>
      </c>
      <c r="Q11" s="51">
        <f>'[14]3.3 Assets (RAB)'!$C$15/1000</f>
        <v>77521.510388175127</v>
      </c>
      <c r="R11" s="51">
        <f>'[15]3.3 Assets (RAB)'!$C$15/1000</f>
        <v>127577.26012747781</v>
      </c>
    </row>
    <row r="12" spans="1:19" x14ac:dyDescent="0.25">
      <c r="A12" s="27" t="s">
        <v>35</v>
      </c>
      <c r="B12" s="27" t="s">
        <v>62</v>
      </c>
      <c r="C12" s="20">
        <v>60055.487000000001</v>
      </c>
      <c r="D12" s="20">
        <v>81707.709000000003</v>
      </c>
      <c r="E12" s="20">
        <v>109142.72199999999</v>
      </c>
      <c r="F12" s="20">
        <v>41643.434000000001</v>
      </c>
      <c r="G12" s="20">
        <v>86552.108999999997</v>
      </c>
      <c r="H12" s="20">
        <v>110822.41800000001</v>
      </c>
      <c r="I12" s="20">
        <v>124792.08900000001</v>
      </c>
      <c r="J12" s="20">
        <v>166090.78399999999</v>
      </c>
      <c r="K12" s="20">
        <v>176329.54932170166</v>
      </c>
      <c r="L12" s="20">
        <v>192954.250261384</v>
      </c>
      <c r="M12" s="20">
        <v>133160.81765741587</v>
      </c>
      <c r="N12" s="20">
        <v>125721.37942957168</v>
      </c>
      <c r="O12" s="20">
        <f>'[16]3.3 Assets (RAB)'!$C$15/1000</f>
        <v>113724.56413357373</v>
      </c>
      <c r="P12" s="20">
        <f>'[17]3.3 Assets (RAB)'!$C$15/1000</f>
        <v>119668.70306964719</v>
      </c>
      <c r="Q12" s="51">
        <f>'[18]3.3 Assets (RAB)'!$C$15/1000</f>
        <v>230006.49998383893</v>
      </c>
      <c r="R12" s="51">
        <f>'[19]3.3 Assets (RAB)'!$C$15/1000</f>
        <v>148420.04715022445</v>
      </c>
    </row>
    <row r="13" spans="1:19" x14ac:dyDescent="0.25">
      <c r="A13" s="27" t="s">
        <v>29</v>
      </c>
      <c r="B13" s="27" t="s">
        <v>62</v>
      </c>
      <c r="C13" s="20">
        <v>67649</v>
      </c>
      <c r="D13" s="20">
        <v>97870</v>
      </c>
      <c r="E13" s="20">
        <v>59619</v>
      </c>
      <c r="F13" s="20">
        <v>82109</v>
      </c>
      <c r="G13" s="20">
        <v>49873</v>
      </c>
      <c r="H13" s="20">
        <v>222178</v>
      </c>
      <c r="I13" s="20">
        <v>105301</v>
      </c>
      <c r="J13" s="20">
        <v>87448</v>
      </c>
      <c r="K13" s="20">
        <v>174694.62803962029</v>
      </c>
      <c r="L13" s="20">
        <v>31333.159254127593</v>
      </c>
      <c r="M13" s="20">
        <v>24922.723995073349</v>
      </c>
      <c r="N13" s="20">
        <v>27737.785856726568</v>
      </c>
      <c r="O13" s="20">
        <f>'[20]3.3 Assets (RAB)'!$C$15/1000</f>
        <v>47336.276340199896</v>
      </c>
      <c r="P13" s="20">
        <f>'[21]3.3 Assets (RAB)'!$C$15/1000</f>
        <v>64485.204634988841</v>
      </c>
      <c r="Q13" s="51">
        <f>'[22]3.3 Assets (RAB)'!$C$15/1000</f>
        <v>59472.139368714496</v>
      </c>
      <c r="R13" s="51">
        <f>'[23]3.3 Assets (RAB)'!$C$15/1000</f>
        <v>38111.489240591822</v>
      </c>
    </row>
    <row r="14" spans="1:19" x14ac:dyDescent="0.25">
      <c r="A14" s="27" t="s">
        <v>38</v>
      </c>
      <c r="B14" s="27" t="s">
        <v>62</v>
      </c>
      <c r="C14" s="20">
        <v>162036</v>
      </c>
      <c r="D14" s="20">
        <v>225936</v>
      </c>
      <c r="E14" s="20">
        <v>337001</v>
      </c>
      <c r="F14" s="20">
        <v>549433.30268145294</v>
      </c>
      <c r="G14" s="20">
        <v>240632.34056820587</v>
      </c>
      <c r="H14" s="20">
        <v>370580.90669528913</v>
      </c>
      <c r="I14" s="20">
        <v>377519.62609399756</v>
      </c>
      <c r="J14" s="20">
        <v>386404.8127500806</v>
      </c>
      <c r="K14" s="20">
        <v>599025.85733420495</v>
      </c>
      <c r="L14" s="20">
        <v>299576.62671298435</v>
      </c>
      <c r="M14" s="20">
        <v>262567.9137873014</v>
      </c>
      <c r="N14" s="20">
        <v>139468.48002247565</v>
      </c>
      <c r="O14" s="20">
        <f>'[24]3.3 Assets (RAB)'!$C$15/1000</f>
        <v>239882.38990682526</v>
      </c>
      <c r="P14" s="20">
        <f>'[25]3.3 Assets (RAB)'!$C$15/1000</f>
        <v>265754.53729379684</v>
      </c>
      <c r="Q14" s="51">
        <f>'[26]3.3 Assets (RAB)'!$C$15/1000</f>
        <v>217115.573</v>
      </c>
      <c r="R14" s="51">
        <f>'[27]3.3 Assets (RAB)'!$C$15/1000</f>
        <v>208491.98199999999</v>
      </c>
    </row>
    <row r="16" spans="1:19" x14ac:dyDescent="0.25">
      <c r="A16" s="10" t="str">
        <f>CONCATENATE(B2)</f>
        <v>Real $2021</v>
      </c>
      <c r="B16" s="10"/>
      <c r="C16">
        <f t="shared" ref="C16:M16" si="1">C2</f>
        <v>2006</v>
      </c>
      <c r="D16">
        <f t="shared" si="1"/>
        <v>2007</v>
      </c>
      <c r="E16">
        <f t="shared" si="1"/>
        <v>2008</v>
      </c>
      <c r="F16">
        <f t="shared" si="1"/>
        <v>2009</v>
      </c>
      <c r="G16">
        <f t="shared" si="1"/>
        <v>2010</v>
      </c>
      <c r="H16">
        <f t="shared" si="1"/>
        <v>2011</v>
      </c>
      <c r="I16">
        <f t="shared" si="1"/>
        <v>2012</v>
      </c>
      <c r="J16">
        <f t="shared" si="1"/>
        <v>2013</v>
      </c>
      <c r="K16">
        <f t="shared" si="1"/>
        <v>2014</v>
      </c>
      <c r="L16">
        <f t="shared" si="1"/>
        <v>2015</v>
      </c>
      <c r="M16">
        <f t="shared" si="1"/>
        <v>2016</v>
      </c>
      <c r="N16">
        <v>2017</v>
      </c>
      <c r="O16">
        <v>2018</v>
      </c>
      <c r="P16">
        <v>2019</v>
      </c>
      <c r="Q16">
        <v>2020</v>
      </c>
      <c r="R16">
        <v>2021</v>
      </c>
      <c r="S16" t="s">
        <v>113</v>
      </c>
    </row>
    <row r="17" spans="1:19" x14ac:dyDescent="0.25">
      <c r="A17" s="27" t="s">
        <v>37</v>
      </c>
      <c r="B17" s="27" t="s">
        <v>130</v>
      </c>
      <c r="C17" s="20">
        <f t="shared" ref="C17:Q21" si="2">C10*C$5</f>
        <v>126537.7562451619</v>
      </c>
      <c r="D17" s="20">
        <f t="shared" si="2"/>
        <v>110902.38913467331</v>
      </c>
      <c r="E17" s="20">
        <f t="shared" si="2"/>
        <v>216391.30204988533</v>
      </c>
      <c r="F17" s="20">
        <f t="shared" si="2"/>
        <v>75993.500879301806</v>
      </c>
      <c r="G17" s="20">
        <f t="shared" si="2"/>
        <v>25631.604260904875</v>
      </c>
      <c r="H17" s="20">
        <f t="shared" si="2"/>
        <v>118997.50983525283</v>
      </c>
      <c r="I17" s="20">
        <f t="shared" si="2"/>
        <v>375818.79977928224</v>
      </c>
      <c r="J17" s="20">
        <f t="shared" si="2"/>
        <v>207648.25427732695</v>
      </c>
      <c r="K17" s="20">
        <f t="shared" si="2"/>
        <v>263216.81772555778</v>
      </c>
      <c r="L17" s="20">
        <f t="shared" si="2"/>
        <v>107956.18599383939</v>
      </c>
      <c r="M17" s="20">
        <f t="shared" si="2"/>
        <v>155752.35599688505</v>
      </c>
      <c r="N17" s="20">
        <f t="shared" si="2"/>
        <v>183245.61387935944</v>
      </c>
      <c r="O17" s="20">
        <f t="shared" si="2"/>
        <v>216499.19122806386</v>
      </c>
      <c r="P17" s="20">
        <f t="shared" si="2"/>
        <v>184596.98123211812</v>
      </c>
      <c r="Q17" s="20">
        <f t="shared" si="2"/>
        <v>50415.19485025818</v>
      </c>
      <c r="R17" s="20">
        <f>R10*R$5</f>
        <v>78859.424530659686</v>
      </c>
      <c r="S17" s="11">
        <f>AVERAGE(N17:R17)</f>
        <v>142723.28114409186</v>
      </c>
    </row>
    <row r="18" spans="1:19" x14ac:dyDescent="0.25">
      <c r="A18" s="27" t="s">
        <v>21</v>
      </c>
      <c r="B18" s="27" t="s">
        <v>130</v>
      </c>
      <c r="C18" s="20">
        <f t="shared" si="2"/>
        <v>381802.40661576507</v>
      </c>
      <c r="D18" s="20">
        <f t="shared" si="2"/>
        <v>351970.24385492882</v>
      </c>
      <c r="E18" s="20">
        <f t="shared" si="2"/>
        <v>904252.75913363579</v>
      </c>
      <c r="F18" s="20">
        <f t="shared" si="2"/>
        <v>863346.647178852</v>
      </c>
      <c r="G18" s="20">
        <f t="shared" si="2"/>
        <v>596206.80107702059</v>
      </c>
      <c r="H18" s="20">
        <f t="shared" si="2"/>
        <v>568714.69856518274</v>
      </c>
      <c r="I18" s="20">
        <f t="shared" si="2"/>
        <v>599803.83181445359</v>
      </c>
      <c r="J18" s="20">
        <f t="shared" si="2"/>
        <v>587220.25931953487</v>
      </c>
      <c r="K18" s="20">
        <f t="shared" si="2"/>
        <v>672611.82615939109</v>
      </c>
      <c r="L18" s="20">
        <f t="shared" si="2"/>
        <v>273819.74522590794</v>
      </c>
      <c r="M18" s="20">
        <f t="shared" si="2"/>
        <v>136616.62460061687</v>
      </c>
      <c r="N18" s="20">
        <f t="shared" si="2"/>
        <v>178975.20973264784</v>
      </c>
      <c r="O18" s="20">
        <f t="shared" si="2"/>
        <v>131568.23655858185</v>
      </c>
      <c r="P18" s="20">
        <f t="shared" si="2"/>
        <v>223519.58259034829</v>
      </c>
      <c r="Q18" s="20">
        <f t="shared" si="2"/>
        <v>79256.070861576634</v>
      </c>
      <c r="R18" s="20">
        <f t="shared" ref="R18:R21" si="3">R11*R$5</f>
        <v>129318.92920771641</v>
      </c>
      <c r="S18" s="11">
        <f t="shared" ref="S18:S21" si="4">AVERAGE(N18:R18)</f>
        <v>148527.60579017419</v>
      </c>
    </row>
    <row r="19" spans="1:19" x14ac:dyDescent="0.25">
      <c r="A19" s="27" t="s">
        <v>35</v>
      </c>
      <c r="B19" s="27" t="s">
        <v>130</v>
      </c>
      <c r="C19" s="20">
        <f t="shared" ref="C19:Q19" si="5">C12*C$4</f>
        <v>85546.664935251785</v>
      </c>
      <c r="D19" s="20">
        <f t="shared" si="5"/>
        <v>111959.35212456746</v>
      </c>
      <c r="E19" s="20">
        <f t="shared" si="5"/>
        <v>146842.07671121179</v>
      </c>
      <c r="F19" s="20">
        <f t="shared" si="5"/>
        <v>53368.284349514557</v>
      </c>
      <c r="G19" s="20">
        <f t="shared" si="5"/>
        <v>109620.36832835821</v>
      </c>
      <c r="H19" s="20">
        <f t="shared" si="5"/>
        <v>136432.15811813474</v>
      </c>
      <c r="I19" s="20">
        <f t="shared" si="5"/>
        <v>148550.10193587176</v>
      </c>
      <c r="J19" s="20">
        <f t="shared" si="5"/>
        <v>193826.96600392924</v>
      </c>
      <c r="K19" s="20">
        <f t="shared" si="5"/>
        <v>201422.60057132842</v>
      </c>
      <c r="L19" s="20">
        <f t="shared" si="5"/>
        <v>215441.39972793625</v>
      </c>
      <c r="M19" s="20">
        <f t="shared" si="5"/>
        <v>146476.89942315745</v>
      </c>
      <c r="N19" s="20">
        <f t="shared" si="5"/>
        <v>136523.76486501933</v>
      </c>
      <c r="O19" s="20">
        <f t="shared" si="5"/>
        <v>121278.97862718633</v>
      </c>
      <c r="P19" s="20">
        <f>P12*P$4</f>
        <v>125256.75704558667</v>
      </c>
      <c r="Q19" s="20">
        <f t="shared" si="5"/>
        <v>236783.12130052049</v>
      </c>
      <c r="R19" s="20">
        <f>R12*R$4</f>
        <v>151740.97763723464</v>
      </c>
      <c r="S19" s="11">
        <f t="shared" si="4"/>
        <v>154316.71989510948</v>
      </c>
    </row>
    <row r="20" spans="1:19" x14ac:dyDescent="0.25">
      <c r="A20" s="27" t="s">
        <v>29</v>
      </c>
      <c r="B20" s="27" t="s">
        <v>130</v>
      </c>
      <c r="C20" s="20">
        <f t="shared" si="2"/>
        <v>95903.355608591897</v>
      </c>
      <c r="D20" s="20">
        <f t="shared" si="2"/>
        <v>134260.46189376444</v>
      </c>
      <c r="E20" s="20">
        <f t="shared" si="2"/>
        <v>79492.000000000015</v>
      </c>
      <c r="F20" s="20">
        <f t="shared" si="2"/>
        <v>105568.71428571428</v>
      </c>
      <c r="G20" s="20">
        <f t="shared" si="2"/>
        <v>62830.460233297985</v>
      </c>
      <c r="H20" s="20">
        <f t="shared" si="2"/>
        <v>272391.60371517029</v>
      </c>
      <c r="I20" s="20">
        <f t="shared" si="2"/>
        <v>125348.28456913828</v>
      </c>
      <c r="J20" s="20">
        <f t="shared" si="2"/>
        <v>101851.20000000001</v>
      </c>
      <c r="K20" s="20">
        <f t="shared" si="2"/>
        <v>198031.6966708673</v>
      </c>
      <c r="L20" s="20">
        <f t="shared" si="2"/>
        <v>34919.130575894545</v>
      </c>
      <c r="M20" s="20">
        <f t="shared" si="2"/>
        <v>27313.834046261192</v>
      </c>
      <c r="N20" s="20">
        <f t="shared" si="2"/>
        <v>29956.808725264695</v>
      </c>
      <c r="O20" s="20">
        <f t="shared" si="2"/>
        <v>50165.473944832716</v>
      </c>
      <c r="P20" s="20">
        <f t="shared" si="2"/>
        <v>67141.475115132998</v>
      </c>
      <c r="Q20" s="20">
        <f t="shared" si="2"/>
        <v>60802.841282300193</v>
      </c>
      <c r="R20" s="20">
        <f t="shared" si="3"/>
        <v>38631.782609064066</v>
      </c>
      <c r="S20" s="11">
        <f t="shared" si="4"/>
        <v>49339.676335318931</v>
      </c>
    </row>
    <row r="21" spans="1:19" x14ac:dyDescent="0.25">
      <c r="A21" s="27" t="s">
        <v>38</v>
      </c>
      <c r="B21" s="27" t="s">
        <v>130</v>
      </c>
      <c r="C21" s="20">
        <f t="shared" si="2"/>
        <v>229712.13365155132</v>
      </c>
      <c r="D21" s="20">
        <f t="shared" si="2"/>
        <v>309944.53579676675</v>
      </c>
      <c r="E21" s="20">
        <f t="shared" si="2"/>
        <v>449334.66666666674</v>
      </c>
      <c r="F21" s="20">
        <f t="shared" si="2"/>
        <v>706414.24630472518</v>
      </c>
      <c r="G21" s="20">
        <f t="shared" si="2"/>
        <v>303150.81717394333</v>
      </c>
      <c r="H21" s="20">
        <f t="shared" si="2"/>
        <v>454334.48622704175</v>
      </c>
      <c r="I21" s="20">
        <f t="shared" si="2"/>
        <v>449392.09999966848</v>
      </c>
      <c r="J21" s="20">
        <f t="shared" si="2"/>
        <v>450047.95837950567</v>
      </c>
      <c r="K21" s="20">
        <f t="shared" si="2"/>
        <v>679048.39552770567</v>
      </c>
      <c r="L21" s="20">
        <f t="shared" si="2"/>
        <v>333862.1318339826</v>
      </c>
      <c r="M21" s="20">
        <f t="shared" si="2"/>
        <v>287758.93134623062</v>
      </c>
      <c r="N21" s="20">
        <f t="shared" si="2"/>
        <v>150625.9584242737</v>
      </c>
      <c r="O21" s="20">
        <f t="shared" si="2"/>
        <v>254219.69599403071</v>
      </c>
      <c r="P21" s="20">
        <f t="shared" si="2"/>
        <v>276701.48142421618</v>
      </c>
      <c r="Q21" s="20">
        <f t="shared" si="2"/>
        <v>221973.58065748709</v>
      </c>
      <c r="R21" s="20">
        <f t="shared" si="3"/>
        <v>211338.28892150169</v>
      </c>
      <c r="S21" s="11">
        <f t="shared" si="4"/>
        <v>222971.8010843019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U309"/>
  <sheetViews>
    <sheetView topLeftCell="B1" workbookViewId="0">
      <selection activeCell="D7" sqref="D7:U7"/>
    </sheetView>
  </sheetViews>
  <sheetFormatPr defaultRowHeight="15" x14ac:dyDescent="0.25"/>
  <cols>
    <col min="1" max="1" width="24.85546875" style="5" customWidth="1"/>
    <col min="2" max="2" width="23.85546875" style="5" bestFit="1" customWidth="1"/>
    <col min="4" max="4" width="47" bestFit="1" customWidth="1"/>
    <col min="5" max="5" width="9.85546875" customWidth="1"/>
  </cols>
  <sheetData>
    <row r="1" spans="1:21" ht="34.5" customHeight="1" x14ac:dyDescent="0.25">
      <c r="A1" s="1"/>
      <c r="B1" s="6" t="s">
        <v>10</v>
      </c>
      <c r="D1" s="37" t="s">
        <v>82</v>
      </c>
      <c r="Q1" s="4"/>
    </row>
    <row r="2" spans="1:21" x14ac:dyDescent="0.25">
      <c r="A2" s="2" t="s">
        <v>1</v>
      </c>
      <c r="B2" s="7" t="s">
        <v>11</v>
      </c>
      <c r="F2">
        <v>2006</v>
      </c>
      <c r="G2">
        <v>2007</v>
      </c>
      <c r="H2">
        <v>2008</v>
      </c>
      <c r="I2">
        <v>2009</v>
      </c>
      <c r="J2">
        <v>2010</v>
      </c>
      <c r="K2">
        <v>2011</v>
      </c>
      <c r="L2">
        <v>2012</v>
      </c>
      <c r="M2">
        <v>2013</v>
      </c>
      <c r="N2">
        <v>2014</v>
      </c>
      <c r="O2">
        <v>2015</v>
      </c>
      <c r="P2">
        <v>2016</v>
      </c>
      <c r="Q2">
        <v>2017</v>
      </c>
      <c r="R2">
        <v>2018</v>
      </c>
      <c r="S2">
        <v>2019</v>
      </c>
      <c r="T2">
        <v>2020</v>
      </c>
      <c r="U2">
        <v>2021</v>
      </c>
    </row>
    <row r="3" spans="1:21" x14ac:dyDescent="0.25">
      <c r="A3" s="2" t="s">
        <v>2</v>
      </c>
      <c r="B3" s="7" t="s">
        <v>12</v>
      </c>
      <c r="D3" s="72" t="s">
        <v>140</v>
      </c>
      <c r="E3" s="72"/>
      <c r="F3" s="73">
        <f>B243</f>
        <v>85.9</v>
      </c>
      <c r="G3" s="73">
        <f>B247</f>
        <v>87.7</v>
      </c>
      <c r="H3" s="73">
        <f>B251</f>
        <v>91.6</v>
      </c>
      <c r="I3" s="73">
        <f>B255</f>
        <v>92.9</v>
      </c>
      <c r="J3" s="73">
        <f>B259</f>
        <v>95.8</v>
      </c>
      <c r="K3" s="73">
        <f>B263</f>
        <v>99.2</v>
      </c>
      <c r="L3" s="73">
        <f>B267</f>
        <v>100.4</v>
      </c>
      <c r="M3" s="73">
        <f>B271</f>
        <v>102.8</v>
      </c>
      <c r="N3" s="73">
        <f>B275</f>
        <v>105.9</v>
      </c>
      <c r="O3" s="73">
        <f>B279</f>
        <v>107.5</v>
      </c>
      <c r="P3" s="73">
        <f>B283</f>
        <v>108.6</v>
      </c>
      <c r="Q3" s="73">
        <f>B287</f>
        <v>110.7</v>
      </c>
      <c r="R3" s="73">
        <f>B291</f>
        <v>113</v>
      </c>
      <c r="S3" s="73">
        <f>B295</f>
        <v>114.8</v>
      </c>
      <c r="T3" s="73">
        <f>B299</f>
        <v>114.4</v>
      </c>
      <c r="U3" s="73">
        <f>B303</f>
        <v>118.8</v>
      </c>
    </row>
    <row r="4" spans="1:21" x14ac:dyDescent="0.25">
      <c r="A4" s="2" t="s">
        <v>3</v>
      </c>
      <c r="B4" s="7" t="s">
        <v>13</v>
      </c>
      <c r="D4" t="s">
        <v>17</v>
      </c>
      <c r="F4" s="42">
        <f>B243</f>
        <v>85.9</v>
      </c>
      <c r="G4" s="42">
        <f>B247</f>
        <v>87.7</v>
      </c>
      <c r="H4" s="42">
        <f>B251</f>
        <v>91.6</v>
      </c>
      <c r="I4" s="42">
        <f>B255</f>
        <v>92.9</v>
      </c>
      <c r="J4" s="42">
        <f>B259</f>
        <v>95.8</v>
      </c>
      <c r="K4" s="42">
        <f>B263</f>
        <v>99.2</v>
      </c>
      <c r="L4" s="42">
        <f>B267</f>
        <v>100.4</v>
      </c>
      <c r="M4" s="42">
        <f>B271</f>
        <v>102.8</v>
      </c>
      <c r="N4" s="42">
        <f>B275</f>
        <v>105.9</v>
      </c>
      <c r="O4">
        <f>B279</f>
        <v>107.5</v>
      </c>
      <c r="P4">
        <f>B283</f>
        <v>108.6</v>
      </c>
      <c r="Q4">
        <f>B287</f>
        <v>110.7</v>
      </c>
      <c r="R4" s="42">
        <f>B291</f>
        <v>113</v>
      </c>
      <c r="S4" s="42">
        <f>B295</f>
        <v>114.8</v>
      </c>
      <c r="T4" s="43">
        <f>B299</f>
        <v>114.4</v>
      </c>
      <c r="U4" s="43">
        <f>B303</f>
        <v>118.8</v>
      </c>
    </row>
    <row r="5" spans="1:21" x14ac:dyDescent="0.25">
      <c r="A5" s="2" t="s">
        <v>4</v>
      </c>
      <c r="B5" s="7" t="s">
        <v>14</v>
      </c>
      <c r="D5" t="s">
        <v>16</v>
      </c>
      <c r="F5" s="42">
        <f>B241</f>
        <v>83.8</v>
      </c>
      <c r="G5" s="42">
        <f>B245</f>
        <v>86.6</v>
      </c>
      <c r="H5" s="42">
        <f>B249</f>
        <v>89.1</v>
      </c>
      <c r="I5" s="42">
        <f>B253</f>
        <v>92.4</v>
      </c>
      <c r="J5" s="42">
        <f>B257</f>
        <v>94.3</v>
      </c>
      <c r="K5" s="42">
        <f>B261</f>
        <v>96.9</v>
      </c>
      <c r="L5" s="42">
        <f>B265</f>
        <v>99.8</v>
      </c>
      <c r="M5" s="42">
        <f>B269</f>
        <v>102</v>
      </c>
      <c r="N5" s="42">
        <f>B273</f>
        <v>104.8</v>
      </c>
      <c r="O5" s="42">
        <f>B277</f>
        <v>106.6</v>
      </c>
      <c r="P5">
        <f>B281</f>
        <v>108.4</v>
      </c>
      <c r="Q5" s="43">
        <f>B285</f>
        <v>110</v>
      </c>
      <c r="R5" s="42">
        <f>B289</f>
        <v>112.1</v>
      </c>
      <c r="S5" s="42">
        <f>B293</f>
        <v>114.1</v>
      </c>
      <c r="T5" s="43">
        <f>B297</f>
        <v>116.2</v>
      </c>
      <c r="U5" s="43">
        <f>B301</f>
        <v>117.2</v>
      </c>
    </row>
    <row r="6" spans="1:21" x14ac:dyDescent="0.25">
      <c r="A6" s="2" t="s">
        <v>5</v>
      </c>
      <c r="B6" s="5">
        <v>3</v>
      </c>
      <c r="D6" t="s">
        <v>58</v>
      </c>
      <c r="F6" s="42">
        <f>B240</f>
        <v>83.4</v>
      </c>
      <c r="G6" s="42">
        <f>B244</f>
        <v>86.7</v>
      </c>
      <c r="H6" s="42">
        <f>B248</f>
        <v>88.3</v>
      </c>
      <c r="I6" s="42">
        <f>B252</f>
        <v>92.7</v>
      </c>
      <c r="J6" s="42">
        <f>B256</f>
        <v>93.8</v>
      </c>
      <c r="K6" s="42">
        <f>B260</f>
        <v>96.5</v>
      </c>
      <c r="L6" s="42">
        <f>B264</f>
        <v>99.8</v>
      </c>
      <c r="M6" s="42">
        <f>B268</f>
        <v>101.8</v>
      </c>
      <c r="N6" s="42">
        <f>B272</f>
        <v>104</v>
      </c>
      <c r="O6" s="42">
        <f>B276</f>
        <v>106.4</v>
      </c>
      <c r="P6" s="42">
        <f>B280</f>
        <v>108</v>
      </c>
      <c r="Q6">
        <f>B284</f>
        <v>109.4</v>
      </c>
      <c r="R6" s="42">
        <f>B288</f>
        <v>111.4</v>
      </c>
      <c r="S6" s="42">
        <f>B292</f>
        <v>113.5</v>
      </c>
      <c r="T6" s="43">
        <f>B296</f>
        <v>115.4</v>
      </c>
      <c r="U6" s="43">
        <f>B300</f>
        <v>116.2</v>
      </c>
    </row>
    <row r="7" spans="1:21" x14ac:dyDescent="0.25">
      <c r="A7" s="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  <c r="U7" s="43"/>
    </row>
    <row r="8" spans="1:21" x14ac:dyDescent="0.25">
      <c r="A8" s="3" t="s">
        <v>6</v>
      </c>
      <c r="B8" s="8">
        <v>17777</v>
      </c>
      <c r="D8" s="44" t="str">
        <f>"Convert to real"</f>
        <v>Convert to real</v>
      </c>
      <c r="E8" s="45">
        <v>2021</v>
      </c>
    </row>
    <row r="9" spans="1:21" x14ac:dyDescent="0.25">
      <c r="A9" s="3" t="s">
        <v>7</v>
      </c>
      <c r="B9" s="8">
        <v>41699</v>
      </c>
      <c r="E9">
        <f>MATCH(Real_year,F2:U2)</f>
        <v>16</v>
      </c>
    </row>
    <row r="10" spans="1:21" x14ac:dyDescent="0.25">
      <c r="A10" s="2" t="s">
        <v>8</v>
      </c>
      <c r="B10" s="5">
        <v>263</v>
      </c>
      <c r="D10" s="10" t="str">
        <f>CONCATENATE(D8, " ",Real_year)</f>
        <v>Convert to real 2021</v>
      </c>
      <c r="E10">
        <f>INDEX(F2:U6,2,$E$9)</f>
        <v>118.8</v>
      </c>
    </row>
    <row r="11" spans="1:21" x14ac:dyDescent="0.25">
      <c r="A11" s="2" t="s">
        <v>9</v>
      </c>
      <c r="B11" s="7" t="s">
        <v>15</v>
      </c>
      <c r="D11" t="s">
        <v>105</v>
      </c>
      <c r="F11" s="46">
        <f t="shared" ref="F11:S11" si="0">$E$10/F4</f>
        <v>1.3830034924330616</v>
      </c>
      <c r="G11" s="46">
        <f t="shared" si="0"/>
        <v>1.3546180159635119</v>
      </c>
      <c r="H11" s="46">
        <f t="shared" si="0"/>
        <v>1.2969432314410481</v>
      </c>
      <c r="I11" s="46">
        <f t="shared" si="0"/>
        <v>1.278794402583423</v>
      </c>
      <c r="J11" s="46">
        <f t="shared" si="0"/>
        <v>1.2400835073068894</v>
      </c>
      <c r="K11" s="46">
        <f t="shared" si="0"/>
        <v>1.1975806451612903</v>
      </c>
      <c r="L11" s="46">
        <f t="shared" si="0"/>
        <v>1.1832669322709162</v>
      </c>
      <c r="M11" s="46">
        <f t="shared" si="0"/>
        <v>1.1556420233463036</v>
      </c>
      <c r="N11" s="46">
        <f t="shared" si="0"/>
        <v>1.1218130311614729</v>
      </c>
      <c r="O11" s="46">
        <f t="shared" si="0"/>
        <v>1.1051162790697675</v>
      </c>
      <c r="P11" s="46">
        <f t="shared" si="0"/>
        <v>1.0939226519337018</v>
      </c>
      <c r="Q11" s="46">
        <f t="shared" si="0"/>
        <v>1.0731707317073169</v>
      </c>
      <c r="R11" s="46">
        <f t="shared" si="0"/>
        <v>1.0513274336283185</v>
      </c>
      <c r="S11" s="46">
        <f t="shared" si="0"/>
        <v>1.0348432055749128</v>
      </c>
      <c r="T11" s="46">
        <f t="shared" ref="T11" si="1">$E$10/T4</f>
        <v>1.0384615384615383</v>
      </c>
      <c r="U11" s="46">
        <f>$E$10/U4</f>
        <v>1</v>
      </c>
    </row>
    <row r="12" spans="1:21" x14ac:dyDescent="0.25">
      <c r="A12" s="4">
        <v>17777</v>
      </c>
      <c r="B12" s="39">
        <v>3.7</v>
      </c>
      <c r="D12" t="s">
        <v>56</v>
      </c>
      <c r="F12" s="46">
        <f t="shared" ref="F12:N12" si="2">currency_base/F5</f>
        <v>1.4176610978520288</v>
      </c>
      <c r="G12" s="46">
        <f t="shared" si="2"/>
        <v>1.371824480369515</v>
      </c>
      <c r="H12" s="46">
        <f t="shared" si="2"/>
        <v>1.3333333333333335</v>
      </c>
      <c r="I12" s="46">
        <f t="shared" si="2"/>
        <v>1.2857142857142856</v>
      </c>
      <c r="J12" s="46">
        <f t="shared" si="2"/>
        <v>1.2598091198303287</v>
      </c>
      <c r="K12" s="46">
        <f t="shared" si="2"/>
        <v>1.2260061919504643</v>
      </c>
      <c r="L12" s="46">
        <f t="shared" si="2"/>
        <v>1.1903807615230462</v>
      </c>
      <c r="M12" s="46">
        <f t="shared" si="2"/>
        <v>1.1647058823529413</v>
      </c>
      <c r="N12" s="46">
        <f t="shared" si="2"/>
        <v>1.133587786259542</v>
      </c>
      <c r="O12" s="46">
        <f t="shared" ref="O12" si="3">currency_base/O5</f>
        <v>1.1144465290806755</v>
      </c>
      <c r="P12" s="46">
        <f t="shared" ref="P12:R13" si="4">currency_base/P5</f>
        <v>1.0959409594095939</v>
      </c>
      <c r="Q12" s="46">
        <f t="shared" si="4"/>
        <v>1.08</v>
      </c>
      <c r="R12" s="46">
        <f t="shared" si="4"/>
        <v>1.0597680642283676</v>
      </c>
      <c r="S12" s="46">
        <f t="shared" ref="S12:T12" si="5">currency_base/S5</f>
        <v>1.0411919368974585</v>
      </c>
      <c r="T12" s="46">
        <f t="shared" si="5"/>
        <v>1.0223752151462995</v>
      </c>
      <c r="U12" s="46">
        <f>currency_base/U5</f>
        <v>1.0136518771331058</v>
      </c>
    </row>
    <row r="13" spans="1:21" x14ac:dyDescent="0.25">
      <c r="A13" s="4">
        <v>17868</v>
      </c>
      <c r="B13" s="39">
        <v>3.8</v>
      </c>
      <c r="D13" t="s">
        <v>57</v>
      </c>
      <c r="F13" s="46">
        <f t="shared" ref="F13:N13" si="6">currency_base/F6</f>
        <v>1.4244604316546761</v>
      </c>
      <c r="G13" s="46">
        <f t="shared" si="6"/>
        <v>1.3702422145328719</v>
      </c>
      <c r="H13" s="46">
        <f t="shared" si="6"/>
        <v>1.3454133635334089</v>
      </c>
      <c r="I13" s="46">
        <f t="shared" si="6"/>
        <v>1.2815533980582523</v>
      </c>
      <c r="J13" s="46">
        <f t="shared" si="6"/>
        <v>1.2665245202558635</v>
      </c>
      <c r="K13" s="46">
        <f t="shared" si="6"/>
        <v>1.2310880829015545</v>
      </c>
      <c r="L13" s="46">
        <f t="shared" si="6"/>
        <v>1.1903807615230462</v>
      </c>
      <c r="M13" s="46">
        <f t="shared" si="6"/>
        <v>1.1669941060903732</v>
      </c>
      <c r="N13" s="46">
        <f t="shared" si="6"/>
        <v>1.1423076923076922</v>
      </c>
      <c r="O13" s="46">
        <f t="shared" ref="O13" si="7">currency_base/O6</f>
        <v>1.1165413533834585</v>
      </c>
      <c r="P13" s="46">
        <f t="shared" ref="P13" si="8">currency_base/P6</f>
        <v>1.0999999999999999</v>
      </c>
      <c r="Q13" s="46">
        <f t="shared" si="4"/>
        <v>1.0859232175502742</v>
      </c>
      <c r="R13" s="46">
        <f t="shared" si="4"/>
        <v>1.0664272890484738</v>
      </c>
      <c r="S13" s="46">
        <f t="shared" ref="S13:T13" si="9">currency_base/S6</f>
        <v>1.0466960352422907</v>
      </c>
      <c r="T13" s="46">
        <f t="shared" si="9"/>
        <v>1.0294627383015598</v>
      </c>
      <c r="U13" s="46">
        <f>currency_base/U6</f>
        <v>1.0223752151462995</v>
      </c>
    </row>
    <row r="14" spans="1:21" x14ac:dyDescent="0.25">
      <c r="A14" s="4">
        <v>17958</v>
      </c>
      <c r="B14" s="39">
        <v>3.9</v>
      </c>
      <c r="D14" s="74" t="s">
        <v>141</v>
      </c>
    </row>
    <row r="15" spans="1:21" x14ac:dyDescent="0.25">
      <c r="A15" s="4">
        <v>18050</v>
      </c>
      <c r="B15" s="39">
        <v>4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1" x14ac:dyDescent="0.25">
      <c r="A16" s="4">
        <v>18142</v>
      </c>
      <c r="B16" s="39">
        <v>4.0999999999999996</v>
      </c>
    </row>
    <row r="17" spans="1:16" x14ac:dyDescent="0.25">
      <c r="A17" s="4">
        <v>18233</v>
      </c>
      <c r="B17" s="39">
        <v>4.0999999999999996</v>
      </c>
    </row>
    <row r="18" spans="1:16" x14ac:dyDescent="0.25">
      <c r="A18" s="4">
        <v>18323</v>
      </c>
      <c r="B18" s="39">
        <v>4.2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4">
        <v>18415</v>
      </c>
      <c r="B19" s="39">
        <v>4.3</v>
      </c>
    </row>
    <row r="20" spans="1:16" x14ac:dyDescent="0.25">
      <c r="A20" s="4">
        <v>18507</v>
      </c>
      <c r="B20" s="39">
        <v>4.4000000000000004</v>
      </c>
    </row>
    <row r="21" spans="1:16" x14ac:dyDescent="0.25">
      <c r="A21" s="4">
        <v>18598</v>
      </c>
      <c r="B21" s="39">
        <v>4.5999999999999996</v>
      </c>
    </row>
    <row r="22" spans="1:16" x14ac:dyDescent="0.25">
      <c r="A22" s="4">
        <v>18688</v>
      </c>
      <c r="B22" s="39">
        <v>4.8</v>
      </c>
    </row>
    <row r="23" spans="1:16" x14ac:dyDescent="0.25">
      <c r="A23" s="4">
        <v>18780</v>
      </c>
      <c r="B23" s="39">
        <v>5.0999999999999996</v>
      </c>
    </row>
    <row r="24" spans="1:16" x14ac:dyDescent="0.25">
      <c r="A24" s="4">
        <v>18872</v>
      </c>
      <c r="B24" s="39">
        <v>5.3</v>
      </c>
    </row>
    <row r="25" spans="1:16" x14ac:dyDescent="0.25">
      <c r="A25" s="4">
        <v>18963</v>
      </c>
      <c r="B25" s="39">
        <v>5.7</v>
      </c>
    </row>
    <row r="26" spans="1:16" x14ac:dyDescent="0.25">
      <c r="A26" s="4">
        <v>19054</v>
      </c>
      <c r="B26" s="39">
        <v>5.9</v>
      </c>
    </row>
    <row r="27" spans="1:16" x14ac:dyDescent="0.25">
      <c r="A27" s="4">
        <v>19146</v>
      </c>
      <c r="B27" s="39">
        <v>6.1</v>
      </c>
    </row>
    <row r="28" spans="1:16" x14ac:dyDescent="0.25">
      <c r="A28" s="4">
        <v>19238</v>
      </c>
      <c r="B28" s="39">
        <v>6.2</v>
      </c>
    </row>
    <row r="29" spans="1:16" x14ac:dyDescent="0.25">
      <c r="A29" s="4">
        <v>19329</v>
      </c>
      <c r="B29" s="39">
        <v>6.3</v>
      </c>
    </row>
    <row r="30" spans="1:16" x14ac:dyDescent="0.25">
      <c r="A30" s="4">
        <v>19419</v>
      </c>
      <c r="B30" s="39">
        <v>6.3</v>
      </c>
    </row>
    <row r="31" spans="1:16" x14ac:dyDescent="0.25">
      <c r="A31" s="4">
        <v>19511</v>
      </c>
      <c r="B31" s="39">
        <v>6.4</v>
      </c>
    </row>
    <row r="32" spans="1:16" x14ac:dyDescent="0.25">
      <c r="A32" s="4">
        <v>19603</v>
      </c>
      <c r="B32" s="39">
        <v>6.5</v>
      </c>
    </row>
    <row r="33" spans="1:2" x14ac:dyDescent="0.25">
      <c r="A33" s="4">
        <v>19694</v>
      </c>
      <c r="B33" s="39">
        <v>6.4</v>
      </c>
    </row>
    <row r="34" spans="1:2" x14ac:dyDescent="0.25">
      <c r="A34" s="4">
        <v>19784</v>
      </c>
      <c r="B34" s="39">
        <v>6.5</v>
      </c>
    </row>
    <row r="35" spans="1:2" x14ac:dyDescent="0.25">
      <c r="A35" s="4">
        <v>19876</v>
      </c>
      <c r="B35" s="39">
        <v>6.5</v>
      </c>
    </row>
    <row r="36" spans="1:2" x14ac:dyDescent="0.25">
      <c r="A36" s="4">
        <v>19968</v>
      </c>
      <c r="B36" s="39">
        <v>6.5</v>
      </c>
    </row>
    <row r="37" spans="1:2" x14ac:dyDescent="0.25">
      <c r="A37" s="4">
        <v>20059</v>
      </c>
      <c r="B37" s="39">
        <v>6.5</v>
      </c>
    </row>
    <row r="38" spans="1:2" x14ac:dyDescent="0.25">
      <c r="A38" s="4">
        <v>20149</v>
      </c>
      <c r="B38" s="39">
        <v>6.5</v>
      </c>
    </row>
    <row r="39" spans="1:2" x14ac:dyDescent="0.25">
      <c r="A39" s="4">
        <v>20241</v>
      </c>
      <c r="B39" s="39">
        <v>6.6</v>
      </c>
    </row>
    <row r="40" spans="1:2" x14ac:dyDescent="0.25">
      <c r="A40" s="4">
        <v>20333</v>
      </c>
      <c r="B40" s="39">
        <v>6.6</v>
      </c>
    </row>
    <row r="41" spans="1:2" x14ac:dyDescent="0.25">
      <c r="A41" s="4">
        <v>20424</v>
      </c>
      <c r="B41" s="39">
        <v>6.7</v>
      </c>
    </row>
    <row r="42" spans="1:2" x14ac:dyDescent="0.25">
      <c r="A42" s="4">
        <v>20515</v>
      </c>
      <c r="B42" s="39">
        <v>6.7</v>
      </c>
    </row>
    <row r="43" spans="1:2" x14ac:dyDescent="0.25">
      <c r="A43" s="4">
        <v>20607</v>
      </c>
      <c r="B43" s="39">
        <v>7</v>
      </c>
    </row>
    <row r="44" spans="1:2" x14ac:dyDescent="0.25">
      <c r="A44" s="4">
        <v>20699</v>
      </c>
      <c r="B44" s="39">
        <v>7.1</v>
      </c>
    </row>
    <row r="45" spans="1:2" x14ac:dyDescent="0.25">
      <c r="A45" s="4">
        <v>20790</v>
      </c>
      <c r="B45" s="39">
        <v>7.1</v>
      </c>
    </row>
    <row r="46" spans="1:2" x14ac:dyDescent="0.25">
      <c r="A46" s="4">
        <v>20880</v>
      </c>
      <c r="B46" s="39">
        <v>7.1</v>
      </c>
    </row>
    <row r="47" spans="1:2" x14ac:dyDescent="0.25">
      <c r="A47" s="4">
        <v>20972</v>
      </c>
      <c r="B47" s="39">
        <v>7.2</v>
      </c>
    </row>
    <row r="48" spans="1:2" x14ac:dyDescent="0.25">
      <c r="A48" s="4">
        <v>21064</v>
      </c>
      <c r="B48" s="39">
        <v>7.2</v>
      </c>
    </row>
    <row r="49" spans="1:2" x14ac:dyDescent="0.25">
      <c r="A49" s="4">
        <v>21155</v>
      </c>
      <c r="B49" s="39">
        <v>7.2</v>
      </c>
    </row>
    <row r="50" spans="1:2" x14ac:dyDescent="0.25">
      <c r="A50" s="4">
        <v>21245</v>
      </c>
      <c r="B50" s="39">
        <v>7.2</v>
      </c>
    </row>
    <row r="51" spans="1:2" x14ac:dyDescent="0.25">
      <c r="A51" s="4">
        <v>21337</v>
      </c>
      <c r="B51" s="39">
        <v>7.2</v>
      </c>
    </row>
    <row r="52" spans="1:2" x14ac:dyDescent="0.25">
      <c r="A52" s="4">
        <v>21429</v>
      </c>
      <c r="B52" s="39">
        <v>7.2</v>
      </c>
    </row>
    <row r="53" spans="1:2" x14ac:dyDescent="0.25">
      <c r="A53" s="4">
        <v>21520</v>
      </c>
      <c r="B53" s="39">
        <v>7.3</v>
      </c>
    </row>
    <row r="54" spans="1:2" x14ac:dyDescent="0.25">
      <c r="A54" s="4">
        <v>21610</v>
      </c>
      <c r="B54" s="39">
        <v>7.3</v>
      </c>
    </row>
    <row r="55" spans="1:2" x14ac:dyDescent="0.25">
      <c r="A55" s="4">
        <v>21702</v>
      </c>
      <c r="B55" s="39">
        <v>7.3</v>
      </c>
    </row>
    <row r="56" spans="1:2" x14ac:dyDescent="0.25">
      <c r="A56" s="4">
        <v>21794</v>
      </c>
      <c r="B56" s="39">
        <v>7.4</v>
      </c>
    </row>
    <row r="57" spans="1:2" x14ac:dyDescent="0.25">
      <c r="A57" s="4">
        <v>21885</v>
      </c>
      <c r="B57" s="39">
        <v>7.5</v>
      </c>
    </row>
    <row r="58" spans="1:2" x14ac:dyDescent="0.25">
      <c r="A58" s="4">
        <v>21976</v>
      </c>
      <c r="B58" s="39">
        <v>7.5</v>
      </c>
    </row>
    <row r="59" spans="1:2" x14ac:dyDescent="0.25">
      <c r="A59" s="4">
        <v>22068</v>
      </c>
      <c r="B59" s="39">
        <v>7.6</v>
      </c>
    </row>
    <row r="60" spans="1:2" x14ac:dyDescent="0.25">
      <c r="A60" s="4">
        <v>22160</v>
      </c>
      <c r="B60" s="39">
        <v>7.7</v>
      </c>
    </row>
    <row r="61" spans="1:2" x14ac:dyDescent="0.25">
      <c r="A61" s="4">
        <v>22251</v>
      </c>
      <c r="B61" s="39">
        <v>7.8</v>
      </c>
    </row>
    <row r="62" spans="1:2" x14ac:dyDescent="0.25">
      <c r="A62" s="4">
        <v>22341</v>
      </c>
      <c r="B62" s="39">
        <v>7.8</v>
      </c>
    </row>
    <row r="63" spans="1:2" x14ac:dyDescent="0.25">
      <c r="A63" s="4">
        <v>22433</v>
      </c>
      <c r="B63" s="39">
        <v>7.9</v>
      </c>
    </row>
    <row r="64" spans="1:2" x14ac:dyDescent="0.25">
      <c r="A64" s="4">
        <v>22525</v>
      </c>
      <c r="B64" s="39">
        <v>7.8</v>
      </c>
    </row>
    <row r="65" spans="1:2" x14ac:dyDescent="0.25">
      <c r="A65" s="4">
        <v>22616</v>
      </c>
      <c r="B65" s="39">
        <v>7.8</v>
      </c>
    </row>
    <row r="66" spans="1:2" x14ac:dyDescent="0.25">
      <c r="A66" s="4">
        <v>22706</v>
      </c>
      <c r="B66" s="39">
        <v>7.8</v>
      </c>
    </row>
    <row r="67" spans="1:2" x14ac:dyDescent="0.25">
      <c r="A67" s="4">
        <v>22798</v>
      </c>
      <c r="B67" s="39">
        <v>7.8</v>
      </c>
    </row>
    <row r="68" spans="1:2" x14ac:dyDescent="0.25">
      <c r="A68" s="4">
        <v>22890</v>
      </c>
      <c r="B68" s="39">
        <v>7.8</v>
      </c>
    </row>
    <row r="69" spans="1:2" x14ac:dyDescent="0.25">
      <c r="A69" s="4">
        <v>22981</v>
      </c>
      <c r="B69" s="39">
        <v>7.8</v>
      </c>
    </row>
    <row r="70" spans="1:2" x14ac:dyDescent="0.25">
      <c r="A70" s="4">
        <v>23071</v>
      </c>
      <c r="B70" s="39">
        <v>7.8</v>
      </c>
    </row>
    <row r="71" spans="1:2" x14ac:dyDescent="0.25">
      <c r="A71" s="4">
        <v>23163</v>
      </c>
      <c r="B71" s="39">
        <v>7.8</v>
      </c>
    </row>
    <row r="72" spans="1:2" x14ac:dyDescent="0.25">
      <c r="A72" s="4">
        <v>23255</v>
      </c>
      <c r="B72" s="39">
        <v>7.9</v>
      </c>
    </row>
    <row r="73" spans="1:2" x14ac:dyDescent="0.25">
      <c r="A73" s="4">
        <v>23346</v>
      </c>
      <c r="B73" s="39">
        <v>7.9</v>
      </c>
    </row>
    <row r="74" spans="1:2" x14ac:dyDescent="0.25">
      <c r="A74" s="4">
        <v>23437</v>
      </c>
      <c r="B74" s="39">
        <v>8</v>
      </c>
    </row>
    <row r="75" spans="1:2" x14ac:dyDescent="0.25">
      <c r="A75" s="4">
        <v>23529</v>
      </c>
      <c r="B75" s="39">
        <v>8</v>
      </c>
    </row>
    <row r="76" spans="1:2" x14ac:dyDescent="0.25">
      <c r="A76" s="4">
        <v>23621</v>
      </c>
      <c r="B76" s="39">
        <v>8.1</v>
      </c>
    </row>
    <row r="77" spans="1:2" x14ac:dyDescent="0.25">
      <c r="A77" s="4">
        <v>23712</v>
      </c>
      <c r="B77" s="39">
        <v>8.1999999999999993</v>
      </c>
    </row>
    <row r="78" spans="1:2" x14ac:dyDescent="0.25">
      <c r="A78" s="4">
        <v>23802</v>
      </c>
      <c r="B78" s="39">
        <v>8.1999999999999993</v>
      </c>
    </row>
    <row r="79" spans="1:2" x14ac:dyDescent="0.25">
      <c r="A79" s="4">
        <v>23894</v>
      </c>
      <c r="B79" s="39">
        <v>8.3000000000000007</v>
      </c>
    </row>
    <row r="80" spans="1:2" x14ac:dyDescent="0.25">
      <c r="A80" s="4">
        <v>23986</v>
      </c>
      <c r="B80" s="39">
        <v>8.4</v>
      </c>
    </row>
    <row r="81" spans="1:2" x14ac:dyDescent="0.25">
      <c r="A81" s="4">
        <v>24077</v>
      </c>
      <c r="B81" s="39">
        <v>8.5</v>
      </c>
    </row>
    <row r="82" spans="1:2" x14ac:dyDescent="0.25">
      <c r="A82" s="4">
        <v>24167</v>
      </c>
      <c r="B82" s="39">
        <v>8.6</v>
      </c>
    </row>
    <row r="83" spans="1:2" x14ac:dyDescent="0.25">
      <c r="A83" s="4">
        <v>24259</v>
      </c>
      <c r="B83" s="39">
        <v>8.6</v>
      </c>
    </row>
    <row r="84" spans="1:2" x14ac:dyDescent="0.25">
      <c r="A84" s="4">
        <v>24351</v>
      </c>
      <c r="B84" s="39">
        <v>8.6</v>
      </c>
    </row>
    <row r="85" spans="1:2" x14ac:dyDescent="0.25">
      <c r="A85" s="4">
        <v>24442</v>
      </c>
      <c r="B85" s="39">
        <v>8.6999999999999993</v>
      </c>
    </row>
    <row r="86" spans="1:2" x14ac:dyDescent="0.25">
      <c r="A86" s="4">
        <v>24532</v>
      </c>
      <c r="B86" s="39">
        <v>8.8000000000000007</v>
      </c>
    </row>
    <row r="87" spans="1:2" x14ac:dyDescent="0.25">
      <c r="A87" s="4">
        <v>24624</v>
      </c>
      <c r="B87" s="39">
        <v>8.9</v>
      </c>
    </row>
    <row r="88" spans="1:2" x14ac:dyDescent="0.25">
      <c r="A88" s="4">
        <v>24716</v>
      </c>
      <c r="B88" s="39">
        <v>9</v>
      </c>
    </row>
    <row r="89" spans="1:2" x14ac:dyDescent="0.25">
      <c r="A89" s="4">
        <v>24807</v>
      </c>
      <c r="B89" s="39">
        <v>9</v>
      </c>
    </row>
    <row r="90" spans="1:2" x14ac:dyDescent="0.25">
      <c r="A90" s="4">
        <v>24898</v>
      </c>
      <c r="B90" s="39">
        <v>9.1</v>
      </c>
    </row>
    <row r="91" spans="1:2" x14ac:dyDescent="0.25">
      <c r="A91" s="4">
        <v>24990</v>
      </c>
      <c r="B91" s="39">
        <v>9.1</v>
      </c>
    </row>
    <row r="92" spans="1:2" x14ac:dyDescent="0.25">
      <c r="A92" s="4">
        <v>25082</v>
      </c>
      <c r="B92" s="39">
        <v>9.1999999999999993</v>
      </c>
    </row>
    <row r="93" spans="1:2" x14ac:dyDescent="0.25">
      <c r="A93" s="4">
        <v>25173</v>
      </c>
      <c r="B93" s="39">
        <v>9.1999999999999993</v>
      </c>
    </row>
    <row r="94" spans="1:2" x14ac:dyDescent="0.25">
      <c r="A94" s="4">
        <v>25263</v>
      </c>
      <c r="B94" s="39">
        <v>9.4</v>
      </c>
    </row>
    <row r="95" spans="1:2" x14ac:dyDescent="0.25">
      <c r="A95" s="4">
        <v>25355</v>
      </c>
      <c r="B95" s="39">
        <v>9.4</v>
      </c>
    </row>
    <row r="96" spans="1:2" x14ac:dyDescent="0.25">
      <c r="A96" s="4">
        <v>25447</v>
      </c>
      <c r="B96" s="39">
        <v>9.5</v>
      </c>
    </row>
    <row r="97" spans="1:2" x14ac:dyDescent="0.25">
      <c r="A97" s="4">
        <v>25538</v>
      </c>
      <c r="B97" s="39">
        <v>9.5</v>
      </c>
    </row>
    <row r="98" spans="1:2" x14ac:dyDescent="0.25">
      <c r="A98" s="4">
        <v>25628</v>
      </c>
      <c r="B98" s="39">
        <v>9.6</v>
      </c>
    </row>
    <row r="99" spans="1:2" x14ac:dyDescent="0.25">
      <c r="A99" s="4">
        <v>25720</v>
      </c>
      <c r="B99" s="39">
        <v>9.6999999999999993</v>
      </c>
    </row>
    <row r="100" spans="1:2" x14ac:dyDescent="0.25">
      <c r="A100" s="4">
        <v>25812</v>
      </c>
      <c r="B100" s="39">
        <v>9.8000000000000007</v>
      </c>
    </row>
    <row r="101" spans="1:2" x14ac:dyDescent="0.25">
      <c r="A101" s="4">
        <v>25903</v>
      </c>
      <c r="B101" s="39">
        <v>10</v>
      </c>
    </row>
    <row r="102" spans="1:2" x14ac:dyDescent="0.25">
      <c r="A102" s="4">
        <v>25993</v>
      </c>
      <c r="B102" s="39">
        <v>10.1</v>
      </c>
    </row>
    <row r="103" spans="1:2" x14ac:dyDescent="0.25">
      <c r="A103" s="4">
        <v>26085</v>
      </c>
      <c r="B103" s="39">
        <v>10.199999999999999</v>
      </c>
    </row>
    <row r="104" spans="1:2" x14ac:dyDescent="0.25">
      <c r="A104" s="4">
        <v>26177</v>
      </c>
      <c r="B104" s="39">
        <v>10.5</v>
      </c>
    </row>
    <row r="105" spans="1:2" x14ac:dyDescent="0.25">
      <c r="A105" s="4">
        <v>26268</v>
      </c>
      <c r="B105" s="39">
        <v>10.7</v>
      </c>
    </row>
    <row r="106" spans="1:2" x14ac:dyDescent="0.25">
      <c r="A106" s="4">
        <v>26359</v>
      </c>
      <c r="B106" s="39">
        <v>10.8</v>
      </c>
    </row>
    <row r="107" spans="1:2" x14ac:dyDescent="0.25">
      <c r="A107" s="4">
        <v>26451</v>
      </c>
      <c r="B107" s="39">
        <v>10.9</v>
      </c>
    </row>
    <row r="108" spans="1:2" x14ac:dyDescent="0.25">
      <c r="A108" s="4">
        <v>26543</v>
      </c>
      <c r="B108" s="39">
        <v>11.1</v>
      </c>
    </row>
    <row r="109" spans="1:2" x14ac:dyDescent="0.25">
      <c r="A109" s="4">
        <v>26634</v>
      </c>
      <c r="B109" s="39">
        <v>11.2</v>
      </c>
    </row>
    <row r="110" spans="1:2" x14ac:dyDescent="0.25">
      <c r="A110" s="4">
        <v>26724</v>
      </c>
      <c r="B110" s="39">
        <v>11.4</v>
      </c>
    </row>
    <row r="111" spans="1:2" x14ac:dyDescent="0.25">
      <c r="A111" s="4">
        <v>26816</v>
      </c>
      <c r="B111" s="39">
        <v>11.8</v>
      </c>
    </row>
    <row r="112" spans="1:2" x14ac:dyDescent="0.25">
      <c r="A112" s="4">
        <v>26908</v>
      </c>
      <c r="B112" s="39">
        <v>12.2</v>
      </c>
    </row>
    <row r="113" spans="1:2" x14ac:dyDescent="0.25">
      <c r="A113" s="4">
        <v>26999</v>
      </c>
      <c r="B113" s="39">
        <v>12.6</v>
      </c>
    </row>
    <row r="114" spans="1:2" x14ac:dyDescent="0.25">
      <c r="A114" s="4">
        <v>27089</v>
      </c>
      <c r="B114" s="39">
        <v>13</v>
      </c>
    </row>
    <row r="115" spans="1:2" x14ac:dyDescent="0.25">
      <c r="A115" s="4">
        <v>27181</v>
      </c>
      <c r="B115" s="39">
        <v>13.5</v>
      </c>
    </row>
    <row r="116" spans="1:2" x14ac:dyDescent="0.25">
      <c r="A116" s="4">
        <v>27273</v>
      </c>
      <c r="B116" s="39">
        <v>14.2</v>
      </c>
    </row>
    <row r="117" spans="1:2" x14ac:dyDescent="0.25">
      <c r="A117" s="4">
        <v>27364</v>
      </c>
      <c r="B117" s="39">
        <v>14.7</v>
      </c>
    </row>
    <row r="118" spans="1:2" x14ac:dyDescent="0.25">
      <c r="A118" s="4">
        <v>27454</v>
      </c>
      <c r="B118" s="39">
        <v>15.3</v>
      </c>
    </row>
    <row r="119" spans="1:2" x14ac:dyDescent="0.25">
      <c r="A119" s="4">
        <v>27546</v>
      </c>
      <c r="B119" s="39">
        <v>15.8</v>
      </c>
    </row>
    <row r="120" spans="1:2" x14ac:dyDescent="0.25">
      <c r="A120" s="4">
        <v>27638</v>
      </c>
      <c r="B120" s="39">
        <v>15.9</v>
      </c>
    </row>
    <row r="121" spans="1:2" x14ac:dyDescent="0.25">
      <c r="A121" s="4">
        <v>27729</v>
      </c>
      <c r="B121" s="39">
        <v>16.8</v>
      </c>
    </row>
    <row r="122" spans="1:2" x14ac:dyDescent="0.25">
      <c r="A122" s="4">
        <v>27820</v>
      </c>
      <c r="B122" s="39">
        <v>17.3</v>
      </c>
    </row>
    <row r="123" spans="1:2" x14ac:dyDescent="0.25">
      <c r="A123" s="4">
        <v>27912</v>
      </c>
      <c r="B123" s="39">
        <v>17.7</v>
      </c>
    </row>
    <row r="124" spans="1:2" x14ac:dyDescent="0.25">
      <c r="A124" s="4">
        <v>28004</v>
      </c>
      <c r="B124" s="39">
        <v>18.100000000000001</v>
      </c>
    </row>
    <row r="125" spans="1:2" x14ac:dyDescent="0.25">
      <c r="A125" s="4">
        <v>28095</v>
      </c>
      <c r="B125" s="39">
        <v>19.2</v>
      </c>
    </row>
    <row r="126" spans="1:2" x14ac:dyDescent="0.25">
      <c r="A126" s="4">
        <v>28185</v>
      </c>
      <c r="B126" s="39">
        <v>19.600000000000001</v>
      </c>
    </row>
    <row r="127" spans="1:2" x14ac:dyDescent="0.25">
      <c r="A127" s="4">
        <v>28277</v>
      </c>
      <c r="B127" s="39">
        <v>20.100000000000001</v>
      </c>
    </row>
    <row r="128" spans="1:2" x14ac:dyDescent="0.25">
      <c r="A128" s="4">
        <v>28369</v>
      </c>
      <c r="B128" s="39">
        <v>20.5</v>
      </c>
    </row>
    <row r="129" spans="1:2" x14ac:dyDescent="0.25">
      <c r="A129" s="4">
        <v>28460</v>
      </c>
      <c r="B129" s="39">
        <v>21</v>
      </c>
    </row>
    <row r="130" spans="1:2" x14ac:dyDescent="0.25">
      <c r="A130" s="4">
        <v>28550</v>
      </c>
      <c r="B130" s="39">
        <v>21.3</v>
      </c>
    </row>
    <row r="131" spans="1:2" x14ac:dyDescent="0.25">
      <c r="A131" s="4">
        <v>28642</v>
      </c>
      <c r="B131" s="39">
        <v>21.7</v>
      </c>
    </row>
    <row r="132" spans="1:2" x14ac:dyDescent="0.25">
      <c r="A132" s="4">
        <v>28734</v>
      </c>
      <c r="B132" s="39">
        <v>22.1</v>
      </c>
    </row>
    <row r="133" spans="1:2" x14ac:dyDescent="0.25">
      <c r="A133" s="4">
        <v>28825</v>
      </c>
      <c r="B133" s="39">
        <v>22.6</v>
      </c>
    </row>
    <row r="134" spans="1:2" x14ac:dyDescent="0.25">
      <c r="A134" s="4">
        <v>28915</v>
      </c>
      <c r="B134" s="39">
        <v>23</v>
      </c>
    </row>
    <row r="135" spans="1:2" x14ac:dyDescent="0.25">
      <c r="A135" s="4">
        <v>29007</v>
      </c>
      <c r="B135" s="39">
        <v>23.6</v>
      </c>
    </row>
    <row r="136" spans="1:2" x14ac:dyDescent="0.25">
      <c r="A136" s="4">
        <v>29099</v>
      </c>
      <c r="B136" s="39">
        <v>24.2</v>
      </c>
    </row>
    <row r="137" spans="1:2" x14ac:dyDescent="0.25">
      <c r="A137" s="4">
        <v>29190</v>
      </c>
      <c r="B137" s="39">
        <v>24.9</v>
      </c>
    </row>
    <row r="138" spans="1:2" x14ac:dyDescent="0.25">
      <c r="A138" s="4">
        <v>29281</v>
      </c>
      <c r="B138" s="39">
        <v>25.4</v>
      </c>
    </row>
    <row r="139" spans="1:2" x14ac:dyDescent="0.25">
      <c r="A139" s="4">
        <v>29373</v>
      </c>
      <c r="B139" s="39">
        <v>26.2</v>
      </c>
    </row>
    <row r="140" spans="1:2" x14ac:dyDescent="0.25">
      <c r="A140" s="4">
        <v>29465</v>
      </c>
      <c r="B140" s="39">
        <v>26.6</v>
      </c>
    </row>
    <row r="141" spans="1:2" x14ac:dyDescent="0.25">
      <c r="A141" s="4">
        <v>29556</v>
      </c>
      <c r="B141" s="39">
        <v>27.2</v>
      </c>
    </row>
    <row r="142" spans="1:2" x14ac:dyDescent="0.25">
      <c r="A142" s="4">
        <v>29646</v>
      </c>
      <c r="B142" s="39">
        <v>27.8</v>
      </c>
    </row>
    <row r="143" spans="1:2" x14ac:dyDescent="0.25">
      <c r="A143" s="4">
        <v>29738</v>
      </c>
      <c r="B143" s="39">
        <v>28.4</v>
      </c>
    </row>
    <row r="144" spans="1:2" x14ac:dyDescent="0.25">
      <c r="A144" s="4">
        <v>29830</v>
      </c>
      <c r="B144" s="39">
        <v>29</v>
      </c>
    </row>
    <row r="145" spans="1:2" x14ac:dyDescent="0.25">
      <c r="A145" s="4">
        <v>29921</v>
      </c>
      <c r="B145" s="39">
        <v>30.2</v>
      </c>
    </row>
    <row r="146" spans="1:2" x14ac:dyDescent="0.25">
      <c r="A146" s="4">
        <v>30011</v>
      </c>
      <c r="B146" s="39">
        <v>30.8</v>
      </c>
    </row>
    <row r="147" spans="1:2" x14ac:dyDescent="0.25">
      <c r="A147" s="4">
        <v>30103</v>
      </c>
      <c r="B147" s="39">
        <v>31.5</v>
      </c>
    </row>
    <row r="148" spans="1:2" x14ac:dyDescent="0.25">
      <c r="A148" s="4">
        <v>30195</v>
      </c>
      <c r="B148" s="39">
        <v>32.6</v>
      </c>
    </row>
    <row r="149" spans="1:2" x14ac:dyDescent="0.25">
      <c r="A149" s="4">
        <v>30286</v>
      </c>
      <c r="B149" s="39">
        <v>33.6</v>
      </c>
    </row>
    <row r="150" spans="1:2" x14ac:dyDescent="0.25">
      <c r="A150" s="4">
        <v>30376</v>
      </c>
      <c r="B150" s="39">
        <v>34.299999999999997</v>
      </c>
    </row>
    <row r="151" spans="1:2" x14ac:dyDescent="0.25">
      <c r="A151" s="4">
        <v>30468</v>
      </c>
      <c r="B151" s="39">
        <v>35</v>
      </c>
    </row>
    <row r="152" spans="1:2" x14ac:dyDescent="0.25">
      <c r="A152" s="4">
        <v>30560</v>
      </c>
      <c r="B152" s="39">
        <v>35.6</v>
      </c>
    </row>
    <row r="153" spans="1:2" x14ac:dyDescent="0.25">
      <c r="A153" s="4">
        <v>30651</v>
      </c>
      <c r="B153" s="39">
        <v>36.5</v>
      </c>
    </row>
    <row r="154" spans="1:2" x14ac:dyDescent="0.25">
      <c r="A154" s="4">
        <v>30742</v>
      </c>
      <c r="B154" s="39">
        <v>36.299999999999997</v>
      </c>
    </row>
    <row r="155" spans="1:2" x14ac:dyDescent="0.25">
      <c r="A155" s="4">
        <v>30834</v>
      </c>
      <c r="B155" s="39">
        <v>36.4</v>
      </c>
    </row>
    <row r="156" spans="1:2" x14ac:dyDescent="0.25">
      <c r="A156" s="4">
        <v>30926</v>
      </c>
      <c r="B156" s="39">
        <v>36.9</v>
      </c>
    </row>
    <row r="157" spans="1:2" x14ac:dyDescent="0.25">
      <c r="A157" s="4">
        <v>31017</v>
      </c>
      <c r="B157" s="39">
        <v>37.4</v>
      </c>
    </row>
    <row r="158" spans="1:2" x14ac:dyDescent="0.25">
      <c r="A158" s="4">
        <v>31107</v>
      </c>
      <c r="B158" s="39">
        <v>37.9</v>
      </c>
    </row>
    <row r="159" spans="1:2" x14ac:dyDescent="0.25">
      <c r="A159" s="4">
        <v>31199</v>
      </c>
      <c r="B159" s="39">
        <v>38.799999999999997</v>
      </c>
    </row>
    <row r="160" spans="1:2" x14ac:dyDescent="0.25">
      <c r="A160" s="4">
        <v>31291</v>
      </c>
      <c r="B160" s="39">
        <v>39.700000000000003</v>
      </c>
    </row>
    <row r="161" spans="1:2" x14ac:dyDescent="0.25">
      <c r="A161" s="4">
        <v>31382</v>
      </c>
      <c r="B161" s="39">
        <v>40.5</v>
      </c>
    </row>
    <row r="162" spans="1:2" x14ac:dyDescent="0.25">
      <c r="A162" s="4">
        <v>31472</v>
      </c>
      <c r="B162" s="39">
        <v>41.4</v>
      </c>
    </row>
    <row r="163" spans="1:2" x14ac:dyDescent="0.25">
      <c r="A163" s="4">
        <v>31564</v>
      </c>
      <c r="B163" s="39">
        <v>42.1</v>
      </c>
    </row>
    <row r="164" spans="1:2" x14ac:dyDescent="0.25">
      <c r="A164" s="4">
        <v>31656</v>
      </c>
      <c r="B164" s="39">
        <v>43.2</v>
      </c>
    </row>
    <row r="165" spans="1:2" x14ac:dyDescent="0.25">
      <c r="A165" s="4">
        <v>31747</v>
      </c>
      <c r="B165" s="39">
        <v>44.4</v>
      </c>
    </row>
    <row r="166" spans="1:2" x14ac:dyDescent="0.25">
      <c r="A166" s="4">
        <v>31837</v>
      </c>
      <c r="B166" s="39">
        <v>45.3</v>
      </c>
    </row>
    <row r="167" spans="1:2" x14ac:dyDescent="0.25">
      <c r="A167" s="4">
        <v>31929</v>
      </c>
      <c r="B167" s="39">
        <v>46</v>
      </c>
    </row>
    <row r="168" spans="1:2" x14ac:dyDescent="0.25">
      <c r="A168" s="4">
        <v>32021</v>
      </c>
      <c r="B168" s="39">
        <v>46.8</v>
      </c>
    </row>
    <row r="169" spans="1:2" x14ac:dyDescent="0.25">
      <c r="A169" s="4">
        <v>32112</v>
      </c>
      <c r="B169" s="39">
        <v>47.6</v>
      </c>
    </row>
    <row r="170" spans="1:2" x14ac:dyDescent="0.25">
      <c r="A170" s="4">
        <v>32203</v>
      </c>
      <c r="B170" s="39">
        <v>48.4</v>
      </c>
    </row>
    <row r="171" spans="1:2" x14ac:dyDescent="0.25">
      <c r="A171" s="4">
        <v>32295</v>
      </c>
      <c r="B171" s="39">
        <v>49.3</v>
      </c>
    </row>
    <row r="172" spans="1:2" x14ac:dyDescent="0.25">
      <c r="A172" s="4">
        <v>32387</v>
      </c>
      <c r="B172" s="39">
        <v>50.2</v>
      </c>
    </row>
    <row r="173" spans="1:2" x14ac:dyDescent="0.25">
      <c r="A173" s="4">
        <v>32478</v>
      </c>
      <c r="B173" s="39">
        <v>51.2</v>
      </c>
    </row>
    <row r="174" spans="1:2" x14ac:dyDescent="0.25">
      <c r="A174" s="4">
        <v>32568</v>
      </c>
      <c r="B174" s="39">
        <v>51.7</v>
      </c>
    </row>
    <row r="175" spans="1:2" x14ac:dyDescent="0.25">
      <c r="A175" s="4">
        <v>32660</v>
      </c>
      <c r="B175" s="39">
        <v>53</v>
      </c>
    </row>
    <row r="176" spans="1:2" x14ac:dyDescent="0.25">
      <c r="A176" s="4">
        <v>32752</v>
      </c>
      <c r="B176" s="39">
        <v>54.2</v>
      </c>
    </row>
    <row r="177" spans="1:2" x14ac:dyDescent="0.25">
      <c r="A177" s="4">
        <v>32843</v>
      </c>
      <c r="B177" s="39">
        <v>55.2</v>
      </c>
    </row>
    <row r="178" spans="1:2" x14ac:dyDescent="0.25">
      <c r="A178" s="4">
        <v>32933</v>
      </c>
      <c r="B178" s="39">
        <v>56.2</v>
      </c>
    </row>
    <row r="179" spans="1:2" x14ac:dyDescent="0.25">
      <c r="A179" s="4">
        <v>33025</v>
      </c>
      <c r="B179" s="39">
        <v>57.1</v>
      </c>
    </row>
    <row r="180" spans="1:2" x14ac:dyDescent="0.25">
      <c r="A180" s="4">
        <v>33117</v>
      </c>
      <c r="B180" s="39">
        <v>57.5</v>
      </c>
    </row>
    <row r="181" spans="1:2" x14ac:dyDescent="0.25">
      <c r="A181" s="4">
        <v>33208</v>
      </c>
      <c r="B181" s="39">
        <v>59</v>
      </c>
    </row>
    <row r="182" spans="1:2" x14ac:dyDescent="0.25">
      <c r="A182" s="4">
        <v>33298</v>
      </c>
      <c r="B182" s="39">
        <v>58.9</v>
      </c>
    </row>
    <row r="183" spans="1:2" x14ac:dyDescent="0.25">
      <c r="A183" s="4">
        <v>33390</v>
      </c>
      <c r="B183" s="39">
        <v>59</v>
      </c>
    </row>
    <row r="184" spans="1:2" x14ac:dyDescent="0.25">
      <c r="A184" s="4">
        <v>33482</v>
      </c>
      <c r="B184" s="39">
        <v>59.3</v>
      </c>
    </row>
    <row r="185" spans="1:2" x14ac:dyDescent="0.25">
      <c r="A185" s="4">
        <v>33573</v>
      </c>
      <c r="B185" s="39">
        <v>59.9</v>
      </c>
    </row>
    <row r="186" spans="1:2" x14ac:dyDescent="0.25">
      <c r="A186" s="4">
        <v>33664</v>
      </c>
      <c r="B186" s="39">
        <v>59.9</v>
      </c>
    </row>
    <row r="187" spans="1:2" x14ac:dyDescent="0.25">
      <c r="A187" s="4">
        <v>33756</v>
      </c>
      <c r="B187" s="39">
        <v>59.7</v>
      </c>
    </row>
    <row r="188" spans="1:2" x14ac:dyDescent="0.25">
      <c r="A188" s="4">
        <v>33848</v>
      </c>
      <c r="B188" s="39">
        <v>59.8</v>
      </c>
    </row>
    <row r="189" spans="1:2" x14ac:dyDescent="0.25">
      <c r="A189" s="4">
        <v>33939</v>
      </c>
      <c r="B189" s="39">
        <v>60.1</v>
      </c>
    </row>
    <row r="190" spans="1:2" x14ac:dyDescent="0.25">
      <c r="A190" s="4">
        <v>34029</v>
      </c>
      <c r="B190" s="39">
        <v>60.6</v>
      </c>
    </row>
    <row r="191" spans="1:2" x14ac:dyDescent="0.25">
      <c r="A191" s="4">
        <v>34121</v>
      </c>
      <c r="B191" s="39">
        <v>60.8</v>
      </c>
    </row>
    <row r="192" spans="1:2" x14ac:dyDescent="0.25">
      <c r="A192" s="4">
        <v>34213</v>
      </c>
      <c r="B192" s="39">
        <v>61.1</v>
      </c>
    </row>
    <row r="193" spans="1:2" x14ac:dyDescent="0.25">
      <c r="A193" s="4">
        <v>34304</v>
      </c>
      <c r="B193" s="39">
        <v>61.2</v>
      </c>
    </row>
    <row r="194" spans="1:2" x14ac:dyDescent="0.25">
      <c r="A194" s="4">
        <v>34394</v>
      </c>
      <c r="B194" s="39">
        <v>61.5</v>
      </c>
    </row>
    <row r="195" spans="1:2" x14ac:dyDescent="0.25">
      <c r="A195" s="4">
        <v>34486</v>
      </c>
      <c r="B195" s="39">
        <v>61.9</v>
      </c>
    </row>
    <row r="196" spans="1:2" x14ac:dyDescent="0.25">
      <c r="A196" s="4">
        <v>34578</v>
      </c>
      <c r="B196" s="39">
        <v>62.3</v>
      </c>
    </row>
    <row r="197" spans="1:2" x14ac:dyDescent="0.25">
      <c r="A197" s="4">
        <v>34669</v>
      </c>
      <c r="B197" s="39">
        <v>62.8</v>
      </c>
    </row>
    <row r="198" spans="1:2" x14ac:dyDescent="0.25">
      <c r="A198" s="4">
        <v>34759</v>
      </c>
      <c r="B198" s="39">
        <v>63.8</v>
      </c>
    </row>
    <row r="199" spans="1:2" x14ac:dyDescent="0.25">
      <c r="A199" s="4">
        <v>34851</v>
      </c>
      <c r="B199" s="39">
        <v>64.7</v>
      </c>
    </row>
    <row r="200" spans="1:2" x14ac:dyDescent="0.25">
      <c r="A200" s="4">
        <v>34943</v>
      </c>
      <c r="B200" s="39">
        <v>65.5</v>
      </c>
    </row>
    <row r="201" spans="1:2" x14ac:dyDescent="0.25">
      <c r="A201" s="4">
        <v>35034</v>
      </c>
      <c r="B201" s="39">
        <v>66</v>
      </c>
    </row>
    <row r="202" spans="1:2" x14ac:dyDescent="0.25">
      <c r="A202" s="4">
        <v>35125</v>
      </c>
      <c r="B202" s="39">
        <v>66.2</v>
      </c>
    </row>
    <row r="203" spans="1:2" x14ac:dyDescent="0.25">
      <c r="A203" s="4">
        <v>35217</v>
      </c>
      <c r="B203" s="39">
        <v>66.7</v>
      </c>
    </row>
    <row r="204" spans="1:2" x14ac:dyDescent="0.25">
      <c r="A204" s="4">
        <v>35309</v>
      </c>
      <c r="B204" s="39">
        <v>66.900000000000006</v>
      </c>
    </row>
    <row r="205" spans="1:2" x14ac:dyDescent="0.25">
      <c r="A205" s="4">
        <v>35400</v>
      </c>
      <c r="B205" s="39">
        <v>67</v>
      </c>
    </row>
    <row r="206" spans="1:2" x14ac:dyDescent="0.25">
      <c r="A206" s="4">
        <v>35490</v>
      </c>
      <c r="B206" s="39">
        <v>67.099999999999994</v>
      </c>
    </row>
    <row r="207" spans="1:2" x14ac:dyDescent="0.25">
      <c r="A207" s="4">
        <v>35582</v>
      </c>
      <c r="B207" s="39">
        <v>66.900000000000006</v>
      </c>
    </row>
    <row r="208" spans="1:2" x14ac:dyDescent="0.25">
      <c r="A208" s="4">
        <v>35674</v>
      </c>
      <c r="B208" s="39">
        <v>66.599999999999994</v>
      </c>
    </row>
    <row r="209" spans="1:2" x14ac:dyDescent="0.25">
      <c r="A209" s="4">
        <v>35765</v>
      </c>
      <c r="B209" s="39">
        <v>66.8</v>
      </c>
    </row>
    <row r="210" spans="1:2" x14ac:dyDescent="0.25">
      <c r="A210" s="4">
        <v>35855</v>
      </c>
      <c r="B210" s="39">
        <v>67</v>
      </c>
    </row>
    <row r="211" spans="1:2" x14ac:dyDescent="0.25">
      <c r="A211" s="4">
        <v>35947</v>
      </c>
      <c r="B211" s="39">
        <v>67.400000000000006</v>
      </c>
    </row>
    <row r="212" spans="1:2" x14ac:dyDescent="0.25">
      <c r="A212" s="4">
        <v>36039</v>
      </c>
      <c r="B212" s="39">
        <v>67.5</v>
      </c>
    </row>
    <row r="213" spans="1:2" x14ac:dyDescent="0.25">
      <c r="A213" s="4">
        <v>36130</v>
      </c>
      <c r="B213" s="39">
        <v>67.8</v>
      </c>
    </row>
    <row r="214" spans="1:2" x14ac:dyDescent="0.25">
      <c r="A214" s="4">
        <v>36220</v>
      </c>
      <c r="B214" s="39">
        <v>67.8</v>
      </c>
    </row>
    <row r="215" spans="1:2" x14ac:dyDescent="0.25">
      <c r="A215" s="4">
        <v>36312</v>
      </c>
      <c r="B215" s="39">
        <v>68.099999999999994</v>
      </c>
    </row>
    <row r="216" spans="1:2" x14ac:dyDescent="0.25">
      <c r="A216" s="4">
        <v>36404</v>
      </c>
      <c r="B216" s="39">
        <v>68.7</v>
      </c>
    </row>
    <row r="217" spans="1:2" x14ac:dyDescent="0.25">
      <c r="A217" s="4">
        <v>36495</v>
      </c>
      <c r="B217" s="39">
        <v>69.099999999999994</v>
      </c>
    </row>
    <row r="218" spans="1:2" x14ac:dyDescent="0.25">
      <c r="A218" s="4">
        <v>36586</v>
      </c>
      <c r="B218" s="39">
        <v>69.7</v>
      </c>
    </row>
    <row r="219" spans="1:2" x14ac:dyDescent="0.25">
      <c r="A219" s="4">
        <v>36678</v>
      </c>
      <c r="B219" s="39">
        <v>70.2</v>
      </c>
    </row>
    <row r="220" spans="1:2" x14ac:dyDescent="0.25">
      <c r="A220" s="4">
        <v>36770</v>
      </c>
      <c r="B220" s="39">
        <v>72.900000000000006</v>
      </c>
    </row>
    <row r="221" spans="1:2" x14ac:dyDescent="0.25">
      <c r="A221" s="4">
        <v>36861</v>
      </c>
      <c r="B221" s="39">
        <v>73.099999999999994</v>
      </c>
    </row>
    <row r="222" spans="1:2" x14ac:dyDescent="0.25">
      <c r="A222" s="4">
        <v>36951</v>
      </c>
      <c r="B222" s="39">
        <v>73.900000000000006</v>
      </c>
    </row>
    <row r="223" spans="1:2" x14ac:dyDescent="0.25">
      <c r="A223" s="4">
        <v>37043</v>
      </c>
      <c r="B223" s="39">
        <v>74.5</v>
      </c>
    </row>
    <row r="224" spans="1:2" x14ac:dyDescent="0.25">
      <c r="A224" s="4">
        <v>37135</v>
      </c>
      <c r="B224" s="39">
        <v>74.7</v>
      </c>
    </row>
    <row r="225" spans="1:2" x14ac:dyDescent="0.25">
      <c r="A225" s="4">
        <v>37226</v>
      </c>
      <c r="B225" s="39">
        <v>75.400000000000006</v>
      </c>
    </row>
    <row r="226" spans="1:2" x14ac:dyDescent="0.25">
      <c r="A226" s="4">
        <v>37316</v>
      </c>
      <c r="B226" s="39">
        <v>76.099999999999994</v>
      </c>
    </row>
    <row r="227" spans="1:2" x14ac:dyDescent="0.25">
      <c r="A227" s="4">
        <v>37408</v>
      </c>
      <c r="B227" s="39">
        <v>76.599999999999994</v>
      </c>
    </row>
    <row r="228" spans="1:2" x14ac:dyDescent="0.25">
      <c r="A228" s="4">
        <v>37500</v>
      </c>
      <c r="B228" s="39">
        <v>77.099999999999994</v>
      </c>
    </row>
    <row r="229" spans="1:2" x14ac:dyDescent="0.25">
      <c r="A229" s="4">
        <v>37591</v>
      </c>
      <c r="B229" s="39">
        <v>77.599999999999994</v>
      </c>
    </row>
    <row r="230" spans="1:2" x14ac:dyDescent="0.25">
      <c r="A230" s="4">
        <v>37681</v>
      </c>
      <c r="B230" s="39">
        <v>78.599999999999994</v>
      </c>
    </row>
    <row r="231" spans="1:2" x14ac:dyDescent="0.25">
      <c r="A231" s="4">
        <v>37773</v>
      </c>
      <c r="B231" s="39">
        <v>78.599999999999994</v>
      </c>
    </row>
    <row r="232" spans="1:2" x14ac:dyDescent="0.25">
      <c r="A232" s="4">
        <v>37865</v>
      </c>
      <c r="B232" s="39">
        <v>79.099999999999994</v>
      </c>
    </row>
    <row r="233" spans="1:2" x14ac:dyDescent="0.25">
      <c r="A233" s="4">
        <v>37956</v>
      </c>
      <c r="B233" s="39">
        <v>79.5</v>
      </c>
    </row>
    <row r="234" spans="1:2" x14ac:dyDescent="0.25">
      <c r="A234" s="4">
        <v>38047</v>
      </c>
      <c r="B234" s="39">
        <v>80.2</v>
      </c>
    </row>
    <row r="235" spans="1:2" x14ac:dyDescent="0.25">
      <c r="A235" s="4">
        <v>38139</v>
      </c>
      <c r="B235" s="39">
        <v>80.599999999999994</v>
      </c>
    </row>
    <row r="236" spans="1:2" x14ac:dyDescent="0.25">
      <c r="A236" s="4">
        <v>38231</v>
      </c>
      <c r="B236" s="39">
        <v>80.900000000000006</v>
      </c>
    </row>
    <row r="237" spans="1:2" x14ac:dyDescent="0.25">
      <c r="A237" s="4">
        <v>38322</v>
      </c>
      <c r="B237" s="39">
        <v>81.5</v>
      </c>
    </row>
    <row r="238" spans="1:2" x14ac:dyDescent="0.25">
      <c r="A238" s="4">
        <v>38412</v>
      </c>
      <c r="B238" s="39">
        <v>82.1</v>
      </c>
    </row>
    <row r="239" spans="1:2" x14ac:dyDescent="0.25">
      <c r="A239" s="4">
        <v>38504</v>
      </c>
      <c r="B239" s="39">
        <v>82.6</v>
      </c>
    </row>
    <row r="240" spans="1:2" x14ac:dyDescent="0.25">
      <c r="A240" s="4">
        <v>38596</v>
      </c>
      <c r="B240" s="39">
        <v>83.4</v>
      </c>
    </row>
    <row r="241" spans="1:2" x14ac:dyDescent="0.25">
      <c r="A241" s="4">
        <v>38687</v>
      </c>
      <c r="B241" s="39">
        <v>83.8</v>
      </c>
    </row>
    <row r="242" spans="1:2" x14ac:dyDescent="0.25">
      <c r="A242" s="4">
        <v>38777</v>
      </c>
      <c r="B242" s="39">
        <v>84.5</v>
      </c>
    </row>
    <row r="243" spans="1:2" x14ac:dyDescent="0.25">
      <c r="A243" s="4">
        <v>38869</v>
      </c>
      <c r="B243" s="39">
        <v>85.9</v>
      </c>
    </row>
    <row r="244" spans="1:2" x14ac:dyDescent="0.25">
      <c r="A244" s="4">
        <v>38961</v>
      </c>
      <c r="B244" s="39">
        <v>86.7</v>
      </c>
    </row>
    <row r="245" spans="1:2" x14ac:dyDescent="0.25">
      <c r="A245" s="4">
        <v>39052</v>
      </c>
      <c r="B245" s="39">
        <v>86.6</v>
      </c>
    </row>
    <row r="246" spans="1:2" x14ac:dyDescent="0.25">
      <c r="A246" s="4">
        <v>39142</v>
      </c>
      <c r="B246" s="39">
        <v>86.6</v>
      </c>
    </row>
    <row r="247" spans="1:2" x14ac:dyDescent="0.25">
      <c r="A247" s="4">
        <v>39234</v>
      </c>
      <c r="B247" s="39">
        <v>87.7</v>
      </c>
    </row>
    <row r="248" spans="1:2" x14ac:dyDescent="0.25">
      <c r="A248" s="4">
        <v>39326</v>
      </c>
      <c r="B248" s="39">
        <v>88.3</v>
      </c>
    </row>
    <row r="249" spans="1:2" x14ac:dyDescent="0.25">
      <c r="A249" s="4">
        <v>39417</v>
      </c>
      <c r="B249" s="39">
        <v>89.1</v>
      </c>
    </row>
    <row r="250" spans="1:2" x14ac:dyDescent="0.25">
      <c r="A250" s="4">
        <v>39508</v>
      </c>
      <c r="B250" s="39">
        <v>90.3</v>
      </c>
    </row>
    <row r="251" spans="1:2" x14ac:dyDescent="0.25">
      <c r="A251" s="4">
        <v>39600</v>
      </c>
      <c r="B251" s="39">
        <v>91.6</v>
      </c>
    </row>
    <row r="252" spans="1:2" x14ac:dyDescent="0.25">
      <c r="A252" s="4">
        <v>39692</v>
      </c>
      <c r="B252" s="39">
        <v>92.7</v>
      </c>
    </row>
    <row r="253" spans="1:2" x14ac:dyDescent="0.25">
      <c r="A253" s="4">
        <v>39783</v>
      </c>
      <c r="B253" s="39">
        <v>92.4</v>
      </c>
    </row>
    <row r="254" spans="1:2" x14ac:dyDescent="0.25">
      <c r="A254" s="4">
        <v>39873</v>
      </c>
      <c r="B254" s="39">
        <v>92.5</v>
      </c>
    </row>
    <row r="255" spans="1:2" x14ac:dyDescent="0.25">
      <c r="A255" s="4">
        <v>39965</v>
      </c>
      <c r="B255" s="39">
        <v>92.9</v>
      </c>
    </row>
    <row r="256" spans="1:2" x14ac:dyDescent="0.25">
      <c r="A256" s="4">
        <v>40057</v>
      </c>
      <c r="B256" s="39">
        <v>93.8</v>
      </c>
    </row>
    <row r="257" spans="1:2" x14ac:dyDescent="0.25">
      <c r="A257" s="4">
        <v>40148</v>
      </c>
      <c r="B257" s="39">
        <v>94.3</v>
      </c>
    </row>
    <row r="258" spans="1:2" x14ac:dyDescent="0.25">
      <c r="A258" s="4">
        <v>40238</v>
      </c>
      <c r="B258" s="39">
        <v>95.2</v>
      </c>
    </row>
    <row r="259" spans="1:2" x14ac:dyDescent="0.25">
      <c r="A259" s="4">
        <v>40330</v>
      </c>
      <c r="B259" s="39">
        <v>95.8</v>
      </c>
    </row>
    <row r="260" spans="1:2" x14ac:dyDescent="0.25">
      <c r="A260" s="4">
        <v>40422</v>
      </c>
      <c r="B260" s="39">
        <v>96.5</v>
      </c>
    </row>
    <row r="261" spans="1:2" x14ac:dyDescent="0.25">
      <c r="A261" s="4">
        <v>40513</v>
      </c>
      <c r="B261" s="39">
        <v>96.9</v>
      </c>
    </row>
    <row r="262" spans="1:2" x14ac:dyDescent="0.25">
      <c r="A262" s="4">
        <v>40603</v>
      </c>
      <c r="B262" s="39">
        <v>98.3</v>
      </c>
    </row>
    <row r="263" spans="1:2" x14ac:dyDescent="0.25">
      <c r="A263" s="4">
        <v>40695</v>
      </c>
      <c r="B263" s="39">
        <v>99.2</v>
      </c>
    </row>
    <row r="264" spans="1:2" x14ac:dyDescent="0.25">
      <c r="A264" s="4">
        <v>40787</v>
      </c>
      <c r="B264" s="39">
        <v>99.8</v>
      </c>
    </row>
    <row r="265" spans="1:2" x14ac:dyDescent="0.25">
      <c r="A265" s="4">
        <v>40878</v>
      </c>
      <c r="B265" s="39">
        <v>99.8</v>
      </c>
    </row>
    <row r="266" spans="1:2" x14ac:dyDescent="0.25">
      <c r="A266" s="4">
        <v>40969</v>
      </c>
      <c r="B266" s="39">
        <v>99.9</v>
      </c>
    </row>
    <row r="267" spans="1:2" x14ac:dyDescent="0.25">
      <c r="A267" s="4">
        <v>41061</v>
      </c>
      <c r="B267" s="39">
        <v>100.4</v>
      </c>
    </row>
    <row r="268" spans="1:2" x14ac:dyDescent="0.25">
      <c r="A268" s="4">
        <v>41153</v>
      </c>
      <c r="B268" s="39">
        <v>101.8</v>
      </c>
    </row>
    <row r="269" spans="1:2" x14ac:dyDescent="0.25">
      <c r="A269" s="4">
        <v>41244</v>
      </c>
      <c r="B269" s="39">
        <v>102</v>
      </c>
    </row>
    <row r="270" spans="1:2" x14ac:dyDescent="0.25">
      <c r="A270" s="4">
        <v>41334</v>
      </c>
      <c r="B270" s="39">
        <v>102.4</v>
      </c>
    </row>
    <row r="271" spans="1:2" x14ac:dyDescent="0.25">
      <c r="A271" s="4">
        <v>41426</v>
      </c>
      <c r="B271" s="39">
        <v>102.8</v>
      </c>
    </row>
    <row r="272" spans="1:2" x14ac:dyDescent="0.25">
      <c r="A272" s="4">
        <v>41518</v>
      </c>
      <c r="B272" s="39">
        <v>104</v>
      </c>
    </row>
    <row r="273" spans="1:2" x14ac:dyDescent="0.25">
      <c r="A273" s="4">
        <v>41609</v>
      </c>
      <c r="B273" s="39">
        <v>104.8</v>
      </c>
    </row>
    <row r="274" spans="1:2" x14ac:dyDescent="0.25">
      <c r="A274" s="4">
        <v>41699</v>
      </c>
      <c r="B274" s="39">
        <v>105.4</v>
      </c>
    </row>
    <row r="275" spans="1:2" x14ac:dyDescent="0.25">
      <c r="A275" s="4">
        <v>41791</v>
      </c>
      <c r="B275" s="39">
        <v>105.9</v>
      </c>
    </row>
    <row r="276" spans="1:2" x14ac:dyDescent="0.25">
      <c r="A276" s="4">
        <v>41883</v>
      </c>
      <c r="B276" s="39">
        <v>106.4</v>
      </c>
    </row>
    <row r="277" spans="1:2" x14ac:dyDescent="0.25">
      <c r="A277" s="4">
        <v>41974</v>
      </c>
      <c r="B277" s="39">
        <v>106.6</v>
      </c>
    </row>
    <row r="278" spans="1:2" x14ac:dyDescent="0.25">
      <c r="A278" s="4">
        <v>42064</v>
      </c>
      <c r="B278" s="39">
        <v>106.8</v>
      </c>
    </row>
    <row r="279" spans="1:2" x14ac:dyDescent="0.25">
      <c r="A279" s="4">
        <v>42156</v>
      </c>
      <c r="B279" s="39">
        <v>107.5</v>
      </c>
    </row>
    <row r="280" spans="1:2" x14ac:dyDescent="0.25">
      <c r="A280" s="4">
        <v>42248</v>
      </c>
      <c r="B280" s="39">
        <v>108</v>
      </c>
    </row>
    <row r="281" spans="1:2" x14ac:dyDescent="0.25">
      <c r="A281" s="4">
        <v>42339</v>
      </c>
      <c r="B281" s="39">
        <v>108.4</v>
      </c>
    </row>
    <row r="282" spans="1:2" x14ac:dyDescent="0.25">
      <c r="A282" s="4">
        <v>42430</v>
      </c>
      <c r="B282" s="39">
        <v>108.2</v>
      </c>
    </row>
    <row r="283" spans="1:2" x14ac:dyDescent="0.25">
      <c r="A283" s="4">
        <v>42522</v>
      </c>
      <c r="B283" s="39">
        <v>108.6</v>
      </c>
    </row>
    <row r="284" spans="1:2" x14ac:dyDescent="0.25">
      <c r="A284" s="4">
        <v>42614</v>
      </c>
      <c r="B284" s="39">
        <v>109.4</v>
      </c>
    </row>
    <row r="285" spans="1:2" x14ac:dyDescent="0.25">
      <c r="A285" s="4">
        <v>42705</v>
      </c>
      <c r="B285" s="39">
        <v>110</v>
      </c>
    </row>
    <row r="286" spans="1:2" x14ac:dyDescent="0.25">
      <c r="A286" s="4">
        <v>42795</v>
      </c>
      <c r="B286" s="39">
        <v>110.5</v>
      </c>
    </row>
    <row r="287" spans="1:2" x14ac:dyDescent="0.25">
      <c r="A287" s="4">
        <v>42887</v>
      </c>
      <c r="B287" s="39">
        <v>110.7</v>
      </c>
    </row>
    <row r="288" spans="1:2" x14ac:dyDescent="0.25">
      <c r="A288" s="4">
        <v>42979</v>
      </c>
      <c r="B288" s="39">
        <v>111.4</v>
      </c>
    </row>
    <row r="289" spans="1:9" x14ac:dyDescent="0.25">
      <c r="A289" s="4">
        <v>43070</v>
      </c>
      <c r="B289" s="39">
        <v>112.1</v>
      </c>
    </row>
    <row r="290" spans="1:9" x14ac:dyDescent="0.25">
      <c r="A290" s="4">
        <v>43160</v>
      </c>
      <c r="B290" s="39">
        <v>112.6</v>
      </c>
    </row>
    <row r="291" spans="1:9" x14ac:dyDescent="0.25">
      <c r="A291" s="40">
        <v>43252</v>
      </c>
      <c r="B291" s="39">
        <v>113</v>
      </c>
    </row>
    <row r="292" spans="1:9" x14ac:dyDescent="0.25">
      <c r="A292" s="40">
        <v>43344</v>
      </c>
      <c r="B292" s="39">
        <v>113.5</v>
      </c>
    </row>
    <row r="293" spans="1:9" x14ac:dyDescent="0.25">
      <c r="A293" s="40">
        <v>43435</v>
      </c>
      <c r="B293" s="39">
        <v>114.1</v>
      </c>
    </row>
    <row r="294" spans="1:9" x14ac:dyDescent="0.25">
      <c r="A294" s="40">
        <v>43525</v>
      </c>
      <c r="B294" s="39">
        <v>114.1</v>
      </c>
    </row>
    <row r="295" spans="1:9" x14ac:dyDescent="0.25">
      <c r="A295" s="40">
        <v>43617</v>
      </c>
      <c r="B295" s="39">
        <v>114.8</v>
      </c>
    </row>
    <row r="296" spans="1:9" x14ac:dyDescent="0.25">
      <c r="A296" s="40">
        <v>43709</v>
      </c>
      <c r="B296" s="47">
        <v>115.4</v>
      </c>
    </row>
    <row r="297" spans="1:9" x14ac:dyDescent="0.25">
      <c r="A297" s="40">
        <v>43800</v>
      </c>
      <c r="B297" s="41">
        <v>116.2</v>
      </c>
      <c r="D297" t="s">
        <v>0</v>
      </c>
    </row>
    <row r="298" spans="1:9" x14ac:dyDescent="0.25">
      <c r="A298" s="40">
        <v>43891</v>
      </c>
      <c r="B298" s="41">
        <v>116.6</v>
      </c>
      <c r="D298" t="s">
        <v>17</v>
      </c>
    </row>
    <row r="299" spans="1:9" x14ac:dyDescent="0.25">
      <c r="A299" s="40">
        <v>43983</v>
      </c>
      <c r="B299" s="41">
        <v>114.4</v>
      </c>
      <c r="D299" t="s">
        <v>16</v>
      </c>
    </row>
    <row r="300" spans="1:9" x14ac:dyDescent="0.25">
      <c r="A300" s="40">
        <v>44075</v>
      </c>
      <c r="B300" s="41">
        <v>116.2</v>
      </c>
      <c r="D300" t="s">
        <v>58</v>
      </c>
    </row>
    <row r="301" spans="1:9" x14ac:dyDescent="0.25">
      <c r="A301" s="40">
        <v>44166</v>
      </c>
      <c r="B301" s="41">
        <v>117.2</v>
      </c>
    </row>
    <row r="302" spans="1:9" x14ac:dyDescent="0.25">
      <c r="A302" s="40">
        <v>44256</v>
      </c>
      <c r="B302" s="41">
        <v>117.9</v>
      </c>
    </row>
    <row r="303" spans="1:9" x14ac:dyDescent="0.25">
      <c r="A303" s="40">
        <v>44348</v>
      </c>
      <c r="B303" s="65">
        <v>118.8</v>
      </c>
      <c r="C303" s="53"/>
      <c r="D303" s="53"/>
      <c r="E303" s="53"/>
      <c r="F303" s="53"/>
      <c r="G303" s="53"/>
      <c r="H303" s="53"/>
      <c r="I303" s="53"/>
    </row>
    <row r="304" spans="1:9" x14ac:dyDescent="0.25">
      <c r="A304" s="40">
        <v>44440</v>
      </c>
      <c r="B304" s="65">
        <f>'[28]Input|Inflation'!$F67</f>
        <v>119.7</v>
      </c>
      <c r="C304" s="53"/>
      <c r="D304" s="53"/>
      <c r="E304" s="53"/>
      <c r="F304" s="53"/>
      <c r="G304" s="53"/>
      <c r="H304" s="53"/>
      <c r="I304" s="53"/>
    </row>
    <row r="305" spans="1:9" x14ac:dyDescent="0.25">
      <c r="A305" s="40">
        <v>44531</v>
      </c>
      <c r="B305" s="65">
        <f>'[28]Input|Inflation'!$F68</f>
        <v>121.3</v>
      </c>
      <c r="C305" s="53"/>
      <c r="D305" s="53"/>
      <c r="E305" s="53"/>
      <c r="F305" s="53"/>
      <c r="G305" s="53"/>
      <c r="H305" s="53"/>
      <c r="I305" s="53"/>
    </row>
    <row r="306" spans="1:9" x14ac:dyDescent="0.25">
      <c r="A306" s="54">
        <v>44651</v>
      </c>
      <c r="B306" s="65">
        <f>'[28]Input|Inflation'!$F69</f>
        <v>123.9</v>
      </c>
      <c r="C306" s="53"/>
      <c r="D306" s="53"/>
      <c r="E306" s="53"/>
      <c r="F306" s="53"/>
      <c r="G306" s="53"/>
      <c r="H306" s="53"/>
      <c r="I306" s="53"/>
    </row>
    <row r="307" spans="1:9" x14ac:dyDescent="0.25">
      <c r="A307" s="54">
        <v>44742</v>
      </c>
      <c r="B307" s="65">
        <f>'[28]Input|Inflation'!$F70</f>
        <v>126.1</v>
      </c>
      <c r="C307" s="53"/>
      <c r="D307" s="53"/>
      <c r="E307" s="53"/>
      <c r="F307" s="53"/>
      <c r="G307" s="53"/>
      <c r="H307" s="53"/>
      <c r="I307" s="53"/>
    </row>
    <row r="308" spans="1:9" x14ac:dyDescent="0.25">
      <c r="A308" s="54">
        <v>44834</v>
      </c>
      <c r="B308" s="65">
        <f>'[28]Input|Inflation'!$F71</f>
        <v>128.4307</v>
      </c>
      <c r="C308" s="53"/>
      <c r="D308" s="53"/>
      <c r="E308" s="53"/>
      <c r="F308" s="53"/>
      <c r="G308" s="53"/>
      <c r="H308" s="53"/>
      <c r="I308" s="53"/>
    </row>
    <row r="309" spans="1:9" x14ac:dyDescent="0.25">
      <c r="A309" s="54">
        <v>44926</v>
      </c>
      <c r="B309" s="65">
        <f>'[28]Input|Inflation'!$F72</f>
        <v>130.76140000000001</v>
      </c>
      <c r="C309" s="53"/>
      <c r="D309" s="53"/>
      <c r="E309" s="53"/>
      <c r="F309" s="53"/>
      <c r="G309" s="53"/>
      <c r="H309" s="53"/>
      <c r="I309" s="53"/>
    </row>
  </sheetData>
  <dataValidations count="1">
    <dataValidation type="list" allowBlank="1" showInputMessage="1" showErrorMessage="1" sqref="E8" xr:uid="{00000000-0002-0000-0800-000000000000}">
      <formula1>$F$2:$U$2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CV55"/>
  <sheetViews>
    <sheetView zoomScaleNormal="100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K26" sqref="K26:K30"/>
    </sheetView>
  </sheetViews>
  <sheetFormatPr defaultRowHeight="15" x14ac:dyDescent="0.25"/>
  <cols>
    <col min="1" max="1" width="30.85546875" bestFit="1" customWidth="1"/>
    <col min="2" max="2" width="32.140625" customWidth="1"/>
    <col min="3" max="3" width="12.85546875" bestFit="1" customWidth="1"/>
    <col min="4" max="17" width="12.140625" customWidth="1"/>
    <col min="18" max="18" width="18.85546875" bestFit="1" customWidth="1"/>
    <col min="19" max="19" width="18.85546875" customWidth="1"/>
    <col min="20" max="20" width="18.85546875" bestFit="1" customWidth="1"/>
    <col min="21" max="21" width="13.7109375" customWidth="1"/>
  </cols>
  <sheetData>
    <row r="1" spans="1:100" x14ac:dyDescent="0.25">
      <c r="A1" s="10" t="s">
        <v>83</v>
      </c>
      <c r="B1" s="10" t="s">
        <v>83</v>
      </c>
    </row>
    <row r="2" spans="1:100" x14ac:dyDescent="0.25">
      <c r="A2" s="10" t="s">
        <v>50</v>
      </c>
      <c r="B2" s="10" t="s">
        <v>50</v>
      </c>
      <c r="C2" t="s">
        <v>65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2014</v>
      </c>
      <c r="M2" s="14">
        <v>2015</v>
      </c>
      <c r="N2" s="14">
        <v>2016</v>
      </c>
      <c r="O2" s="14">
        <v>2017</v>
      </c>
      <c r="P2" s="14">
        <v>2018</v>
      </c>
      <c r="Q2" s="14">
        <v>2019</v>
      </c>
      <c r="R2" s="14">
        <v>2020</v>
      </c>
      <c r="S2" s="14">
        <v>2021</v>
      </c>
      <c r="U2" s="10" t="s">
        <v>113</v>
      </c>
    </row>
    <row r="3" spans="1:100" x14ac:dyDescent="0.25">
      <c r="A3" s="27" t="s">
        <v>37</v>
      </c>
      <c r="B3" s="27" t="s">
        <v>91</v>
      </c>
      <c r="C3" s="27" t="s">
        <v>64</v>
      </c>
      <c r="D3" s="20">
        <f>'[6]Extracted Data'!D$7*1000</f>
        <v>15101074.258214997</v>
      </c>
      <c r="E3" s="20">
        <f>'[6]Extracted Data'!E$7*1000</f>
        <v>13989610</v>
      </c>
      <c r="F3" s="20">
        <f>'[6]Extracted Data'!F$7*1000</f>
        <v>13083325.236576969</v>
      </c>
      <c r="G3" s="20">
        <f>'[6]Extracted Data'!G$7*1000</f>
        <v>13513587.369959038</v>
      </c>
      <c r="H3" s="20">
        <f>'[6]Extracted Data'!H$7*1000</f>
        <v>13846707.414743055</v>
      </c>
      <c r="I3" s="20">
        <f>'[6]Extracted Data'!I$7*1000</f>
        <v>13881537.225071985</v>
      </c>
      <c r="J3" s="20">
        <f>'[6]Extracted Data'!J$7*1000</f>
        <v>14062879.897383038</v>
      </c>
      <c r="K3" s="20">
        <f>'[6]Extracted Data'!K$7*1000</f>
        <v>14283594.450350931</v>
      </c>
      <c r="L3" s="20">
        <f>'[6]Extracted Data'!L$7*1000</f>
        <v>13957000</v>
      </c>
      <c r="M3" s="20">
        <f>'[6]Extracted Data'!M$7*1000</f>
        <v>13455329.989999998</v>
      </c>
      <c r="N3" s="20">
        <f>'[6]Extracted Data'!N$7*1000</f>
        <v>14247978.656044956</v>
      </c>
      <c r="O3" s="20">
        <f>'[6]Extracted Data'!O$7*1000</f>
        <v>14525020.775061335</v>
      </c>
      <c r="P3" s="20">
        <f>'[6]Extracted Data'!P$7*1000</f>
        <v>11444832.423724381</v>
      </c>
      <c r="Q3" s="20">
        <f>'[6]Extracted Data'!Q$7*1000</f>
        <v>13786714.687984707</v>
      </c>
      <c r="R3" s="20">
        <f>'[6]Extracted Data'!R$7*1000</f>
        <v>13856515.144038128</v>
      </c>
      <c r="S3" s="20">
        <f>'[29]Extracted Data'!$S$7*1000</f>
        <v>13621768.999909813</v>
      </c>
      <c r="U3" s="20">
        <f>AVERAGE(O3:S3)</f>
        <v>13446970.406143671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</row>
    <row r="4" spans="1:100" x14ac:dyDescent="0.25">
      <c r="A4" s="27" t="s">
        <v>21</v>
      </c>
      <c r="B4" s="27" t="s">
        <v>92</v>
      </c>
      <c r="C4" s="27" t="s">
        <v>64</v>
      </c>
      <c r="D4" s="20">
        <f>'[6]Extracted Data'!S$7*1000</f>
        <v>51045963.444256991</v>
      </c>
      <c r="E4" s="20">
        <f>'[6]Extracted Data'!T$7*1000</f>
        <v>51964465.679886967</v>
      </c>
      <c r="F4" s="20">
        <f>'[6]Extracted Data'!U$7*1000</f>
        <v>51187327.595034994</v>
      </c>
      <c r="G4" s="20">
        <f>'[6]Extracted Data'!V$7*1000</f>
        <v>52191948.260312036</v>
      </c>
      <c r="H4" s="20">
        <f>'[6]Extracted Data'!W$7*1000</f>
        <v>52848520.626357004</v>
      </c>
      <c r="I4" s="20">
        <f>'[6]Extracted Data'!X$7*1000</f>
        <v>51917071.191967987</v>
      </c>
      <c r="J4" s="20">
        <f>'[6]Extracted Data'!Y$7*1000</f>
        <v>50878576.976755999</v>
      </c>
      <c r="K4" s="20">
        <f>'[6]Extracted Data'!Z$7*1000</f>
        <v>49333938.670690008</v>
      </c>
      <c r="L4" s="20">
        <f>'[6]Extracted Data'!AA$7*1000</f>
        <v>47613581.421291001</v>
      </c>
      <c r="M4" s="20">
        <f>'[6]Extracted Data'!AB$7*1000</f>
        <v>53087563.425000042</v>
      </c>
      <c r="N4" s="20">
        <f>'[6]Extracted Data'!AC$7*1000</f>
        <v>52872387.581990004</v>
      </c>
      <c r="O4" s="20">
        <f>'[6]Extracted Data'!AD$7*1000</f>
        <v>54253300.021025993</v>
      </c>
      <c r="P4" s="20">
        <f>'[6]Extracted Data'!AE$7*1000</f>
        <v>54849858.036833994</v>
      </c>
      <c r="Q4" s="20">
        <f>'[6]Extracted Data'!AF$7*1000</f>
        <v>53765294.224065989</v>
      </c>
      <c r="R4" s="20">
        <f>'[6]Extracted Data'!AG$7*1000</f>
        <v>53076368.905469991</v>
      </c>
      <c r="S4" s="20">
        <f>'[29]Extracted Data'!$AI$7*1000</f>
        <v>51783263.917914994</v>
      </c>
      <c r="U4" s="20">
        <f>AVERAGE(O4:S4)</f>
        <v>53545617.021062188</v>
      </c>
    </row>
    <row r="5" spans="1:100" x14ac:dyDescent="0.25">
      <c r="A5" s="27" t="s">
        <v>35</v>
      </c>
      <c r="B5" s="27" t="s">
        <v>93</v>
      </c>
      <c r="C5" s="27" t="s">
        <v>64</v>
      </c>
      <c r="D5" s="20">
        <f>'[6]Extracted Data'!AH$7*1000</f>
        <v>45186299.678676002</v>
      </c>
      <c r="E5" s="20">
        <f>'[6]Extracted Data'!AI$7*1000</f>
        <v>45956437.073729999</v>
      </c>
      <c r="F5" s="20">
        <f>'[6]Extracted Data'!AJ$7*1000</f>
        <v>45046718.030759998</v>
      </c>
      <c r="G5" s="20">
        <f>'[6]Extracted Data'!AK$7*1000</f>
        <v>47419179.046665005</v>
      </c>
      <c r="H5" s="20">
        <f>'[6]Extracted Data'!AL$7*1000</f>
        <v>48976636.241105005</v>
      </c>
      <c r="I5" s="20">
        <f>'[6]Extracted Data'!AM$7*1000</f>
        <v>48047970.9925</v>
      </c>
      <c r="J5" s="20">
        <f>'[6]Extracted Data'!AN$7*1000</f>
        <v>47529361.264941998</v>
      </c>
      <c r="K5" s="20">
        <f>'[6]Extracted Data'!AO$7*1000</f>
        <v>49056428.480179004</v>
      </c>
      <c r="L5" s="20">
        <f>'[6]Extracted Data'!AP$7*1000</f>
        <v>48503771.563634999</v>
      </c>
      <c r="M5" s="20">
        <f>'[6]Extracted Data'!AQ$7*1000</f>
        <v>47967077.018125005</v>
      </c>
      <c r="N5" s="20">
        <f>'[6]Extracted Data'!AR$7*1000</f>
        <v>47805245.822115995</v>
      </c>
      <c r="O5" s="20">
        <f>'[6]Extracted Data'!AS$7*1000</f>
        <v>46829301.624719001</v>
      </c>
      <c r="P5" s="20">
        <f>'[6]Extracted Data'!AT$7*1000</f>
        <v>41725000</v>
      </c>
      <c r="Q5" s="20">
        <f>'[6]Extracted Data'!AU$7*1000</f>
        <v>41479994.350973003</v>
      </c>
      <c r="R5" s="20">
        <f>'[6]Extracted Data'!AV$7*1000</f>
        <v>41527840.000000007</v>
      </c>
      <c r="S5" s="20">
        <f>'[29]Extracted Data'!$AY$7*1000</f>
        <v>42258720</v>
      </c>
      <c r="U5" s="20">
        <f>AVERAGE(O5:S5)</f>
        <v>42764171.195138402</v>
      </c>
    </row>
    <row r="6" spans="1:100" x14ac:dyDescent="0.25">
      <c r="A6" s="27" t="s">
        <v>29</v>
      </c>
      <c r="B6" s="27" t="s">
        <v>94</v>
      </c>
      <c r="C6" s="27" t="s">
        <v>64</v>
      </c>
      <c r="D6" s="52">
        <f>'[6]Extracted Data'!AW$7*1000</f>
        <v>10530108.800000003</v>
      </c>
      <c r="E6" s="52">
        <f>'[6]Extracted Data'!AX$7*1000</f>
        <v>12828493</v>
      </c>
      <c r="F6" s="52">
        <f>'[6]Extracted Data'!AY$7*1000</f>
        <v>13500337</v>
      </c>
      <c r="G6" s="52">
        <f>'[6]Extracted Data'!AZ$7*1000</f>
        <v>13412711</v>
      </c>
      <c r="H6" s="52">
        <f>'[6]Extracted Data'!BA$7*1000</f>
        <v>13030212</v>
      </c>
      <c r="I6" s="52">
        <f>'[6]Extracted Data'!BB$7*1000</f>
        <v>13108443</v>
      </c>
      <c r="J6" s="52">
        <f>'[6]Extracted Data'!BC$7*1000</f>
        <v>12589843</v>
      </c>
      <c r="K6" s="52">
        <f>'[6]Extracted Data'!BD$7*1000</f>
        <v>12866188</v>
      </c>
      <c r="L6" s="52">
        <f>'[6]Extracted Data'!BE$7*1000</f>
        <v>13359963.803999998</v>
      </c>
      <c r="M6" s="52">
        <f>'[6]Extracted Data'!BF$7*1000</f>
        <v>13109624.082295986</v>
      </c>
      <c r="N6" s="52">
        <f>'[6]Extracted Data'!BG$7*1000</f>
        <v>11654573.903348012</v>
      </c>
      <c r="O6" s="52">
        <f>'[6]Extracted Data'!BH$7*1000</f>
        <v>12426700</v>
      </c>
      <c r="P6" s="52">
        <f>'[6]Extracted Data'!BI$7*1000</f>
        <v>12434326.12001</v>
      </c>
      <c r="Q6" s="52">
        <f>'[6]Extracted Data'!BJ$7*1000</f>
        <v>12884563.992276987</v>
      </c>
      <c r="R6" s="52">
        <f>'[6]Extracted Data'!BK$7*1000</f>
        <v>12412888.664812012</v>
      </c>
      <c r="S6" s="52">
        <f>'[29]Extracted Data'!$BO$7*1000</f>
        <v>12909204.95870496</v>
      </c>
      <c r="U6" s="20">
        <f>AVERAGE(O6:S6)</f>
        <v>12613536.747160792</v>
      </c>
    </row>
    <row r="7" spans="1:100" x14ac:dyDescent="0.25">
      <c r="A7" s="27" t="s">
        <v>38</v>
      </c>
      <c r="B7" s="27" t="s">
        <v>95</v>
      </c>
      <c r="C7" s="27" t="s">
        <v>64</v>
      </c>
      <c r="D7" s="52">
        <f>'[6]Extracted Data'!BL$7*1000</f>
        <v>81500000</v>
      </c>
      <c r="E7" s="52">
        <f>'[6]Extracted Data'!BM$7*1000</f>
        <v>83000000</v>
      </c>
      <c r="F7" s="52">
        <f>'[6]Extracted Data'!BN$7*1000</f>
        <v>82500000</v>
      </c>
      <c r="G7" s="52">
        <f>'[6]Extracted Data'!BO$7*1000</f>
        <v>81100000</v>
      </c>
      <c r="H7" s="52">
        <f>'[6]Extracted Data'!BP$7*1000</f>
        <v>80600000</v>
      </c>
      <c r="I7" s="52">
        <f>'[6]Extracted Data'!BQ$7*1000</f>
        <v>79800000</v>
      </c>
      <c r="J7" s="52">
        <f>'[6]Extracted Data'!BR$7*1000</f>
        <v>76600000</v>
      </c>
      <c r="K7" s="52">
        <f>'[6]Extracted Data'!BS$7*1000</f>
        <v>71100000</v>
      </c>
      <c r="L7" s="52">
        <f>'[6]Extracted Data'!BT$7*1000</f>
        <v>67800000.346065998</v>
      </c>
      <c r="M7" s="52">
        <f>'[6]Extracted Data'!BU$7*1000</f>
        <v>74400000</v>
      </c>
      <c r="N7" s="52">
        <f>'[6]Extracted Data'!BV$7*1000</f>
        <v>72200000</v>
      </c>
      <c r="O7" s="52">
        <f>'[6]Extracted Data'!BW$7*1000</f>
        <v>75000000</v>
      </c>
      <c r="P7" s="52">
        <f>'[6]Extracted Data'!BX$7*1000</f>
        <v>75700000</v>
      </c>
      <c r="Q7" s="52">
        <f>'[6]Extracted Data'!BY$7*1000</f>
        <v>74400000</v>
      </c>
      <c r="R7" s="52">
        <f>'[6]Extracted Data'!BZ$7*1000</f>
        <v>72900000</v>
      </c>
      <c r="S7" s="52">
        <f>'[29]Extracted Data'!$CE$7*1000</f>
        <v>71300000</v>
      </c>
      <c r="U7" s="20">
        <f>AVERAGE(O7:S7)</f>
        <v>73860000</v>
      </c>
    </row>
    <row r="9" spans="1:100" ht="45" x14ac:dyDescent="0.25">
      <c r="A9" s="13" t="s">
        <v>44</v>
      </c>
      <c r="B9" s="13" t="s">
        <v>44</v>
      </c>
    </row>
    <row r="10" spans="1:100" x14ac:dyDescent="0.25">
      <c r="A10" s="13"/>
      <c r="B10" s="13"/>
      <c r="C10" t="s">
        <v>67</v>
      </c>
      <c r="D10" s="14">
        <v>2006</v>
      </c>
      <c r="E10" s="14">
        <v>2007</v>
      </c>
      <c r="F10" s="14">
        <v>2008</v>
      </c>
      <c r="G10" s="14">
        <v>2009</v>
      </c>
      <c r="H10" s="14">
        <v>2010</v>
      </c>
      <c r="I10" s="14">
        <v>2011</v>
      </c>
      <c r="J10" s="14">
        <v>2012</v>
      </c>
      <c r="K10" s="14">
        <v>2013</v>
      </c>
      <c r="L10" s="14">
        <v>2014</v>
      </c>
      <c r="M10" s="14">
        <v>2015</v>
      </c>
      <c r="N10" s="14">
        <v>2016</v>
      </c>
      <c r="O10" s="14">
        <v>2017</v>
      </c>
      <c r="P10" s="14">
        <v>2018</v>
      </c>
      <c r="Q10" s="14">
        <v>2019</v>
      </c>
      <c r="R10" s="66">
        <v>2020</v>
      </c>
      <c r="S10" s="14">
        <v>2021</v>
      </c>
      <c r="U10" s="10" t="s">
        <v>113</v>
      </c>
    </row>
    <row r="11" spans="1:100" x14ac:dyDescent="0.25">
      <c r="A11" s="27" t="s">
        <v>37</v>
      </c>
      <c r="B11" s="27" t="s">
        <v>91</v>
      </c>
      <c r="C11" s="27" t="s">
        <v>66</v>
      </c>
      <c r="D11" s="20">
        <f>'[6]Extracted Data'!D$8</f>
        <v>3978.391944861738</v>
      </c>
      <c r="E11" s="20">
        <f>'[6]Extracted Data'!E$8</f>
        <v>3976.363032332024</v>
      </c>
      <c r="F11" s="20">
        <f>'[6]Extracted Data'!F$8</f>
        <v>4222.7950166755372</v>
      </c>
      <c r="G11" s="20">
        <f>'[6]Extracted Data'!G$8</f>
        <v>4265.2719150267712</v>
      </c>
      <c r="H11" s="20">
        <f>'[6]Extracted Data'!H$8</f>
        <v>4285.2901718002513</v>
      </c>
      <c r="I11" s="20">
        <f>'[6]Extracted Data'!I$8</f>
        <v>4376.4504351791684</v>
      </c>
      <c r="J11" s="20">
        <f>'[6]Extracted Data'!J$8</f>
        <v>4229.0017065495522</v>
      </c>
      <c r="K11" s="20">
        <f>'[6]Extracted Data'!K$8</f>
        <v>4403.3212738811562</v>
      </c>
      <c r="L11" s="20">
        <f>'[6]Extracted Data'!L$8</f>
        <v>3429.53</v>
      </c>
      <c r="M11" s="20">
        <f>'[6]Extracted Data'!M$8</f>
        <v>3175.3143963269999</v>
      </c>
      <c r="N11" s="20">
        <f>'[6]Extracted Data'!N$8</f>
        <v>3271.5960879999998</v>
      </c>
      <c r="O11" s="20">
        <f>'[6]Extracted Data'!O$8</f>
        <v>3447.559915454</v>
      </c>
      <c r="P11" s="20">
        <f>'[6]Extracted Data'!P$8</f>
        <v>3327.2034278649999</v>
      </c>
      <c r="Q11" s="20">
        <f>'[6]Extracted Data'!Q$8</f>
        <v>3685.7549853780001</v>
      </c>
      <c r="R11" s="67">
        <f>'[6]Extracted Data'!R$8</f>
        <v>3512.323547</v>
      </c>
      <c r="S11" s="20">
        <f>'[29]Extracted Data'!$S$8</f>
        <v>3317.0199969799901</v>
      </c>
      <c r="U11" s="20">
        <f t="shared" ref="U11:U15" si="0">AVERAGE(O11:S11)</f>
        <v>3457.9723745353976</v>
      </c>
    </row>
    <row r="12" spans="1:100" x14ac:dyDescent="0.25">
      <c r="A12" s="27" t="s">
        <v>21</v>
      </c>
      <c r="B12" s="27" t="s">
        <v>92</v>
      </c>
      <c r="C12" s="27" t="s">
        <v>66</v>
      </c>
      <c r="D12" s="20">
        <f>'[6]Extracted Data'!S$8</f>
        <v>11030.569023</v>
      </c>
      <c r="E12" s="20">
        <f>'[6]Extracted Data'!T$8</f>
        <v>11737.383156999998</v>
      </c>
      <c r="F12" s="20">
        <f>'[6]Extracted Data'!U$8</f>
        <v>11612.320067000001</v>
      </c>
      <c r="G12" s="20">
        <f>'[6]Extracted Data'!V$8</f>
        <v>12068.720476999999</v>
      </c>
      <c r="H12" s="20">
        <f>'[6]Extracted Data'!W$8</f>
        <v>12247.404947000005</v>
      </c>
      <c r="I12" s="20">
        <f>'[6]Extracted Data'!X$8</f>
        <v>11937.636665000005</v>
      </c>
      <c r="J12" s="20">
        <f>'[6]Extracted Data'!Y$8</f>
        <v>11674.654921999996</v>
      </c>
      <c r="K12" s="20">
        <f>'[6]Extracted Data'!Z$8</f>
        <v>11664.853734000002</v>
      </c>
      <c r="L12" s="20">
        <f>'[6]Extracted Data'!AA$8</f>
        <v>11512.211092999996</v>
      </c>
      <c r="M12" s="20">
        <f>'[6]Extracted Data'!AB$8</f>
        <v>11832.312</v>
      </c>
      <c r="N12" s="20">
        <f>'[6]Extracted Data'!AC$8</f>
        <v>11995.302618000009</v>
      </c>
      <c r="O12" s="20">
        <f>'[6]Extracted Data'!AD$8</f>
        <v>12388.952756999994</v>
      </c>
      <c r="P12" s="20">
        <f>'[6]Extracted Data'!AE$8</f>
        <v>12321.175319</v>
      </c>
      <c r="Q12" s="20">
        <f>'[6]Extracted Data'!AF$8</f>
        <v>12496.769520000003</v>
      </c>
      <c r="R12" s="67">
        <f>'[6]Extracted Data'!AG$8</f>
        <v>12583.453072999999</v>
      </c>
      <c r="S12" s="20">
        <f>'[29]Extracted Data'!$AI$8</f>
        <v>12014.231537999995</v>
      </c>
      <c r="U12" s="20">
        <f t="shared" si="0"/>
        <v>12360.916441399997</v>
      </c>
    </row>
    <row r="13" spans="1:100" x14ac:dyDescent="0.25">
      <c r="A13" s="27" t="s">
        <v>35</v>
      </c>
      <c r="B13" s="27" t="s">
        <v>93</v>
      </c>
      <c r="C13" s="27" t="s">
        <v>66</v>
      </c>
      <c r="D13" s="20">
        <f>'[6]Extracted Data'!AH$8</f>
        <v>8046.7944919762931</v>
      </c>
      <c r="E13" s="20">
        <f>'[6]Extracted Data'!AI$8</f>
        <v>9518.2214075162174</v>
      </c>
      <c r="F13" s="20">
        <f>'[6]Extracted Data'!AJ$8</f>
        <v>9821.7744475221989</v>
      </c>
      <c r="G13" s="20">
        <f>'[6]Extracted Data'!AK$8</f>
        <v>10238.839151920494</v>
      </c>
      <c r="H13" s="20">
        <f>'[6]Extracted Data'!AL$8</f>
        <v>9875.383784927044</v>
      </c>
      <c r="I13" s="20">
        <f>'[6]Extracted Data'!AM$8</f>
        <v>9612.8305056523277</v>
      </c>
      <c r="J13" s="20">
        <f>'[6]Extracted Data'!AN$8</f>
        <v>8932.6058819697173</v>
      </c>
      <c r="K13" s="20">
        <f>'[6]Extracted Data'!AO$8</f>
        <v>9569.9413842771264</v>
      </c>
      <c r="L13" s="20">
        <f>'[6]Extracted Data'!AP$8</f>
        <v>10258.200000000001</v>
      </c>
      <c r="M13" s="20">
        <f>'[6]Extracted Data'!AQ$8</f>
        <v>9098.1233667172328</v>
      </c>
      <c r="N13" s="20">
        <f>'[6]Extracted Data'!AR$8</f>
        <v>9677.5927963400009</v>
      </c>
      <c r="O13" s="20">
        <f>'[6]Extracted Data'!AS$8</f>
        <v>9641.5859999999993</v>
      </c>
      <c r="P13" s="20">
        <f>'[6]Extracted Data'!AT$8</f>
        <v>10266.162</v>
      </c>
      <c r="Q13" s="20">
        <f>'[6]Extracted Data'!AU$8</f>
        <v>9909.9320000000007</v>
      </c>
      <c r="R13" s="67">
        <f>'[6]Extracted Data'!AV$8</f>
        <v>10139.175999999999</v>
      </c>
      <c r="S13" s="20">
        <f>'[29]Extracted Data'!$AY$8</f>
        <v>8943.6239999999998</v>
      </c>
      <c r="U13" s="20">
        <f t="shared" si="0"/>
        <v>9780.0959999999995</v>
      </c>
    </row>
    <row r="14" spans="1:100" x14ac:dyDescent="0.25">
      <c r="A14" s="27" t="s">
        <v>29</v>
      </c>
      <c r="B14" s="27" t="s">
        <v>94</v>
      </c>
      <c r="C14" s="27" t="s">
        <v>66</v>
      </c>
      <c r="D14" s="20">
        <f>'[6]Extracted Data'!AW$8</f>
        <v>2684.2440000000001</v>
      </c>
      <c r="E14" s="20">
        <f>'[6]Extracted Data'!AX$8</f>
        <v>2690.61</v>
      </c>
      <c r="F14" s="20">
        <f>'[6]Extracted Data'!AY$8</f>
        <v>2624.2620000000002</v>
      </c>
      <c r="G14" s="20">
        <f>'[6]Extracted Data'!AZ$8</f>
        <v>2656.152</v>
      </c>
      <c r="H14" s="20">
        <f>'[6]Extracted Data'!BA$8</f>
        <v>2634.4740000000002</v>
      </c>
      <c r="I14" s="20">
        <f>'[6]Extracted Data'!BB$8</f>
        <v>2597.712</v>
      </c>
      <c r="J14" s="20">
        <f>'[6]Extracted Data'!BC$8</f>
        <v>2589.395</v>
      </c>
      <c r="K14" s="20">
        <f>'[6]Extracted Data'!BD$8</f>
        <v>2544.7469999999998</v>
      </c>
      <c r="L14" s="20">
        <f>'[6]Extracted Data'!BE$8</f>
        <v>2509</v>
      </c>
      <c r="M14" s="20">
        <f>'[6]Extracted Data'!BF$8</f>
        <v>2504.8915876265355</v>
      </c>
      <c r="N14" s="20">
        <f>'[6]Extracted Data'!BG$8</f>
        <v>2519.5</v>
      </c>
      <c r="O14" s="20">
        <f>'[6]Extracted Data'!BH$8</f>
        <v>2523.6453817803717</v>
      </c>
      <c r="P14" s="20">
        <f>'[6]Extracted Data'!BI$8</f>
        <v>2535.3500470044319</v>
      </c>
      <c r="Q14" s="20">
        <f>'[6]Extracted Data'!BJ$8</f>
        <v>2394.0013028095805</v>
      </c>
      <c r="R14" s="67">
        <f>'[6]Extracted Data'!BK$8</f>
        <v>2460.3122380799996</v>
      </c>
      <c r="S14" s="20">
        <f>'[29]Extracted Data'!$BO$8</f>
        <v>2410.3831052365917</v>
      </c>
      <c r="U14" s="20">
        <f t="shared" si="0"/>
        <v>2464.7384149821946</v>
      </c>
    </row>
    <row r="15" spans="1:100" x14ac:dyDescent="0.25">
      <c r="A15" s="27" t="s">
        <v>38</v>
      </c>
      <c r="B15" s="27" t="s">
        <v>95</v>
      </c>
      <c r="C15" s="27" t="s">
        <v>66</v>
      </c>
      <c r="D15" s="20">
        <f>'[6]Extracted Data'!BL$8</f>
        <v>18200</v>
      </c>
      <c r="E15" s="20">
        <f>'[6]Extracted Data'!BM$8</f>
        <v>18600</v>
      </c>
      <c r="F15" s="20">
        <f>'[6]Extracted Data'!BN$8</f>
        <v>18600</v>
      </c>
      <c r="G15" s="20">
        <f>'[6]Extracted Data'!BO$8</f>
        <v>18700</v>
      </c>
      <c r="H15" s="20">
        <f>'[6]Extracted Data'!BP$8</f>
        <v>18900</v>
      </c>
      <c r="I15" s="20">
        <f>'[6]Extracted Data'!BQ$8</f>
        <v>19400</v>
      </c>
      <c r="J15" s="20">
        <f>'[6]Extracted Data'!BR$8</f>
        <v>18000</v>
      </c>
      <c r="K15" s="20">
        <f>'[6]Extracted Data'!BS$8</f>
        <v>17400</v>
      </c>
      <c r="L15" s="20">
        <f>'[6]Extracted Data'!BT$8</f>
        <v>17000</v>
      </c>
      <c r="M15" s="20">
        <f>'[6]Extracted Data'!BU$8</f>
        <v>16500</v>
      </c>
      <c r="N15" s="20">
        <f>'[6]Extracted Data'!BV$8</f>
        <v>18000</v>
      </c>
      <c r="O15" s="20">
        <f>'[6]Extracted Data'!BW$8</f>
        <v>18700</v>
      </c>
      <c r="P15" s="20">
        <f>'[6]Extracted Data'!BX$8</f>
        <v>18500</v>
      </c>
      <c r="Q15" s="20">
        <f>'[6]Extracted Data'!BY$8</f>
        <v>18700</v>
      </c>
      <c r="R15" s="67">
        <f>'[6]Extracted Data'!BZ$8</f>
        <v>18900</v>
      </c>
      <c r="S15" s="20">
        <f>'[29]Extracted Data'!$CE$8</f>
        <v>18500</v>
      </c>
      <c r="U15" s="20">
        <f t="shared" si="0"/>
        <v>18660</v>
      </c>
    </row>
    <row r="16" spans="1:100" x14ac:dyDescent="0.25">
      <c r="E16" s="26">
        <f>(E11-D11)/D11</f>
        <v>-5.0998306799169473E-4</v>
      </c>
      <c r="F16" s="26">
        <f t="shared" ref="F16:S16" si="1">(F11-E11)/E11</f>
        <v>6.197421672512328E-2</v>
      </c>
      <c r="G16" s="26">
        <f t="shared" si="1"/>
        <v>1.0058953414384444E-2</v>
      </c>
      <c r="H16" s="26">
        <f t="shared" si="1"/>
        <v>4.6933131514909328E-3</v>
      </c>
      <c r="I16" s="26">
        <f t="shared" si="1"/>
        <v>2.1272833279483764E-2</v>
      </c>
      <c r="J16" s="26">
        <f t="shared" si="1"/>
        <v>-3.3691396901100693E-2</v>
      </c>
      <c r="K16" s="26">
        <f t="shared" si="1"/>
        <v>4.1220027663179074E-2</v>
      </c>
      <c r="L16" s="26">
        <f t="shared" si="1"/>
        <v>-0.2211492674080629</v>
      </c>
      <c r="M16" s="26">
        <f t="shared" si="1"/>
        <v>-7.4125493485404773E-2</v>
      </c>
      <c r="N16" s="26">
        <f t="shared" si="1"/>
        <v>3.0321939705993312E-2</v>
      </c>
      <c r="O16" s="26">
        <f t="shared" si="1"/>
        <v>5.3785315399851479E-2</v>
      </c>
      <c r="P16" s="26">
        <f t="shared" si="1"/>
        <v>-3.4910629703487177E-2</v>
      </c>
      <c r="Q16" s="26">
        <f t="shared" si="1"/>
        <v>0.10776364153455914</v>
      </c>
      <c r="R16" s="26">
        <f t="shared" si="1"/>
        <v>-4.7054521818740362E-2</v>
      </c>
      <c r="S16" s="68">
        <f t="shared" si="1"/>
        <v>-5.5605227538569321E-2</v>
      </c>
    </row>
    <row r="17" spans="1:43" x14ac:dyDescent="0.25">
      <c r="A17" s="10" t="s">
        <v>45</v>
      </c>
      <c r="B17" s="10" t="s">
        <v>45</v>
      </c>
      <c r="C17" s="10"/>
      <c r="D17" s="14">
        <v>2006</v>
      </c>
      <c r="E17" s="14">
        <v>2007</v>
      </c>
      <c r="F17" s="14">
        <v>2008</v>
      </c>
      <c r="G17" s="14">
        <v>2009</v>
      </c>
      <c r="H17" s="14">
        <v>2010</v>
      </c>
      <c r="I17" s="14">
        <v>2011</v>
      </c>
      <c r="J17" s="14">
        <v>2012</v>
      </c>
      <c r="K17" s="14">
        <v>2013</v>
      </c>
      <c r="L17" s="14">
        <v>2014</v>
      </c>
      <c r="M17" s="14">
        <v>2015</v>
      </c>
      <c r="N17" s="14">
        <v>2016</v>
      </c>
      <c r="O17" s="14">
        <v>2017</v>
      </c>
      <c r="P17" s="14">
        <v>2018</v>
      </c>
      <c r="Q17" s="14">
        <v>2019</v>
      </c>
      <c r="R17" s="66">
        <v>2020</v>
      </c>
      <c r="S17" s="14">
        <v>2021</v>
      </c>
    </row>
    <row r="18" spans="1:43" x14ac:dyDescent="0.25">
      <c r="A18" s="27" t="s">
        <v>37</v>
      </c>
      <c r="B18" s="27" t="s">
        <v>37</v>
      </c>
      <c r="C18" s="27" t="s">
        <v>68</v>
      </c>
      <c r="D18" s="19">
        <v>5875.1</v>
      </c>
      <c r="E18" s="19">
        <v>5974.1</v>
      </c>
      <c r="F18" s="19">
        <v>6007.1</v>
      </c>
      <c r="G18" s="19">
        <v>6546.1</v>
      </c>
      <c r="H18" s="19">
        <v>6953.1</v>
      </c>
      <c r="I18" s="19">
        <v>7052.1</v>
      </c>
      <c r="J18" s="19">
        <v>7129.1</v>
      </c>
      <c r="K18" s="19">
        <v>7129.1</v>
      </c>
      <c r="L18" s="19">
        <v>7195.1</v>
      </c>
      <c r="M18" s="19">
        <v>7470.1</v>
      </c>
      <c r="N18" s="19">
        <v>7470.1</v>
      </c>
      <c r="O18" s="19"/>
      <c r="P18" s="20"/>
      <c r="Q18" s="20"/>
      <c r="R18" s="20"/>
      <c r="S18" s="11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x14ac:dyDescent="0.25">
      <c r="A19" s="27" t="s">
        <v>21</v>
      </c>
      <c r="B19" s="27" t="s">
        <v>21</v>
      </c>
      <c r="C19" s="27" t="s">
        <v>68</v>
      </c>
      <c r="D19" s="19">
        <v>12468.5</v>
      </c>
      <c r="E19" s="19">
        <v>12694</v>
      </c>
      <c r="F19" s="19">
        <v>13117.5</v>
      </c>
      <c r="G19" s="19">
        <v>13898.5</v>
      </c>
      <c r="H19" s="19">
        <v>14580.5</v>
      </c>
      <c r="I19" s="19">
        <v>15009.5</v>
      </c>
      <c r="J19" s="19">
        <v>15356</v>
      </c>
      <c r="K19" s="19">
        <v>16214</v>
      </c>
      <c r="L19" s="19">
        <v>17050</v>
      </c>
      <c r="M19" s="19">
        <v>17160</v>
      </c>
      <c r="N19" s="19">
        <v>17407.5</v>
      </c>
      <c r="O19" s="19"/>
      <c r="P19" s="20"/>
      <c r="Q19" s="20"/>
      <c r="R19" s="20"/>
      <c r="S19" s="11"/>
    </row>
    <row r="20" spans="1:43" x14ac:dyDescent="0.25">
      <c r="A20" s="27" t="s">
        <v>35</v>
      </c>
      <c r="B20" s="27" t="s">
        <v>35</v>
      </c>
      <c r="C20" s="27" t="s">
        <v>68</v>
      </c>
      <c r="D20" s="19">
        <v>7330</v>
      </c>
      <c r="E20" s="19">
        <v>7264</v>
      </c>
      <c r="F20" s="19">
        <v>7544</v>
      </c>
      <c r="G20" s="19">
        <v>8336</v>
      </c>
      <c r="H20" s="19">
        <v>8402</v>
      </c>
      <c r="I20" s="19">
        <v>8424</v>
      </c>
      <c r="J20" s="19">
        <v>9144</v>
      </c>
      <c r="K20" s="19">
        <v>10210</v>
      </c>
      <c r="L20" s="19">
        <v>10260</v>
      </c>
      <c r="M20" s="19">
        <v>9320</v>
      </c>
      <c r="N20" s="19">
        <v>9320</v>
      </c>
      <c r="O20" s="19"/>
      <c r="P20" s="20"/>
      <c r="Q20" s="20"/>
      <c r="R20" s="20"/>
      <c r="S20" s="11"/>
    </row>
    <row r="21" spans="1:43" x14ac:dyDescent="0.25">
      <c r="A21" s="27" t="s">
        <v>29</v>
      </c>
      <c r="B21" s="27" t="s">
        <v>29</v>
      </c>
      <c r="C21" s="27" t="s">
        <v>68</v>
      </c>
      <c r="D21" s="19">
        <v>5893.8</v>
      </c>
      <c r="E21" s="19">
        <v>5882.8</v>
      </c>
      <c r="F21" s="19">
        <v>5860.8</v>
      </c>
      <c r="G21" s="19">
        <v>5970.8</v>
      </c>
      <c r="H21" s="19">
        <v>5860.8</v>
      </c>
      <c r="I21" s="19">
        <v>5893.8</v>
      </c>
      <c r="J21" s="19">
        <v>5948.8</v>
      </c>
      <c r="K21" s="19">
        <v>6058.8</v>
      </c>
      <c r="L21" s="19">
        <v>6058.8</v>
      </c>
      <c r="M21" s="19">
        <v>6058.8</v>
      </c>
      <c r="N21" s="19">
        <v>6058.8</v>
      </c>
      <c r="O21" s="19"/>
      <c r="P21" s="20"/>
      <c r="Q21" s="20"/>
      <c r="R21" s="20"/>
      <c r="S21" s="11"/>
    </row>
    <row r="22" spans="1:43" x14ac:dyDescent="0.25">
      <c r="A22" s="27" t="s">
        <v>38</v>
      </c>
      <c r="B22" s="27" t="s">
        <v>38</v>
      </c>
      <c r="C22" s="27" t="s">
        <v>68</v>
      </c>
      <c r="D22" s="19">
        <v>14481</v>
      </c>
      <c r="E22" s="19">
        <v>14481</v>
      </c>
      <c r="F22" s="19">
        <v>15108</v>
      </c>
      <c r="G22" s="19">
        <v>15883.5</v>
      </c>
      <c r="H22" s="19">
        <v>16348</v>
      </c>
      <c r="I22" s="19">
        <v>16895</v>
      </c>
      <c r="J22" s="19">
        <v>17192</v>
      </c>
      <c r="K22" s="19">
        <v>17456</v>
      </c>
      <c r="L22" s="19">
        <v>17621</v>
      </c>
      <c r="M22" s="19">
        <v>17720</v>
      </c>
      <c r="N22" s="19">
        <v>18182</v>
      </c>
      <c r="O22" s="19"/>
      <c r="P22" s="20"/>
      <c r="Q22" s="20"/>
      <c r="R22" s="20"/>
      <c r="S22" s="11"/>
    </row>
    <row r="24" spans="1:43" ht="45" x14ac:dyDescent="0.25">
      <c r="C24" s="10" t="s">
        <v>150</v>
      </c>
      <c r="D24" s="13" t="s">
        <v>36</v>
      </c>
      <c r="E24" s="13" t="s">
        <v>22</v>
      </c>
      <c r="F24" s="13" t="s">
        <v>19</v>
      </c>
      <c r="G24" s="13" t="s">
        <v>151</v>
      </c>
      <c r="H24" s="10" t="s">
        <v>39</v>
      </c>
      <c r="I24" s="13" t="s">
        <v>36</v>
      </c>
      <c r="J24" s="13" t="s">
        <v>22</v>
      </c>
      <c r="K24" s="13" t="s">
        <v>19</v>
      </c>
      <c r="L24" s="13" t="s">
        <v>112</v>
      </c>
    </row>
    <row r="25" spans="1:43" x14ac:dyDescent="0.25">
      <c r="A25" s="10"/>
      <c r="B25" s="10"/>
      <c r="C25" s="10"/>
      <c r="D25" s="13" t="str">
        <f>$C$33</f>
        <v>km</v>
      </c>
      <c r="E25" s="13" t="str">
        <f>$C$3</f>
        <v>MWh</v>
      </c>
      <c r="F25" s="13" t="str">
        <f>$C$11</f>
        <v>MVA</v>
      </c>
      <c r="G25" s="13" t="s">
        <v>71</v>
      </c>
      <c r="I25" s="13" t="str">
        <f>$C$33</f>
        <v>km</v>
      </c>
      <c r="J25" s="13" t="str">
        <f>$C$3</f>
        <v>MWh</v>
      </c>
      <c r="K25" s="13" t="str">
        <f>$C$11</f>
        <v>MVA</v>
      </c>
      <c r="L25" s="13" t="s">
        <v>71</v>
      </c>
    </row>
    <row r="26" spans="1:43" x14ac:dyDescent="0.25">
      <c r="A26" s="27" t="s">
        <v>37</v>
      </c>
      <c r="B26" s="27" t="s">
        <v>91</v>
      </c>
      <c r="C26" s="27"/>
      <c r="D26" s="20">
        <f>S33</f>
        <v>5515.1390000000001</v>
      </c>
      <c r="E26" s="20">
        <f>(S3)</f>
        <v>13621768.999909813</v>
      </c>
      <c r="F26" s="20">
        <f>S11</f>
        <v>3317.0199969799901</v>
      </c>
      <c r="G26" s="20">
        <f>E26/1000</f>
        <v>13621.768999909813</v>
      </c>
      <c r="I26" s="20">
        <f>T33</f>
        <v>5517.8249999999989</v>
      </c>
      <c r="J26" s="20">
        <f>U3</f>
        <v>13446970.406143671</v>
      </c>
      <c r="K26" s="20">
        <f>U11</f>
        <v>3457.9723745353976</v>
      </c>
      <c r="L26" s="69">
        <f>J26/1000</f>
        <v>13446.970406143671</v>
      </c>
    </row>
    <row r="27" spans="1:43" x14ac:dyDescent="0.25">
      <c r="A27" s="27" t="s">
        <v>21</v>
      </c>
      <c r="B27" s="27" t="s">
        <v>92</v>
      </c>
      <c r="C27" s="27"/>
      <c r="D27" s="20">
        <f t="shared" ref="D27:D30" si="2">S34</f>
        <v>14534.2</v>
      </c>
      <c r="E27" s="20">
        <f t="shared" ref="E27:E30" si="3">(S4)</f>
        <v>51783263.917914994</v>
      </c>
      <c r="F27" s="20">
        <f t="shared" ref="F27:F30" si="4">S12</f>
        <v>12014.231537999995</v>
      </c>
      <c r="G27" s="20">
        <f t="shared" ref="G27:G30" si="5">E27/1000</f>
        <v>51783.263917914992</v>
      </c>
      <c r="I27" s="20">
        <f t="shared" ref="I27:I30" si="6">T34</f>
        <v>14529.719999999998</v>
      </c>
      <c r="J27" s="20">
        <f t="shared" ref="J27:J30" si="7">U4</f>
        <v>53545617.021062188</v>
      </c>
      <c r="K27" s="20">
        <f t="shared" ref="K27:K30" si="8">U12</f>
        <v>12360.916441399997</v>
      </c>
      <c r="L27" s="69">
        <f t="shared" ref="L27:L30" si="9">J27/1000</f>
        <v>53545.617021062186</v>
      </c>
    </row>
    <row r="28" spans="1:43" x14ac:dyDescent="0.25">
      <c r="A28" s="27" t="s">
        <v>35</v>
      </c>
      <c r="B28" s="27" t="s">
        <v>93</v>
      </c>
      <c r="C28" s="27"/>
      <c r="D28" s="20">
        <f t="shared" si="2"/>
        <v>6734.02</v>
      </c>
      <c r="E28" s="20">
        <f t="shared" si="3"/>
        <v>42258720</v>
      </c>
      <c r="F28" s="20">
        <f t="shared" si="4"/>
        <v>8943.6239999999998</v>
      </c>
      <c r="G28" s="20">
        <f t="shared" si="5"/>
        <v>42258.720000000001</v>
      </c>
      <c r="I28" s="20">
        <f t="shared" si="6"/>
        <v>6655.3186562666669</v>
      </c>
      <c r="J28" s="20">
        <f t="shared" si="7"/>
        <v>42764171.195138402</v>
      </c>
      <c r="K28" s="20">
        <f t="shared" si="8"/>
        <v>9780.0959999999995</v>
      </c>
      <c r="L28" s="69">
        <f t="shared" si="9"/>
        <v>42764.171195138406</v>
      </c>
    </row>
    <row r="29" spans="1:43" x14ac:dyDescent="0.25">
      <c r="A29" s="27" t="s">
        <v>29</v>
      </c>
      <c r="B29" s="27" t="s">
        <v>94</v>
      </c>
      <c r="C29" s="27"/>
      <c r="D29" s="20">
        <f t="shared" si="2"/>
        <v>3350.2350000000001</v>
      </c>
      <c r="E29" s="20">
        <f t="shared" si="3"/>
        <v>12909204.95870496</v>
      </c>
      <c r="F29" s="20">
        <f t="shared" si="4"/>
        <v>2410.3831052365917</v>
      </c>
      <c r="G29" s="20">
        <f t="shared" si="5"/>
        <v>12909.204958704959</v>
      </c>
      <c r="I29" s="20">
        <f t="shared" si="6"/>
        <v>3470.9744363999998</v>
      </c>
      <c r="J29" s="20">
        <f t="shared" si="7"/>
        <v>12613536.747160792</v>
      </c>
      <c r="K29" s="20">
        <f t="shared" si="8"/>
        <v>2464.7384149821946</v>
      </c>
      <c r="L29" s="69">
        <f t="shared" si="9"/>
        <v>12613.536747160791</v>
      </c>
      <c r="M29" t="s">
        <v>40</v>
      </c>
    </row>
    <row r="30" spans="1:43" x14ac:dyDescent="0.25">
      <c r="A30" s="27" t="s">
        <v>38</v>
      </c>
      <c r="B30" s="27" t="s">
        <v>95</v>
      </c>
      <c r="C30" s="27"/>
      <c r="D30" s="20">
        <f t="shared" si="2"/>
        <v>13038.453</v>
      </c>
      <c r="E30" s="20">
        <f t="shared" si="3"/>
        <v>71300000</v>
      </c>
      <c r="F30" s="20">
        <f t="shared" si="4"/>
        <v>18500</v>
      </c>
      <c r="G30" s="20">
        <f t="shared" si="5"/>
        <v>71300</v>
      </c>
      <c r="I30" s="20">
        <f t="shared" si="6"/>
        <v>13062.17752481864</v>
      </c>
      <c r="J30" s="20">
        <f t="shared" si="7"/>
        <v>73860000</v>
      </c>
      <c r="K30" s="20">
        <f t="shared" si="8"/>
        <v>18660</v>
      </c>
      <c r="L30" s="69">
        <f t="shared" si="9"/>
        <v>73860</v>
      </c>
      <c r="M30" t="s">
        <v>41</v>
      </c>
    </row>
    <row r="32" spans="1:43" x14ac:dyDescent="0.25">
      <c r="A32" s="10" t="s">
        <v>46</v>
      </c>
      <c r="B32" s="10" t="s">
        <v>46</v>
      </c>
      <c r="C32" t="s">
        <v>70</v>
      </c>
      <c r="D32" s="14">
        <v>2006</v>
      </c>
      <c r="E32" s="14">
        <v>2007</v>
      </c>
      <c r="F32" s="14">
        <v>2008</v>
      </c>
      <c r="G32" s="14">
        <v>2009</v>
      </c>
      <c r="H32" s="14">
        <v>2010</v>
      </c>
      <c r="I32" s="14">
        <v>2011</v>
      </c>
      <c r="J32" s="14">
        <v>2012</v>
      </c>
      <c r="K32" s="14">
        <v>2013</v>
      </c>
      <c r="L32" s="14">
        <v>2014</v>
      </c>
      <c r="M32" s="14">
        <v>2015</v>
      </c>
      <c r="N32" s="14">
        <v>2016</v>
      </c>
      <c r="O32" s="14">
        <v>2017</v>
      </c>
      <c r="P32" s="14">
        <v>2018</v>
      </c>
      <c r="Q32" s="14">
        <v>2019</v>
      </c>
      <c r="R32" s="14">
        <v>2020</v>
      </c>
      <c r="S32" s="14">
        <v>2021</v>
      </c>
      <c r="T32" s="10" t="s">
        <v>113</v>
      </c>
    </row>
    <row r="33" spans="1:42" x14ac:dyDescent="0.25">
      <c r="A33" s="27" t="s">
        <v>37</v>
      </c>
      <c r="B33" s="27" t="s">
        <v>91</v>
      </c>
      <c r="C33" s="27" t="s">
        <v>69</v>
      </c>
      <c r="D33" s="52">
        <f>'[6]Extracted Data'!D$22+'[6]Extracted Data'!D$34</f>
        <v>5600.5389999999998</v>
      </c>
      <c r="E33" s="52">
        <f>'[6]Extracted Data'!E$22+'[6]Extracted Data'!E$34</f>
        <v>5518.6689999999999</v>
      </c>
      <c r="F33" s="52">
        <f>'[6]Extracted Data'!F$22+'[6]Extracted Data'!F$34</f>
        <v>5518.6689999999999</v>
      </c>
      <c r="G33" s="52">
        <f>'[6]Extracted Data'!G$22+'[6]Extracted Data'!G$34</f>
        <v>5503.6689999999999</v>
      </c>
      <c r="H33" s="52">
        <f>'[6]Extracted Data'!H$22+'[6]Extracted Data'!H$34</f>
        <v>5501.6689999999999</v>
      </c>
      <c r="I33" s="52">
        <f>'[6]Extracted Data'!I$22+'[6]Extracted Data'!I$34</f>
        <v>5504.6689999999999</v>
      </c>
      <c r="J33" s="52">
        <f>'[6]Extracted Data'!J$22+'[6]Extracted Data'!J$34</f>
        <v>5526.0690000000004</v>
      </c>
      <c r="K33" s="52">
        <f>'[6]Extracted Data'!K$22+'[6]Extracted Data'!K$34</f>
        <v>5527.3490000000002</v>
      </c>
      <c r="L33" s="52">
        <f>'[6]Extracted Data'!L$22+'[6]Extracted Data'!L$34</f>
        <v>5529.4030540000012</v>
      </c>
      <c r="M33" s="52">
        <f>'[6]Extracted Data'!M$22+'[6]Extracted Data'!M$34</f>
        <v>5521.3490000000002</v>
      </c>
      <c r="N33" s="52">
        <f>'[6]Extracted Data'!N$22+'[6]Extracted Data'!N$34</f>
        <v>5524.3490000000002</v>
      </c>
      <c r="O33" s="52">
        <f>'[6]Extracted Data'!O$22+'[6]Extracted Data'!O$34</f>
        <v>5519.5689999999995</v>
      </c>
      <c r="P33" s="52">
        <f>'[6]Extracted Data'!P$22+'[6]Extracted Data'!P$34</f>
        <v>5522.1689999999999</v>
      </c>
      <c r="Q33" s="52">
        <f>'[6]Extracted Data'!Q$22+'[6]Extracted Data'!Q$34</f>
        <v>5512.6689999999999</v>
      </c>
      <c r="R33" s="52">
        <f>'[6]Extracted Data'!R$22+'[6]Extracted Data'!R$34</f>
        <v>5519.5789999999997</v>
      </c>
      <c r="S33" s="52">
        <f>'[7]Extracted Data'!$S$72</f>
        <v>5515.1390000000001</v>
      </c>
      <c r="T33" s="34">
        <f>AVERAGE(O33:S33)</f>
        <v>5517.8249999999989</v>
      </c>
      <c r="AP33" s="15"/>
    </row>
    <row r="34" spans="1:42" x14ac:dyDescent="0.25">
      <c r="A34" s="27" t="s">
        <v>21</v>
      </c>
      <c r="B34" s="27" t="s">
        <v>92</v>
      </c>
      <c r="C34" s="27" t="s">
        <v>69</v>
      </c>
      <c r="D34" s="20">
        <f>'[6]Extracted Data'!S$22+'[6]Extracted Data'!S$34</f>
        <v>11700.8</v>
      </c>
      <c r="E34" s="20">
        <f>'[6]Extracted Data'!T$22+'[6]Extracted Data'!T$34</f>
        <v>11892.8</v>
      </c>
      <c r="F34" s="20">
        <f>'[6]Extracted Data'!U$22+'[6]Extracted Data'!U$34</f>
        <v>12428.8</v>
      </c>
      <c r="G34" s="20">
        <f>'[6]Extracted Data'!V$22+'[6]Extracted Data'!V$34</f>
        <v>12865.1</v>
      </c>
      <c r="H34" s="20">
        <f>'[6]Extracted Data'!W$22+'[6]Extracted Data'!W$34</f>
        <v>13321.1</v>
      </c>
      <c r="I34" s="20">
        <f>'[6]Extracted Data'!X$22+'[6]Extracted Data'!X$34</f>
        <v>13738.4</v>
      </c>
      <c r="J34" s="20">
        <f>'[6]Extracted Data'!Y$22+'[6]Extracted Data'!Y$34</f>
        <v>13702.4</v>
      </c>
      <c r="K34" s="20">
        <f>'[6]Extracted Data'!Z$22+'[6]Extracted Data'!Z$34</f>
        <v>14313.5</v>
      </c>
      <c r="L34" s="20">
        <f>'[6]Extracted Data'!AA$22+'[6]Extracted Data'!AA$34</f>
        <v>14772.5</v>
      </c>
      <c r="M34" s="20">
        <f>'[6]Extracted Data'!AB$22+'[6]Extracted Data'!AB$34</f>
        <v>14754.5</v>
      </c>
      <c r="N34" s="20">
        <f>'[6]Extracted Data'!AC$22+'[6]Extracted Data'!AC$34</f>
        <v>14755.5</v>
      </c>
      <c r="O34" s="20">
        <f>'[6]Extracted Data'!AD$22+'[6]Extracted Data'!AD$34</f>
        <v>14532.5</v>
      </c>
      <c r="P34" s="20">
        <f>'[6]Extracted Data'!AE$22+'[6]Extracted Data'!AE$34</f>
        <v>14527.5</v>
      </c>
      <c r="Q34" s="20">
        <f>'[6]Extracted Data'!AF$22+'[6]Extracted Data'!AF$34</f>
        <v>14526.2</v>
      </c>
      <c r="R34" s="20">
        <f>'[6]Extracted Data'!AG$22+'[6]Extracted Data'!AG$34</f>
        <v>14528.2</v>
      </c>
      <c r="S34" s="20">
        <f>'[7]Extracted Data'!$AI$72</f>
        <v>14534.2</v>
      </c>
      <c r="T34" s="34">
        <f t="shared" ref="T34:T37" si="10">AVERAGE(O34:S34)</f>
        <v>14529.719999999998</v>
      </c>
    </row>
    <row r="35" spans="1:42" x14ac:dyDescent="0.25">
      <c r="A35" s="27" t="s">
        <v>35</v>
      </c>
      <c r="B35" s="27" t="s">
        <v>93</v>
      </c>
      <c r="C35" s="27" t="s">
        <v>69</v>
      </c>
      <c r="D35" s="20">
        <f>'[6]Extracted Data'!AH$22+'[6]Extracted Data'!AH$34</f>
        <v>6573</v>
      </c>
      <c r="E35" s="20">
        <f>'[6]Extracted Data'!AI$22+'[6]Extracted Data'!AI$34</f>
        <v>6573</v>
      </c>
      <c r="F35" s="20">
        <f>'[6]Extracted Data'!AJ$22+'[6]Extracted Data'!AJ$34</f>
        <v>6573</v>
      </c>
      <c r="G35" s="20">
        <f>'[6]Extracted Data'!AK$22+'[6]Extracted Data'!AK$34</f>
        <v>6573</v>
      </c>
      <c r="H35" s="20">
        <f>'[6]Extracted Data'!AL$22+'[6]Extracted Data'!AL$34</f>
        <v>6573</v>
      </c>
      <c r="I35" s="20">
        <f>'[6]Extracted Data'!AM$22+'[6]Extracted Data'!AM$34</f>
        <v>6573</v>
      </c>
      <c r="J35" s="20">
        <f>'[6]Extracted Data'!AN$22+'[6]Extracted Data'!AN$34</f>
        <v>6573</v>
      </c>
      <c r="K35" s="20">
        <f>'[6]Extracted Data'!AO$22+'[6]Extracted Data'!AO$34</f>
        <v>6573</v>
      </c>
      <c r="L35" s="20">
        <f>'[6]Extracted Data'!AP$22+'[6]Extracted Data'!AP$34</f>
        <v>6573</v>
      </c>
      <c r="M35" s="20">
        <f>'[6]Extracted Data'!AQ$22+'[6]Extracted Data'!AQ$34</f>
        <v>6573.2</v>
      </c>
      <c r="N35" s="20">
        <f>'[6]Extracted Data'!AR$22+'[6]Extracted Data'!AR$34</f>
        <v>6558.8447567553731</v>
      </c>
      <c r="O35" s="20">
        <f>'[6]Extracted Data'!AS$22+'[6]Extracted Data'!AS$34</f>
        <v>6559.9720813333324</v>
      </c>
      <c r="P35" s="20">
        <f>'[6]Extracted Data'!AT$22+'[6]Extracted Data'!AT$34</f>
        <v>6623.72</v>
      </c>
      <c r="Q35" s="20">
        <f>'[6]Extracted Data'!AU$22+'[6]Extracted Data'!AU$34</f>
        <v>6627.7700000000013</v>
      </c>
      <c r="R35" s="20">
        <f>'[6]Extracted Data'!AV$22+'[6]Extracted Data'!AV$34</f>
        <v>6731.1111999999994</v>
      </c>
      <c r="S35" s="20">
        <f>'[7]Extracted Data'!$AY$72</f>
        <v>6734.02</v>
      </c>
      <c r="T35" s="34">
        <f t="shared" si="10"/>
        <v>6655.3186562666669</v>
      </c>
    </row>
    <row r="36" spans="1:42" x14ac:dyDescent="0.25">
      <c r="A36" s="27" t="s">
        <v>29</v>
      </c>
      <c r="B36" s="27" t="s">
        <v>94</v>
      </c>
      <c r="C36" s="27" t="s">
        <v>69</v>
      </c>
      <c r="D36" s="20">
        <f>'[6]Extracted Data'!AW$22+'[6]Extracted Data'!AW$34</f>
        <v>3581.3</v>
      </c>
      <c r="E36" s="20">
        <f>'[6]Extracted Data'!AX$22+'[6]Extracted Data'!AX$34</f>
        <v>3622.3</v>
      </c>
      <c r="F36" s="20">
        <f>'[6]Extracted Data'!AY$22+'[6]Extracted Data'!AY$34</f>
        <v>3622.3</v>
      </c>
      <c r="G36" s="20">
        <f>'[6]Extracted Data'!AZ$22+'[6]Extracted Data'!AZ$34</f>
        <v>3520.3</v>
      </c>
      <c r="H36" s="20">
        <f>'[6]Extracted Data'!BA$22+'[6]Extracted Data'!BA$34</f>
        <v>3481.3</v>
      </c>
      <c r="I36" s="20">
        <f>'[6]Extracted Data'!BB$22+'[6]Extracted Data'!BB$34</f>
        <v>3493.3</v>
      </c>
      <c r="J36" s="20">
        <f>'[6]Extracted Data'!BC$22+'[6]Extracted Data'!BC$34</f>
        <v>3493.3</v>
      </c>
      <c r="K36" s="20">
        <f>'[6]Extracted Data'!BD$22+'[6]Extracted Data'!BD$34</f>
        <v>3503.19</v>
      </c>
      <c r="L36" s="20">
        <f>'[6]Extracted Data'!BE$22+'[6]Extracted Data'!BE$34</f>
        <v>3503.8</v>
      </c>
      <c r="M36" s="20">
        <f>'[6]Extracted Data'!BF$22+'[6]Extracted Data'!BF$34</f>
        <v>3563.7000000000003</v>
      </c>
      <c r="N36" s="20">
        <f>'[6]Extracted Data'!BG$22+'[6]Extracted Data'!BG$34</f>
        <v>3563.7000000000003</v>
      </c>
      <c r="O36" s="20">
        <f>'[6]Extracted Data'!BH$22+'[6]Extracted Data'!BH$34</f>
        <v>3563.7</v>
      </c>
      <c r="P36" s="20">
        <f>'[6]Extracted Data'!BI$22+'[6]Extracted Data'!BI$34</f>
        <v>3545.2</v>
      </c>
      <c r="Q36" s="20">
        <f>'[6]Extracted Data'!BJ$22+'[6]Extracted Data'!BJ$34</f>
        <v>3545.2</v>
      </c>
      <c r="R36" s="20">
        <f>'[6]Extracted Data'!BK$22+'[6]Extracted Data'!BK$34</f>
        <v>3350.5371820000005</v>
      </c>
      <c r="S36" s="20">
        <f>'[7]Extracted Data'!$BO$72</f>
        <v>3350.2350000000001</v>
      </c>
      <c r="T36" s="34">
        <f t="shared" si="10"/>
        <v>3470.9744363999998</v>
      </c>
    </row>
    <row r="37" spans="1:42" x14ac:dyDescent="0.25">
      <c r="A37" s="27" t="s">
        <v>38</v>
      </c>
      <c r="B37" s="27" t="s">
        <v>95</v>
      </c>
      <c r="C37" s="27" t="s">
        <v>69</v>
      </c>
      <c r="D37" s="20">
        <f>'[6]Extracted Data'!BL$22+'[6]Extracted Data'!BL$34</f>
        <v>12517.231000000002</v>
      </c>
      <c r="E37" s="20">
        <f>'[6]Extracted Data'!BM$22+'[6]Extracted Data'!BM$34</f>
        <v>12526.494000000004</v>
      </c>
      <c r="F37" s="20">
        <f>'[6]Extracted Data'!BN$22+'[6]Extracted Data'!BN$34</f>
        <v>12523.514000000005</v>
      </c>
      <c r="G37" s="20">
        <f>'[6]Extracted Data'!BO$22+'[6]Extracted Data'!BO$34</f>
        <v>12523.349000000004</v>
      </c>
      <c r="H37" s="20">
        <f>'[6]Extracted Data'!BP$22+'[6]Extracted Data'!BP$34</f>
        <v>12682.458999999999</v>
      </c>
      <c r="I37" s="20">
        <f>'[6]Extracted Data'!BQ$22+'[6]Extracted Data'!BQ$34</f>
        <v>12681.863000000001</v>
      </c>
      <c r="J37" s="20">
        <f>'[6]Extracted Data'!BR$22+'[6]Extracted Data'!BR$34</f>
        <v>12697.207</v>
      </c>
      <c r="K37" s="20">
        <f>'[6]Extracted Data'!BS$22+'[6]Extracted Data'!BS$34</f>
        <v>12893.617000000002</v>
      </c>
      <c r="L37" s="20">
        <f>'[6]Extracted Data'!BT$22+'[6]Extracted Data'!BT$34</f>
        <v>12929.666000000003</v>
      </c>
      <c r="M37" s="20">
        <f>'[6]Extracted Data'!BU$22+'[6]Extracted Data'!BU$34</f>
        <v>13024.7646976</v>
      </c>
      <c r="N37" s="20">
        <f>'[6]Extracted Data'!BV$22+'[6]Extracted Data'!BV$34</f>
        <v>13039.195</v>
      </c>
      <c r="O37" s="20">
        <f>'[6]Extracted Data'!BW$22+'[6]Extracted Data'!BW$34</f>
        <v>13078.1133974</v>
      </c>
      <c r="P37" s="20">
        <f>'[6]Extracted Data'!BX$22+'[6]Extracted Data'!BX$34</f>
        <v>13089.494696939968</v>
      </c>
      <c r="Q37" s="20">
        <f>'[6]Extracted Data'!BY$22+'[6]Extracted Data'!BY$34</f>
        <v>13052.37521975323</v>
      </c>
      <c r="R37" s="20">
        <f>'[6]Extracted Data'!BZ$22+'[6]Extracted Data'!BZ$34</f>
        <v>13052.451309999999</v>
      </c>
      <c r="S37" s="20">
        <f>'[7]Extracted Data'!$CE$72</f>
        <v>13038.453</v>
      </c>
      <c r="T37" s="34">
        <f t="shared" si="10"/>
        <v>13062.17752481864</v>
      </c>
    </row>
    <row r="38" spans="1:42" x14ac:dyDescent="0.25">
      <c r="D38" s="11"/>
      <c r="E38" s="11"/>
      <c r="F38" s="11"/>
      <c r="G38" s="11"/>
      <c r="H38" s="11"/>
      <c r="I38" s="11"/>
      <c r="J38" s="11"/>
      <c r="K38" s="11"/>
      <c r="L38" s="11"/>
    </row>
    <row r="39" spans="1:42" x14ac:dyDescent="0.25">
      <c r="A39" s="10" t="s">
        <v>47</v>
      </c>
      <c r="B39" s="10" t="s">
        <v>47</v>
      </c>
      <c r="C39" s="10"/>
      <c r="D39" s="14">
        <v>2006</v>
      </c>
      <c r="E39" s="14">
        <v>2007</v>
      </c>
      <c r="F39" s="14">
        <v>2008</v>
      </c>
      <c r="G39" s="14">
        <v>2009</v>
      </c>
      <c r="H39" s="14">
        <v>2010</v>
      </c>
      <c r="I39" s="14">
        <v>2011</v>
      </c>
      <c r="J39" s="14">
        <v>2012</v>
      </c>
      <c r="K39" s="14">
        <v>2013</v>
      </c>
      <c r="L39" s="14">
        <v>2014</v>
      </c>
      <c r="M39" s="14">
        <v>2015</v>
      </c>
      <c r="N39" s="14">
        <v>2016</v>
      </c>
      <c r="O39" s="14">
        <v>2017</v>
      </c>
      <c r="P39" s="14">
        <v>2018</v>
      </c>
      <c r="Q39" s="14">
        <v>2019</v>
      </c>
      <c r="R39" s="14">
        <v>2020</v>
      </c>
      <c r="S39" s="14">
        <v>2021</v>
      </c>
      <c r="T39" s="10" t="s">
        <v>113</v>
      </c>
    </row>
    <row r="40" spans="1:42" x14ac:dyDescent="0.25">
      <c r="A40" s="27" t="s">
        <v>37</v>
      </c>
      <c r="B40" s="27" t="s">
        <v>91</v>
      </c>
      <c r="C40" s="59" t="s">
        <v>108</v>
      </c>
      <c r="D40" s="34">
        <f>D48/D33</f>
        <v>139.06500785013728</v>
      </c>
      <c r="E40" s="34">
        <f t="shared" ref="E40:O40" si="11">E48/E33</f>
        <v>141.23441721183133</v>
      </c>
      <c r="F40" s="34">
        <f t="shared" si="11"/>
        <v>141.53956325338592</v>
      </c>
      <c r="G40" s="34">
        <f t="shared" si="11"/>
        <v>147.98618884965649</v>
      </c>
      <c r="H40" s="34">
        <f t="shared" si="11"/>
        <v>150.31147820779478</v>
      </c>
      <c r="I40" s="34">
        <f t="shared" si="11"/>
        <v>151.88106678167208</v>
      </c>
      <c r="J40" s="34">
        <f t="shared" si="11"/>
        <v>152.75831698807957</v>
      </c>
      <c r="K40" s="34">
        <f t="shared" si="11"/>
        <v>153.37660060908041</v>
      </c>
      <c r="L40" s="34">
        <f t="shared" si="11"/>
        <v>154.04312032992917</v>
      </c>
      <c r="M40" s="34">
        <f t="shared" si="11"/>
        <v>154.6612974474173</v>
      </c>
      <c r="N40" s="34">
        <f t="shared" si="11"/>
        <v>155.42944517082464</v>
      </c>
      <c r="O40" s="34">
        <f t="shared" si="11"/>
        <v>159.12465266762678</v>
      </c>
      <c r="P40" s="34">
        <f>P48/P33</f>
        <v>161.96480042534012</v>
      </c>
      <c r="Q40" s="34">
        <f>Q48/Q33</f>
        <v>164.38452952644172</v>
      </c>
      <c r="R40" s="34">
        <f>R48/R33</f>
        <v>165.70158702321314</v>
      </c>
      <c r="S40" s="34">
        <f>S48/S33</f>
        <v>166.9660547086846</v>
      </c>
      <c r="T40" s="34">
        <f>AVERAGE(O40:S40)</f>
        <v>163.62832487026128</v>
      </c>
    </row>
    <row r="41" spans="1:42" x14ac:dyDescent="0.25">
      <c r="A41" s="27" t="s">
        <v>21</v>
      </c>
      <c r="B41" s="27" t="s">
        <v>92</v>
      </c>
      <c r="C41" s="59" t="s">
        <v>108</v>
      </c>
      <c r="D41" s="34">
        <f t="shared" ref="D41:O41" si="12">D49/D34</f>
        <v>156.92889053577022</v>
      </c>
      <c r="E41" s="34">
        <f t="shared" si="12"/>
        <v>157.34091018655405</v>
      </c>
      <c r="F41" s="34">
        <f t="shared" si="12"/>
        <v>153.79537391649478</v>
      </c>
      <c r="G41" s="34">
        <f t="shared" si="12"/>
        <v>151.62351503939416</v>
      </c>
      <c r="H41" s="34">
        <f t="shared" si="12"/>
        <v>148.9752598008663</v>
      </c>
      <c r="I41" s="34">
        <f t="shared" si="12"/>
        <v>146.70722209281939</v>
      </c>
      <c r="J41" s="34">
        <f t="shared" si="12"/>
        <v>149.1073461583365</v>
      </c>
      <c r="K41" s="34">
        <f t="shared" si="12"/>
        <v>144.62867223250709</v>
      </c>
      <c r="L41" s="34">
        <f t="shared" si="12"/>
        <v>142.04860382467422</v>
      </c>
      <c r="M41" s="34">
        <f t="shared" si="12"/>
        <v>144.05649123996068</v>
      </c>
      <c r="N41" s="34">
        <f t="shared" si="12"/>
        <v>146.44542712886721</v>
      </c>
      <c r="O41" s="34">
        <f t="shared" si="12"/>
        <v>150.95461895750904</v>
      </c>
      <c r="P41" s="34">
        <f t="shared" ref="P41:Q41" si="13">P49/P34</f>
        <v>153.77229392531407</v>
      </c>
      <c r="Q41" s="34">
        <f t="shared" si="13"/>
        <v>155.73522325177953</v>
      </c>
      <c r="R41" s="34">
        <f t="shared" ref="R41:S41" si="14">R49/R34</f>
        <v>156.8329868806872</v>
      </c>
      <c r="S41" s="34">
        <f t="shared" si="14"/>
        <v>158.45268401425602</v>
      </c>
      <c r="T41" s="34">
        <f t="shared" ref="T41:T44" si="15">AVERAGE(O41:S41)</f>
        <v>155.14956140590917</v>
      </c>
    </row>
    <row r="42" spans="1:42" x14ac:dyDescent="0.25">
      <c r="A42" s="27" t="s">
        <v>35</v>
      </c>
      <c r="B42" s="27" t="s">
        <v>93</v>
      </c>
      <c r="C42" s="59" t="s">
        <v>108</v>
      </c>
      <c r="D42" s="34">
        <f t="shared" ref="D42:O42" si="16">D50/D35</f>
        <v>375.81766552185911</v>
      </c>
      <c r="E42" s="34">
        <f t="shared" si="16"/>
        <v>381.82365499477407</v>
      </c>
      <c r="F42" s="34">
        <f t="shared" si="16"/>
        <v>387.30902721269433</v>
      </c>
      <c r="G42" s="34">
        <f t="shared" si="16"/>
        <v>392.35752717247675</v>
      </c>
      <c r="H42" s="34">
        <f t="shared" si="16"/>
        <v>397.76512389576146</v>
      </c>
      <c r="I42" s="34">
        <f t="shared" si="16"/>
        <v>402.96408326991786</v>
      </c>
      <c r="J42" s="34">
        <f t="shared" si="16"/>
        <v>409.49927514096601</v>
      </c>
      <c r="K42" s="34">
        <f t="shared" si="16"/>
        <v>415.95241633434205</v>
      </c>
      <c r="L42" s="34">
        <f t="shared" si="16"/>
        <v>420.01093729012024</v>
      </c>
      <c r="M42" s="34">
        <f t="shared" si="16"/>
        <v>427.23607732463029</v>
      </c>
      <c r="N42" s="34">
        <f t="shared" si="16"/>
        <v>435.69715490776071</v>
      </c>
      <c r="O42" s="34">
        <f t="shared" si="16"/>
        <v>444.222469832174</v>
      </c>
      <c r="P42" s="34">
        <f t="shared" ref="P42:Q42" si="17">P50/P35</f>
        <v>446.73385952304744</v>
      </c>
      <c r="Q42" s="34">
        <f t="shared" si="17"/>
        <v>455.53587405718656</v>
      </c>
      <c r="R42" s="34">
        <f t="shared" ref="R42:S42" si="18">R50/R35</f>
        <v>454.11372790869956</v>
      </c>
      <c r="S42" s="34">
        <f t="shared" si="18"/>
        <v>457.93359687081414</v>
      </c>
      <c r="T42" s="34">
        <f t="shared" si="15"/>
        <v>451.70790563838426</v>
      </c>
    </row>
    <row r="43" spans="1:42" x14ac:dyDescent="0.25">
      <c r="A43" s="27" t="s">
        <v>29</v>
      </c>
      <c r="B43" s="27" t="s">
        <v>94</v>
      </c>
      <c r="C43" s="59" t="s">
        <v>108</v>
      </c>
      <c r="D43" s="34">
        <f t="shared" ref="D43:O43" si="19">D51/D36</f>
        <v>69.986464189344645</v>
      </c>
      <c r="E43" s="34">
        <f t="shared" si="19"/>
        <v>70.530984583482862</v>
      </c>
      <c r="F43" s="34">
        <f t="shared" si="19"/>
        <v>71.894724194914829</v>
      </c>
      <c r="G43" s="34">
        <f t="shared" si="19"/>
        <v>75.409519141899835</v>
      </c>
      <c r="H43" s="34">
        <f t="shared" si="19"/>
        <v>77.731313596030219</v>
      </c>
      <c r="I43" s="34">
        <f t="shared" si="19"/>
        <v>78.966020668133282</v>
      </c>
      <c r="J43" s="34">
        <f t="shared" si="19"/>
        <v>79.693126842810514</v>
      </c>
      <c r="K43" s="34">
        <f t="shared" si="19"/>
        <v>79.889472166793695</v>
      </c>
      <c r="L43" s="34">
        <f t="shared" si="19"/>
        <v>80.127290370454929</v>
      </c>
      <c r="M43" s="34">
        <f t="shared" si="19"/>
        <v>79.428403064230992</v>
      </c>
      <c r="N43" s="34">
        <f t="shared" si="19"/>
        <v>80.064259056598473</v>
      </c>
      <c r="O43" s="34">
        <f t="shared" si="19"/>
        <v>80.717091814686995</v>
      </c>
      <c r="P43" s="34">
        <f t="shared" ref="P43:Q43" si="20">P51/P36</f>
        <v>81.218549024032498</v>
      </c>
      <c r="Q43" s="34">
        <f t="shared" si="20"/>
        <v>81.926548572718048</v>
      </c>
      <c r="R43" s="34">
        <f t="shared" ref="R43:S43" si="21">R51/R36</f>
        <v>87.731902089961636</v>
      </c>
      <c r="S43" s="34">
        <f t="shared" si="21"/>
        <v>88.846304811453521</v>
      </c>
      <c r="T43" s="34">
        <f t="shared" si="15"/>
        <v>84.088079262570545</v>
      </c>
    </row>
    <row r="44" spans="1:42" x14ac:dyDescent="0.25">
      <c r="A44" s="27" t="s">
        <v>38</v>
      </c>
      <c r="B44" s="27" t="s">
        <v>95</v>
      </c>
      <c r="C44" s="59" t="s">
        <v>108</v>
      </c>
      <c r="D44" s="34">
        <f t="shared" ref="D44:O44" si="22">D52/D37</f>
        <v>267.57361858241251</v>
      </c>
      <c r="E44" s="34">
        <f t="shared" si="22"/>
        <v>270.058510010801</v>
      </c>
      <c r="F44" s="34">
        <f t="shared" si="22"/>
        <v>272.87010153830613</v>
      </c>
      <c r="G44" s="34">
        <f t="shared" si="22"/>
        <v>275.27941669569532</v>
      </c>
      <c r="H44" s="34">
        <f t="shared" si="22"/>
        <v>273.84884845451109</v>
      </c>
      <c r="I44" s="34">
        <f t="shared" si="22"/>
        <v>276.55059590221009</v>
      </c>
      <c r="J44" s="34">
        <f t="shared" si="22"/>
        <v>278.5633240754002</v>
      </c>
      <c r="K44" s="34">
        <f t="shared" si="22"/>
        <v>277.34159653563461</v>
      </c>
      <c r="L44" s="34">
        <f t="shared" si="22"/>
        <v>280.29563950066455</v>
      </c>
      <c r="M44" s="34">
        <f t="shared" si="22"/>
        <v>282.09668929197869</v>
      </c>
      <c r="N44" s="34">
        <f t="shared" si="22"/>
        <v>285.34447261954898</v>
      </c>
      <c r="O44" s="34">
        <f t="shared" si="22"/>
        <v>288.6165141181902</v>
      </c>
      <c r="P44" s="34">
        <f t="shared" ref="P44:Q44" si="23">P52/P37</f>
        <v>293.08717325022917</v>
      </c>
      <c r="Q44" s="34">
        <f t="shared" si="23"/>
        <v>297.9352749616649</v>
      </c>
      <c r="R44" s="34">
        <f t="shared" ref="R44:S44" si="24">R52/R37</f>
        <v>302.19967164160249</v>
      </c>
      <c r="S44" s="34">
        <f t="shared" si="24"/>
        <v>305.95934195567526</v>
      </c>
      <c r="T44" s="34">
        <f t="shared" si="15"/>
        <v>297.5595951854724</v>
      </c>
    </row>
    <row r="46" spans="1:42" x14ac:dyDescent="0.25">
      <c r="A46" s="10" t="s">
        <v>88</v>
      </c>
      <c r="B46" s="10" t="s">
        <v>88</v>
      </c>
    </row>
    <row r="47" spans="1:42" x14ac:dyDescent="0.25">
      <c r="C47" s="10"/>
      <c r="D47" s="14">
        <v>2006</v>
      </c>
      <c r="E47" s="14">
        <v>2007</v>
      </c>
      <c r="F47" s="14">
        <v>2008</v>
      </c>
      <c r="G47" s="14">
        <v>2009</v>
      </c>
      <c r="H47" s="14">
        <v>2010</v>
      </c>
      <c r="I47" s="14">
        <v>2011</v>
      </c>
      <c r="J47" s="14">
        <v>2012</v>
      </c>
      <c r="K47" s="14">
        <v>2013</v>
      </c>
      <c r="L47" s="14">
        <v>2014</v>
      </c>
      <c r="M47" s="14">
        <v>2015</v>
      </c>
      <c r="N47" s="14">
        <v>2016</v>
      </c>
      <c r="O47" s="14">
        <v>2017</v>
      </c>
      <c r="P47" s="14">
        <v>2018</v>
      </c>
      <c r="Q47" s="14">
        <v>2019</v>
      </c>
      <c r="R47" s="14">
        <v>2020</v>
      </c>
      <c r="S47" s="14">
        <v>2021</v>
      </c>
      <c r="T47" s="14" t="s">
        <v>131</v>
      </c>
    </row>
    <row r="48" spans="1:42" x14ac:dyDescent="0.25">
      <c r="A48" s="27" t="s">
        <v>37</v>
      </c>
      <c r="B48" s="27" t="s">
        <v>91</v>
      </c>
      <c r="C48" s="27" t="s">
        <v>89</v>
      </c>
      <c r="D48" s="27">
        <f>'[6]Extracted Data'!D$83</f>
        <v>778839</v>
      </c>
      <c r="E48" s="27">
        <f>'[6]Extracted Data'!E$83</f>
        <v>779426</v>
      </c>
      <c r="F48" s="27">
        <f>'[6]Extracted Data'!F$83</f>
        <v>781110</v>
      </c>
      <c r="G48" s="27">
        <f>'[6]Extracted Data'!G$83</f>
        <v>814467</v>
      </c>
      <c r="H48" s="27">
        <f>'[6]Extracted Data'!H$83</f>
        <v>826964</v>
      </c>
      <c r="I48" s="27">
        <f>'[6]Extracted Data'!I$83</f>
        <v>836055</v>
      </c>
      <c r="J48" s="27">
        <f>'[6]Extracted Data'!J$83</f>
        <v>844153</v>
      </c>
      <c r="K48" s="27">
        <f>'[6]Extracted Data'!K$83</f>
        <v>847766</v>
      </c>
      <c r="L48" s="27">
        <f>'[6]Extracted Data'!L$83</f>
        <v>851766.5</v>
      </c>
      <c r="M48" s="27">
        <f>'[6]Extracted Data'!M$83</f>
        <v>853939</v>
      </c>
      <c r="N48" s="27">
        <f>'[6]Extracted Data'!N$83</f>
        <v>858646.5</v>
      </c>
      <c r="O48" s="27">
        <f>'[6]Extracted Data'!O$83</f>
        <v>878299.5</v>
      </c>
      <c r="P48" s="27">
        <f>'[6]Extracted Data'!P$83</f>
        <v>894397</v>
      </c>
      <c r="Q48" s="27">
        <f>'[6]Extracted Data'!Q$83</f>
        <v>906197.5</v>
      </c>
      <c r="R48" s="69">
        <f>'[6]Extracted Data'!R$83</f>
        <v>914602.99999999965</v>
      </c>
      <c r="S48" s="69">
        <f>'[7]Extracted Data'!$S$83</f>
        <v>920841</v>
      </c>
      <c r="T48" s="34">
        <f>ROUND(AVERAGE(O48:S48),0)</f>
        <v>902868</v>
      </c>
    </row>
    <row r="49" spans="1:20" x14ac:dyDescent="0.25">
      <c r="A49" s="27" t="s">
        <v>21</v>
      </c>
      <c r="B49" s="27" t="s">
        <v>92</v>
      </c>
      <c r="C49" s="27" t="s">
        <v>89</v>
      </c>
      <c r="D49" s="27">
        <f>'[6]Extracted Data'!S$83</f>
        <v>1836193.56238094</v>
      </c>
      <c r="E49" s="27">
        <f>'[6]Extracted Data'!T$83</f>
        <v>1871223.97666665</v>
      </c>
      <c r="F49" s="27">
        <f>'[6]Extracted Data'!U$83</f>
        <v>1911491.9433333301</v>
      </c>
      <c r="G49" s="27">
        <f>'[6]Extracted Data'!V$83</f>
        <v>1950651.6833333101</v>
      </c>
      <c r="H49" s="27">
        <f>'[6]Extracted Data'!W$83</f>
        <v>1984514.33333332</v>
      </c>
      <c r="I49" s="27">
        <f>'[6]Extracted Data'!X$83</f>
        <v>2015522.49999999</v>
      </c>
      <c r="J49" s="27">
        <f>'[6]Extracted Data'!Y$83</f>
        <v>2043128.49999999</v>
      </c>
      <c r="K49" s="27">
        <f>'[6]Extracted Data'!Z$83</f>
        <v>2070142.49999999</v>
      </c>
      <c r="L49" s="27">
        <f>'[6]Extracted Data'!AA$83</f>
        <v>2098413</v>
      </c>
      <c r="M49" s="27">
        <f>'[6]Extracted Data'!AB$83</f>
        <v>2125481.5</v>
      </c>
      <c r="N49" s="27">
        <f>'[6]Extracted Data'!AC$83</f>
        <v>2160875.5</v>
      </c>
      <c r="O49" s="27">
        <f>'[6]Extracted Data'!AD$83</f>
        <v>2193748</v>
      </c>
      <c r="P49" s="27">
        <f>'[6]Extracted Data'!AE$83</f>
        <v>2233927</v>
      </c>
      <c r="Q49" s="27">
        <f>'[6]Extracted Data'!AF$83</f>
        <v>2262241</v>
      </c>
      <c r="R49" s="69">
        <f>'[6]Extracted Data'!AG$83</f>
        <v>2278501</v>
      </c>
      <c r="S49" s="69">
        <f>'[7]Extracted Data'!$AI$83</f>
        <v>2302983</v>
      </c>
      <c r="T49" s="34">
        <f t="shared" ref="T49:T52" si="25">ROUND(AVERAGE(O49:S49),0)</f>
        <v>2254280</v>
      </c>
    </row>
    <row r="50" spans="1:20" x14ac:dyDescent="0.25">
      <c r="A50" s="27" t="s">
        <v>35</v>
      </c>
      <c r="B50" s="27" t="s">
        <v>93</v>
      </c>
      <c r="C50" s="27" t="s">
        <v>89</v>
      </c>
      <c r="D50" s="27">
        <f>'[6]Extracted Data'!AH$83</f>
        <v>2470249.51547518</v>
      </c>
      <c r="E50" s="27">
        <f>'[6]Extracted Data'!AI$83</f>
        <v>2509726.8842806499</v>
      </c>
      <c r="F50" s="27">
        <f>'[6]Extracted Data'!AJ$83</f>
        <v>2545782.2358690398</v>
      </c>
      <c r="G50" s="27">
        <f>'[6]Extracted Data'!AK$83</f>
        <v>2578966.0261046896</v>
      </c>
      <c r="H50" s="27">
        <f>'[6]Extracted Data'!AL$83</f>
        <v>2614510.15936684</v>
      </c>
      <c r="I50" s="27">
        <f>'[6]Extracted Data'!AM$83</f>
        <v>2648682.9193331702</v>
      </c>
      <c r="J50" s="27">
        <f>'[6]Extracted Data'!AN$83</f>
        <v>2691638.7355015697</v>
      </c>
      <c r="K50" s="27">
        <f>'[6]Extracted Data'!AO$83</f>
        <v>2734055.2325656302</v>
      </c>
      <c r="L50" s="27">
        <f>'[6]Extracted Data'!AP$83</f>
        <v>2760731.8908079602</v>
      </c>
      <c r="M50" s="27">
        <f>'[6]Extracted Data'!AQ$83</f>
        <v>2808308.1834702599</v>
      </c>
      <c r="N50" s="27">
        <f>'[6]Extracted Data'!AR$83</f>
        <v>2857670</v>
      </c>
      <c r="O50" s="27">
        <f>'[6]Extracted Data'!AS$83</f>
        <v>2914087</v>
      </c>
      <c r="P50" s="27">
        <f>'[6]Extracted Data'!AT$83</f>
        <v>2959040</v>
      </c>
      <c r="Q50" s="27">
        <f>'[6]Extracted Data'!AU$83</f>
        <v>3019187</v>
      </c>
      <c r="R50" s="69">
        <f>'[6]Extracted Data'!AV$83</f>
        <v>3056690</v>
      </c>
      <c r="S50" s="69">
        <f>'[7]Extracted Data'!$AY$83</f>
        <v>3083734</v>
      </c>
      <c r="T50" s="34">
        <f t="shared" si="25"/>
        <v>3006548</v>
      </c>
    </row>
    <row r="51" spans="1:20" x14ac:dyDescent="0.25">
      <c r="A51" s="27" t="s">
        <v>29</v>
      </c>
      <c r="B51" s="27" t="s">
        <v>94</v>
      </c>
      <c r="C51" s="27" t="s">
        <v>89</v>
      </c>
      <c r="D51" s="27">
        <f>'[6]Extracted Data'!AW$83</f>
        <v>250642.5242013</v>
      </c>
      <c r="E51" s="27">
        <f>'[6]Extracted Data'!AX$83</f>
        <v>255484.38545674999</v>
      </c>
      <c r="F51" s="27">
        <f>'[6]Extracted Data'!AY$83</f>
        <v>260424.25945124001</v>
      </c>
      <c r="G51" s="27">
        <f>'[6]Extracted Data'!AZ$83</f>
        <v>265464.13023523003</v>
      </c>
      <c r="H51" s="27">
        <f>'[6]Extracted Data'!BA$83</f>
        <v>270606.02202186</v>
      </c>
      <c r="I51" s="27">
        <f>'[6]Extracted Data'!BB$83</f>
        <v>275851.99999998999</v>
      </c>
      <c r="J51" s="27">
        <f>'[6]Extracted Data'!BC$83</f>
        <v>278391.99999998999</v>
      </c>
      <c r="K51" s="27">
        <f>'[6]Extracted Data'!BD$83</f>
        <v>279867.99999998999</v>
      </c>
      <c r="L51" s="27">
        <f>'[6]Extracted Data'!BE$83</f>
        <v>280750</v>
      </c>
      <c r="M51" s="27">
        <f>'[6]Extracted Data'!BF$83</f>
        <v>283059</v>
      </c>
      <c r="N51" s="27">
        <f>'[6]Extracted Data'!BG$83</f>
        <v>285325</v>
      </c>
      <c r="O51" s="27">
        <f>'[6]Extracted Data'!BH$83</f>
        <v>287651.5001</v>
      </c>
      <c r="P51" s="27">
        <f>'[6]Extracted Data'!BI$83</f>
        <v>287936</v>
      </c>
      <c r="Q51" s="27">
        <f>'[6]Extracted Data'!BJ$83</f>
        <v>290446</v>
      </c>
      <c r="R51" s="69">
        <f>'[6]Extracted Data'!BK$83</f>
        <v>293949</v>
      </c>
      <c r="S51" s="69">
        <f>'[7]Extracted Data'!$BO$83</f>
        <v>297656</v>
      </c>
      <c r="T51" s="34">
        <f t="shared" si="25"/>
        <v>291528</v>
      </c>
    </row>
    <row r="52" spans="1:20" x14ac:dyDescent="0.25">
      <c r="A52" s="27" t="s">
        <v>38</v>
      </c>
      <c r="B52" s="27" t="s">
        <v>95</v>
      </c>
      <c r="C52" s="27" t="s">
        <v>89</v>
      </c>
      <c r="D52" s="27">
        <f>'[6]Extracted Data'!BL$83</f>
        <v>3349280.7933019502</v>
      </c>
      <c r="E52" s="27">
        <f>'[6]Extracted Data'!BM$83</f>
        <v>3382886.3052992402</v>
      </c>
      <c r="F52" s="27">
        <f>'[6]Extracted Data'!BN$83</f>
        <v>3417292.5367963999</v>
      </c>
      <c r="G52" s="27">
        <f>'[6]Extracted Data'!BO$83</f>
        <v>3447420.2077966202</v>
      </c>
      <c r="H52" s="27">
        <f>'[6]Extracted Data'!BP$83</f>
        <v>3473076.79272155</v>
      </c>
      <c r="I52" s="27">
        <f>'[6]Extracted Data'!BQ$83</f>
        <v>3507176.7698001899</v>
      </c>
      <c r="J52" s="27">
        <f>'[6]Extracted Data'!BR$83</f>
        <v>3536976.1883934401</v>
      </c>
      <c r="K52" s="27">
        <f>'[6]Extracted Data'!BS$83</f>
        <v>3575936.323899</v>
      </c>
      <c r="L52" s="27">
        <f>'[6]Extracted Data'!BT$83</f>
        <v>3624129</v>
      </c>
      <c r="M52" s="27">
        <f>'[6]Extracted Data'!BU$83</f>
        <v>3674243</v>
      </c>
      <c r="N52" s="27">
        <f>'[6]Extracted Data'!BV$83</f>
        <v>3720662.2206584597</v>
      </c>
      <c r="O52" s="27">
        <f>'[6]Extracted Data'!BW$83</f>
        <v>3774559.4999999898</v>
      </c>
      <c r="P52" s="27">
        <f>'[6]Extracted Data'!BX$83</f>
        <v>3836363</v>
      </c>
      <c r="Q52" s="27">
        <f>'[6]Extracted Data'!BY$83</f>
        <v>3888763</v>
      </c>
      <c r="R52" s="69">
        <f>'[6]Extracted Data'!BZ$83</f>
        <v>3944446.5000000042</v>
      </c>
      <c r="S52" s="69">
        <f>'[7]Extracted Data'!$CE$83</f>
        <v>3989236.5</v>
      </c>
      <c r="T52" s="34">
        <f t="shared" si="25"/>
        <v>3886674</v>
      </c>
    </row>
    <row r="55" spans="1:20" x14ac:dyDescent="0.25">
      <c r="T55" s="11">
        <f>ROUND(AVERAGE(O11:S11),0)</f>
        <v>3458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900-00001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data'!D11:M11</xm:f>
              <xm:sqref>T11</xm:sqref>
            </x14:sparkline>
          </x14:sparklines>
        </x14:sparklineGroup>
        <x14:sparklineGroup displayEmptyCellsAs="gap" xr2:uid="{00000000-0003-0000-0900-00001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data'!D12:M12</xm:f>
              <xm:sqref>T12</xm:sqref>
            </x14:sparkline>
          </x14:sparklines>
        </x14:sparklineGroup>
        <x14:sparklineGroup displayEmptyCellsAs="gap" xr2:uid="{00000000-0003-0000-0900-00001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data'!D13:M13</xm:f>
              <xm:sqref>T13</xm:sqref>
            </x14:sparkline>
          </x14:sparklines>
        </x14:sparklineGroup>
        <x14:sparklineGroup displayEmptyCellsAs="gap" xr2:uid="{00000000-0003-0000-0900-00001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data'!D14:M14</xm:f>
              <xm:sqref>T14</xm:sqref>
            </x14:sparkline>
          </x14:sparklines>
        </x14:sparklineGroup>
        <x14:sparklineGroup displayEmptyCellsAs="gap" xr2:uid="{00000000-0003-0000-0900-00001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data'!D15:M15</xm:f>
              <xm:sqref>T15</xm:sqref>
            </x14:sparkline>
          </x14:sparklines>
        </x14:sparklineGroup>
        <x14:sparklineGroup displayEmptyCellsAs="gap" xr2:uid="{00000000-0003-0000-0900-00001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data'!D18:M18</xm:f>
              <xm:sqref>T18</xm:sqref>
            </x14:sparkline>
          </x14:sparklines>
        </x14:sparklineGroup>
        <x14:sparklineGroup displayEmptyCellsAs="gap" xr2:uid="{00000000-0003-0000-0900-00001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data'!D19:M19</xm:f>
              <xm:sqref>T19</xm:sqref>
            </x14:sparkline>
          </x14:sparklines>
        </x14:sparklineGroup>
        <x14:sparklineGroup displayEmptyCellsAs="gap" xr2:uid="{00000000-0003-0000-0900-00001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data'!D20:M20</xm:f>
              <xm:sqref>T20</xm:sqref>
            </x14:sparkline>
          </x14:sparklines>
        </x14:sparklineGroup>
        <x14:sparklineGroup displayEmptyCellsAs="gap" xr2:uid="{00000000-0003-0000-0900-00000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data'!D21:M21</xm:f>
              <xm:sqref>T21</xm:sqref>
            </x14:sparkline>
          </x14:sparklines>
        </x14:sparklineGroup>
        <x14:sparklineGroup displayEmptyCellsAs="gap" xr2:uid="{00000000-0003-0000-0900-00000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data'!D22:M22</xm:f>
              <xm:sqref>T22</xm:sqref>
            </x14:sparkline>
          </x14:sparklines>
        </x14:sparklineGroup>
        <x14:sparklineGroup displayEmptyCellsAs="gap" xr2:uid="{00000000-0003-0000-0900-00000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data'!D33:M33</xm:f>
              <xm:sqref>U33</xm:sqref>
            </x14:sparkline>
          </x14:sparklines>
        </x14:sparklineGroup>
        <x14:sparklineGroup displayEmptyCellsAs="gap" xr2:uid="{00000000-0003-0000-0900-00000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data'!D34:M34</xm:f>
              <xm:sqref>U34</xm:sqref>
            </x14:sparkline>
          </x14:sparklines>
        </x14:sparklineGroup>
        <x14:sparklineGroup displayEmptyCellsAs="gap" xr2:uid="{00000000-0003-0000-0900-00000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data'!D35:M35</xm:f>
              <xm:sqref>U35</xm:sqref>
            </x14:sparkline>
          </x14:sparklines>
        </x14:sparklineGroup>
        <x14:sparklineGroup displayEmptyCellsAs="gap" xr2:uid="{00000000-0003-0000-0900-00000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data'!D36:M36</xm:f>
              <xm:sqref>U36</xm:sqref>
            </x14:sparkline>
          </x14:sparklines>
        </x14:sparklineGroup>
        <x14:sparklineGroup displayEmptyCellsAs="gap" xr2:uid="{00000000-0003-0000-09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data'!D37:M37</xm:f>
              <xm:sqref>U37</xm:sqref>
            </x14:sparkline>
          </x14:sparklines>
        </x14:sparklineGroup>
        <x14:sparklineGroup displayEmptyCellsAs="gap" xr2:uid="{00000000-0003-0000-09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data'!D3:Q3</xm:f>
              <xm:sqref>T3</xm:sqref>
            </x14:sparkline>
            <x14:sparkline>
              <xm:f>'Physical data'!D4:Q4</xm:f>
              <xm:sqref>T4</xm:sqref>
            </x14:sparkline>
            <x14:sparkline>
              <xm:f>'Physical data'!D5:Q5</xm:f>
              <xm:sqref>T5</xm:sqref>
            </x14:sparkline>
            <x14:sparkline>
              <xm:f>'Physical data'!D6:Q6</xm:f>
              <xm:sqref>T6</xm:sqref>
            </x14:sparkline>
            <x14:sparkline>
              <xm:f>'Physical data'!D7:Q7</xm:f>
              <xm:sqref>T7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24"/>
  <sheetViews>
    <sheetView topLeftCell="B9" zoomScaleNormal="100" workbookViewId="0">
      <selection activeCell="X3" sqref="X3"/>
    </sheetView>
  </sheetViews>
  <sheetFormatPr defaultRowHeight="15" x14ac:dyDescent="0.25"/>
  <sheetData>
    <row r="1" spans="1:47" x14ac:dyDescent="0.25">
      <c r="A1" s="10" t="s">
        <v>84</v>
      </c>
    </row>
    <row r="2" spans="1:47" ht="26.25" x14ac:dyDescent="0.4">
      <c r="B2" s="16" t="s">
        <v>137</v>
      </c>
      <c r="M2" s="16" t="s">
        <v>138</v>
      </c>
      <c r="X2" s="16" t="s">
        <v>139</v>
      </c>
      <c r="AC2" s="9"/>
      <c r="AU2" s="9"/>
    </row>
    <row r="24" spans="2:13" ht="26.25" x14ac:dyDescent="0.4">
      <c r="B24" s="16"/>
      <c r="L24" s="9"/>
      <c r="M24" s="1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abSelected="1" workbookViewId="0">
      <selection activeCell="B14" sqref="B14"/>
    </sheetView>
  </sheetViews>
  <sheetFormatPr defaultRowHeight="15" x14ac:dyDescent="0.25"/>
  <cols>
    <col min="1" max="1" width="17.5703125" customWidth="1"/>
    <col min="2" max="6" width="20" customWidth="1"/>
    <col min="7" max="7" width="19.140625" customWidth="1"/>
    <col min="8" max="9" width="17.85546875" customWidth="1"/>
  </cols>
  <sheetData>
    <row r="1" spans="1:6" x14ac:dyDescent="0.25">
      <c r="A1" s="10" t="s">
        <v>59</v>
      </c>
    </row>
    <row r="2" spans="1:6" x14ac:dyDescent="0.25">
      <c r="A2" s="10" t="s">
        <v>54</v>
      </c>
    </row>
    <row r="3" spans="1:6" x14ac:dyDescent="0.25">
      <c r="B3" t="str">
        <f>'Physical data'!D24</f>
        <v>Circuit line length</v>
      </c>
      <c r="C3" t="str">
        <f>'Physical data'!E24</f>
        <v>Energy transported</v>
      </c>
      <c r="D3" t="str">
        <f>'Physical data'!F24</f>
        <v>Maximum demand</v>
      </c>
    </row>
    <row r="4" spans="1:6" x14ac:dyDescent="0.25">
      <c r="B4" s="35" t="str">
        <f>'Physical data'!D25</f>
        <v>km</v>
      </c>
      <c r="C4" s="36" t="s">
        <v>71</v>
      </c>
      <c r="D4" s="35" t="str">
        <f>'Physical data'!F25</f>
        <v>MVA</v>
      </c>
      <c r="E4" s="35"/>
    </row>
    <row r="5" spans="1:6" x14ac:dyDescent="0.25">
      <c r="A5" t="str">
        <f>'Physical data'!B26</f>
        <v>ENT</v>
      </c>
      <c r="B5" s="35">
        <f>'Physical data'!D26</f>
        <v>5515.1390000000001</v>
      </c>
      <c r="C5" s="35">
        <f>'Physical data'!E26/1000</f>
        <v>13621.768999909813</v>
      </c>
      <c r="D5" s="35">
        <f>'Physical data'!F26</f>
        <v>3317.0199969799901</v>
      </c>
      <c r="E5" s="35"/>
    </row>
    <row r="6" spans="1:6" x14ac:dyDescent="0.25">
      <c r="A6" t="str">
        <f>'Physical data'!B27</f>
        <v>PLK</v>
      </c>
      <c r="B6" s="35">
        <f>'Physical data'!D27</f>
        <v>14534.2</v>
      </c>
      <c r="C6" s="35">
        <f>'Physical data'!E27/1000</f>
        <v>51783.263917914992</v>
      </c>
      <c r="D6" s="35">
        <f>'Physical data'!F27</f>
        <v>12014.231537999995</v>
      </c>
      <c r="E6" s="35"/>
    </row>
    <row r="7" spans="1:6" x14ac:dyDescent="0.25">
      <c r="A7" t="str">
        <f>'Physical data'!B28</f>
        <v>ANT</v>
      </c>
      <c r="B7" s="35">
        <f>'Physical data'!D28</f>
        <v>6734.02</v>
      </c>
      <c r="C7" s="35">
        <f>'Physical data'!E28/1000</f>
        <v>42258.720000000001</v>
      </c>
      <c r="D7" s="35">
        <f>'Physical data'!F28</f>
        <v>8943.6239999999998</v>
      </c>
      <c r="E7" s="35"/>
    </row>
    <row r="8" spans="1:6" x14ac:dyDescent="0.25">
      <c r="A8" t="str">
        <f>'Physical data'!B29</f>
        <v>TNT</v>
      </c>
      <c r="B8" s="35">
        <f>'Physical data'!D29</f>
        <v>3350.2350000000001</v>
      </c>
      <c r="C8" s="35">
        <f>'Physical data'!E29/1000</f>
        <v>12909.204958704959</v>
      </c>
      <c r="D8" s="35">
        <f>'Physical data'!F29</f>
        <v>2410.3831052365917</v>
      </c>
      <c r="E8" s="35"/>
    </row>
    <row r="9" spans="1:6" x14ac:dyDescent="0.25">
      <c r="A9" t="str">
        <f>'Physical data'!B30</f>
        <v>TRG</v>
      </c>
      <c r="B9" s="35">
        <f>'Physical data'!D30</f>
        <v>13038.453</v>
      </c>
      <c r="C9" s="35">
        <f>'Physical data'!E30/1000</f>
        <v>71300</v>
      </c>
      <c r="D9" s="35">
        <f>'Physical data'!F30</f>
        <v>18500</v>
      </c>
      <c r="E9" s="35"/>
    </row>
    <row r="11" spans="1:6" x14ac:dyDescent="0.25">
      <c r="A11" s="10" t="s">
        <v>53</v>
      </c>
    </row>
    <row r="12" spans="1:6" x14ac:dyDescent="0.25">
      <c r="B12" t="s">
        <v>25</v>
      </c>
      <c r="C12" t="s">
        <v>26</v>
      </c>
      <c r="D12" t="s">
        <v>27</v>
      </c>
      <c r="E12" t="s">
        <v>23</v>
      </c>
      <c r="F12" t="s">
        <v>28</v>
      </c>
    </row>
    <row r="13" spans="1:6" x14ac:dyDescent="0.25">
      <c r="B13" t="str">
        <f>Opex!$B$15</f>
        <v>$'000 2021</v>
      </c>
      <c r="C13" t="str">
        <f>Capex!$B$18</f>
        <v>$'000 2021</v>
      </c>
      <c r="D13" t="str">
        <f>RAB!$B$15</f>
        <v>$'000 2021</v>
      </c>
      <c r="E13" t="str">
        <f>Depreciation!$B$15</f>
        <v>$'000 2021</v>
      </c>
      <c r="F13" t="str">
        <f>'Asset cost and Total cost'!$B$11</f>
        <v>$'000 2021</v>
      </c>
    </row>
    <row r="14" spans="1:6" x14ac:dyDescent="0.25">
      <c r="A14" t="s">
        <v>37</v>
      </c>
      <c r="B14" s="11">
        <f>Opex!S15</f>
        <v>99181</v>
      </c>
      <c r="C14" s="11">
        <f>Capex!S17</f>
        <v>142723.28114409186</v>
      </c>
      <c r="D14" s="11">
        <f>RAB!S15</f>
        <v>2440438</v>
      </c>
      <c r="E14" s="11">
        <f>ABS(Depreciation!S15)</f>
        <v>118947.58694794713</v>
      </c>
      <c r="F14" s="11">
        <f>'Asset cost and Total cost'!S11</f>
        <v>200162.69173787287</v>
      </c>
    </row>
    <row r="15" spans="1:6" x14ac:dyDescent="0.25">
      <c r="A15" t="s">
        <v>21</v>
      </c>
      <c r="B15" s="11">
        <f>Opex!S16</f>
        <v>214187</v>
      </c>
      <c r="C15" s="11">
        <f>Capex!S18</f>
        <v>148527.60579017419</v>
      </c>
      <c r="D15" s="11">
        <f>RAB!S16</f>
        <v>6819477</v>
      </c>
      <c r="E15" s="11">
        <f>ABS(Depreciation!S16)</f>
        <v>299843.05978529959</v>
      </c>
      <c r="F15" s="11">
        <f>'Asset cost and Total cost'!S12</f>
        <v>525883.74699146464</v>
      </c>
    </row>
    <row r="16" spans="1:6" x14ac:dyDescent="0.25">
      <c r="A16" t="s">
        <v>35</v>
      </c>
      <c r="B16" s="11">
        <f>Opex!S17</f>
        <v>85824</v>
      </c>
      <c r="C16" s="11">
        <f>Capex!S19</f>
        <v>154316.71989510948</v>
      </c>
      <c r="D16" s="11">
        <f>RAB!S17</f>
        <v>3111036</v>
      </c>
      <c r="E16" s="11">
        <f>ABS(Depreciation!S17)</f>
        <v>183613.14284009163</v>
      </c>
      <c r="F16" s="11">
        <f>'Asset cost and Total cost'!S13</f>
        <v>298717.35586175026</v>
      </c>
    </row>
    <row r="17" spans="1:6" x14ac:dyDescent="0.25">
      <c r="A17" t="s">
        <v>29</v>
      </c>
      <c r="B17" s="11">
        <f>Opex!S18</f>
        <v>31339</v>
      </c>
      <c r="C17" s="11">
        <f>Capex!S20</f>
        <v>49339.676335318931</v>
      </c>
      <c r="D17" s="11">
        <f>RAB!S18</f>
        <v>1444417</v>
      </c>
      <c r="E17" s="11">
        <f>ABS(Depreciation!S18)</f>
        <v>62627.824012769954</v>
      </c>
      <c r="F17" s="11">
        <f>'Asset cost and Total cost'!S14</f>
        <v>111687.11072484622</v>
      </c>
    </row>
    <row r="18" spans="1:6" x14ac:dyDescent="0.25">
      <c r="A18" t="s">
        <v>38</v>
      </c>
      <c r="B18" s="11">
        <f>Opex!S19</f>
        <v>168690</v>
      </c>
      <c r="C18" s="11">
        <f>Capex!S21</f>
        <v>222971.8010843019</v>
      </c>
      <c r="D18" s="11">
        <f>RAB!S19</f>
        <v>6478387</v>
      </c>
      <c r="E18" s="11">
        <f>ABS(Depreciation!S19)</f>
        <v>284846.6393025865</v>
      </c>
      <c r="F18" s="11">
        <f>'Asset cost and Total cost'!S15</f>
        <v>489880.91978026804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Charts-updated</vt:lpstr>
      <vt:lpstr>TNSP Analysis</vt:lpstr>
      <vt:lpstr>Asset cost and Total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2022-11-21T07:17:48Z</dcterms:modified>
</cp:coreProperties>
</file>