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ThisWorkbook" defaultThemeVersion="124226"/>
  <bookViews>
    <workbookView xWindow="0" yWindow="10395" windowWidth="11520" windowHeight="4290" tabRatio="807" activeTab="7"/>
  </bookViews>
  <sheets>
    <sheet name="Index" sheetId="1" r:id="rId1"/>
    <sheet name="Input|General" sheetId="54" r:id="rId2"/>
    <sheet name="Input|Inflation" sheetId="55" r:id="rId3"/>
    <sheet name="Input|Reported opex" sheetId="58" r:id="rId4"/>
    <sheet name="Input|Rate of change" sheetId="2" r:id="rId5"/>
    <sheet name="Input|Step changes" sheetId="53" r:id="rId6"/>
    <sheet name="Calc|Opex forecast" sheetId="42" r:id="rId7"/>
    <sheet name="Output|Models" sheetId="44" r:id="rId8"/>
    <sheet name="Lookup|Tables" sheetId="4" r:id="rId9"/>
    <sheet name="Check|List" sheetId="16" r:id="rId10"/>
  </sheets>
  <externalReferences>
    <externalReference r:id="rId11"/>
    <externalReference r:id="rId12"/>
    <externalReference r:id="rId13"/>
    <externalReference r:id="rId14"/>
  </externalReferences>
  <definedNames>
    <definedName name="BaseYear">'Input|General'!$G$11</definedName>
    <definedName name="factor">'Lookup|Tables'!$G$17</definedName>
    <definedName name="FPFirstYear">'Input|General'!$G$13</definedName>
    <definedName name="FPLastYear">'Input|General'!$G$14</definedName>
    <definedName name="millions">'Lookup|Tables'!$G$12</definedName>
    <definedName name="Nominal_to_Real">'Input|Rate of change'!$C$25:$C$30</definedName>
    <definedName name="NSP">'Input|General'!$G$7</definedName>
    <definedName name="number">'Lookup|Tables'!$G$16</definedName>
    <definedName name="percent">'Lookup|Tables'!$G$14</definedName>
    <definedName name="PPFirstYear">'Input|General'!$G$10</definedName>
    <definedName name="PPLastYear">'Input|General'!$G$12</definedName>
    <definedName name="Real_to_Nominal">'Input|Rate of change'!$C$16:$C$21</definedName>
    <definedName name="thousands">'Lookup|Tables'!$G$11</definedName>
    <definedName name="unit">'Lookup|Tables'!$G$15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37" i="2" l="1"/>
  <c r="S37" i="2"/>
  <c r="R37" i="2"/>
  <c r="Q37" i="2"/>
  <c r="P37" i="2"/>
  <c r="O37" i="2"/>
  <c r="T36" i="2"/>
  <c r="S36" i="2"/>
  <c r="R36" i="2"/>
  <c r="Q36" i="2"/>
  <c r="P36" i="2"/>
  <c r="O36" i="2"/>
  <c r="N50" i="42" l="1"/>
  <c r="N66" i="2" l="1"/>
  <c r="O66" i="2"/>
  <c r="P66" i="2"/>
  <c r="Q66" i="2"/>
  <c r="R66" i="2"/>
  <c r="S66" i="2"/>
  <c r="C15" i="53" l="1"/>
  <c r="C14" i="53"/>
  <c r="C13" i="53"/>
  <c r="C12" i="53"/>
  <c r="M87" i="2" l="1"/>
  <c r="M86" i="2"/>
  <c r="L86" i="2"/>
  <c r="K86" i="2"/>
  <c r="J86" i="2"/>
  <c r="M85" i="2"/>
  <c r="L85" i="2"/>
  <c r="K85" i="2"/>
  <c r="J85" i="2"/>
  <c r="M84" i="2"/>
  <c r="L84" i="2"/>
  <c r="K84" i="2"/>
  <c r="J84" i="2"/>
  <c r="T67" i="2"/>
  <c r="S67" i="2"/>
  <c r="R67" i="2"/>
  <c r="Q67" i="2"/>
  <c r="P67" i="2"/>
  <c r="O67" i="2"/>
  <c r="N67" i="2"/>
  <c r="T66" i="2"/>
  <c r="T56" i="2"/>
  <c r="S56" i="2"/>
  <c r="R56" i="2"/>
  <c r="Q56" i="2"/>
  <c r="P56" i="2"/>
  <c r="O56" i="2"/>
  <c r="T51" i="2"/>
  <c r="S51" i="2"/>
  <c r="R51" i="2"/>
  <c r="Q51" i="2"/>
  <c r="P51" i="2"/>
  <c r="O51" i="2"/>
  <c r="S13" i="53" l="1"/>
  <c r="R13" i="53"/>
  <c r="Q13" i="53"/>
  <c r="P13" i="53"/>
  <c r="O13" i="53"/>
  <c r="S12" i="53"/>
  <c r="R12" i="53"/>
  <c r="Q12" i="53"/>
  <c r="P12" i="53"/>
  <c r="O12" i="53"/>
  <c r="P38" i="2" l="1"/>
  <c r="Q38" i="2"/>
  <c r="R38" i="2"/>
  <c r="S38" i="2"/>
  <c r="T38" i="2"/>
  <c r="O38" i="2"/>
  <c r="T91" i="2" l="1" a="1"/>
  <c r="T91" i="2" s="1"/>
  <c r="S91" i="2" a="1"/>
  <c r="S91" i="2" s="1"/>
  <c r="R91" i="2" a="1"/>
  <c r="R91" i="2" s="1"/>
  <c r="Q91" i="2" a="1"/>
  <c r="Q91" i="2" s="1"/>
  <c r="P91" i="2" a="1"/>
  <c r="P91" i="2" s="1"/>
  <c r="O91" i="2" a="1"/>
  <c r="O91" i="2" s="1"/>
  <c r="N91" i="2" a="1"/>
  <c r="N91" i="2" s="1"/>
  <c r="K91" i="2" a="1"/>
  <c r="K91" i="2" s="1"/>
  <c r="J91" i="2" a="1"/>
  <c r="J91" i="2" s="1"/>
  <c r="M91" i="2" a="1"/>
  <c r="M91" i="2" s="1"/>
  <c r="L91" i="2" a="1"/>
  <c r="L91" i="2" s="1"/>
  <c r="F58" i="55"/>
  <c r="C95" i="2" l="1" a="1"/>
  <c r="C98" i="2" s="1"/>
  <c r="C95" i="2" l="1"/>
  <c r="C96" i="2"/>
  <c r="C97" i="2"/>
  <c r="W91" i="2"/>
  <c r="F60" i="55" l="1"/>
  <c r="F62" i="55" l="1"/>
  <c r="F61" i="55" s="1"/>
  <c r="F59" i="55"/>
  <c r="F57" i="55"/>
  <c r="F38" i="53" l="1"/>
  <c r="F15" i="42"/>
  <c r="F8" i="42" l="1"/>
  <c r="F8" i="44" l="1"/>
  <c r="F16" i="42" l="1"/>
  <c r="E16" i="42"/>
  <c r="K29" i="58"/>
  <c r="L29" i="58"/>
  <c r="M29" i="58"/>
  <c r="N29" i="58"/>
  <c r="O29" i="58"/>
  <c r="P29" i="58"/>
  <c r="Q29" i="58"/>
  <c r="R29" i="58"/>
  <c r="S29" i="58"/>
  <c r="J29" i="58"/>
  <c r="E19" i="58"/>
  <c r="E15" i="58"/>
  <c r="D15" i="58"/>
  <c r="F15" i="58"/>
  <c r="K15" i="58"/>
  <c r="L15" i="58"/>
  <c r="M15" i="58"/>
  <c r="N15" i="58"/>
  <c r="O15" i="58"/>
  <c r="P15" i="58"/>
  <c r="Q15" i="58"/>
  <c r="R15" i="58"/>
  <c r="S15" i="58"/>
  <c r="J15" i="58"/>
  <c r="E65" i="58" l="1"/>
  <c r="F20" i="42" l="1"/>
  <c r="E20" i="42"/>
  <c r="K53" i="58"/>
  <c r="L53" i="58"/>
  <c r="N53" i="58"/>
  <c r="O53" i="58"/>
  <c r="P53" i="58"/>
  <c r="Q53" i="58"/>
  <c r="R53" i="58"/>
  <c r="S53" i="58"/>
  <c r="J53" i="58"/>
  <c r="K44" i="58"/>
  <c r="N44" i="58"/>
  <c r="O44" i="58"/>
  <c r="P44" i="58"/>
  <c r="Q44" i="58"/>
  <c r="R44" i="58"/>
  <c r="S44" i="58"/>
  <c r="J44" i="58"/>
  <c r="F44" i="58"/>
  <c r="E44" i="58"/>
  <c r="G70" i="4"/>
  <c r="G71" i="4" s="1"/>
  <c r="G72" i="4" s="1"/>
  <c r="G73" i="4" s="1"/>
  <c r="G74" i="4" s="1"/>
  <c r="G65" i="4"/>
  <c r="G66" i="4" s="1"/>
  <c r="G67" i="4" s="1"/>
  <c r="G68" i="4" s="1"/>
  <c r="G69" i="4" s="1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41" i="4"/>
  <c r="H69" i="4"/>
  <c r="H68" i="4"/>
  <c r="H67" i="4"/>
  <c r="H66" i="4"/>
  <c r="H74" i="4"/>
  <c r="H73" i="4"/>
  <c r="H72" i="4"/>
  <c r="H71" i="4"/>
  <c r="H70" i="4"/>
  <c r="H65" i="4"/>
  <c r="C40" i="4"/>
  <c r="F18" i="42" l="1"/>
  <c r="E18" i="42"/>
  <c r="S4" i="44"/>
  <c r="R4" i="44"/>
  <c r="Q4" i="44"/>
  <c r="P4" i="44"/>
  <c r="O4" i="44"/>
  <c r="N4" i="44"/>
  <c r="M4" i="44"/>
  <c r="L4" i="44"/>
  <c r="K4" i="44"/>
  <c r="J4" i="44"/>
  <c r="S4" i="42"/>
  <c r="R4" i="42"/>
  <c r="Q4" i="42"/>
  <c r="P4" i="42"/>
  <c r="O4" i="42"/>
  <c r="N4" i="42"/>
  <c r="N43" i="42" s="1"/>
  <c r="M4" i="42"/>
  <c r="L4" i="42"/>
  <c r="K4" i="42"/>
  <c r="J4" i="42"/>
  <c r="S4" i="53"/>
  <c r="S10" i="53" s="1"/>
  <c r="R4" i="53"/>
  <c r="Q4" i="53"/>
  <c r="P4" i="53"/>
  <c r="P36" i="53" s="1"/>
  <c r="O4" i="53"/>
  <c r="N4" i="53"/>
  <c r="N36" i="53" s="1"/>
  <c r="M4" i="53"/>
  <c r="L4" i="53"/>
  <c r="L36" i="53" s="1"/>
  <c r="K4" i="53"/>
  <c r="J4" i="53"/>
  <c r="J4" i="2"/>
  <c r="T4" i="2"/>
  <c r="S4" i="2"/>
  <c r="R4" i="2"/>
  <c r="Q4" i="2"/>
  <c r="P4" i="2"/>
  <c r="O4" i="2"/>
  <c r="N4" i="2"/>
  <c r="M4" i="2"/>
  <c r="L4" i="2"/>
  <c r="K4" i="2"/>
  <c r="S4" i="58"/>
  <c r="S57" i="58" s="1"/>
  <c r="R4" i="58"/>
  <c r="Q4" i="58"/>
  <c r="Q57" i="58" s="1"/>
  <c r="P4" i="58"/>
  <c r="P57" i="58" s="1"/>
  <c r="O4" i="58"/>
  <c r="O57" i="58" s="1"/>
  <c r="N4" i="58"/>
  <c r="M4" i="58"/>
  <c r="M57" i="58" s="1"/>
  <c r="L4" i="58"/>
  <c r="L57" i="58" s="1"/>
  <c r="K4" i="58"/>
  <c r="K57" i="58" s="1"/>
  <c r="J4" i="58"/>
  <c r="J57" i="58" s="1"/>
  <c r="J76" i="2"/>
  <c r="K76" i="2"/>
  <c r="L76" i="2"/>
  <c r="M76" i="2"/>
  <c r="N76" i="2"/>
  <c r="J77" i="2"/>
  <c r="K77" i="2"/>
  <c r="L77" i="2"/>
  <c r="M77" i="2"/>
  <c r="N77" i="2"/>
  <c r="O77" i="2"/>
  <c r="P77" i="2"/>
  <c r="Q77" i="2"/>
  <c r="R77" i="2"/>
  <c r="S77" i="2"/>
  <c r="T77" i="2"/>
  <c r="J78" i="2"/>
  <c r="K78" i="2"/>
  <c r="L78" i="2"/>
  <c r="M78" i="2"/>
  <c r="N78" i="2"/>
  <c r="O78" i="2"/>
  <c r="P78" i="2"/>
  <c r="Q78" i="2"/>
  <c r="R78" i="2"/>
  <c r="S78" i="2"/>
  <c r="T78" i="2"/>
  <c r="J79" i="2"/>
  <c r="K79" i="2"/>
  <c r="L79" i="2"/>
  <c r="M79" i="2"/>
  <c r="N79" i="2"/>
  <c r="O79" i="2"/>
  <c r="P79" i="2"/>
  <c r="Q79" i="2"/>
  <c r="R79" i="2"/>
  <c r="S79" i="2"/>
  <c r="T79" i="2"/>
  <c r="J80" i="2"/>
  <c r="K80" i="2"/>
  <c r="L80" i="2"/>
  <c r="M80" i="2"/>
  <c r="N80" i="2"/>
  <c r="O80" i="2"/>
  <c r="P80" i="2"/>
  <c r="Q80" i="2"/>
  <c r="R80" i="2"/>
  <c r="S80" i="2"/>
  <c r="T80" i="2"/>
  <c r="J75" i="2"/>
  <c r="K75" i="2"/>
  <c r="L75" i="2"/>
  <c r="M75" i="2"/>
  <c r="N48" i="42" l="1"/>
  <c r="P93" i="2"/>
  <c r="P73" i="2"/>
  <c r="Q93" i="2"/>
  <c r="Q73" i="2"/>
  <c r="N93" i="2"/>
  <c r="N73" i="2"/>
  <c r="R93" i="2"/>
  <c r="R73" i="2"/>
  <c r="L93" i="2"/>
  <c r="L97" i="2" s="1"/>
  <c r="L73" i="2"/>
  <c r="T93" i="2"/>
  <c r="T73" i="2"/>
  <c r="M93" i="2"/>
  <c r="M98" i="2" s="1"/>
  <c r="M73" i="2"/>
  <c r="J93" i="2"/>
  <c r="J98" i="2" s="1"/>
  <c r="J73" i="2"/>
  <c r="K93" i="2"/>
  <c r="K96" i="2" s="1"/>
  <c r="K73" i="2"/>
  <c r="O93" i="2"/>
  <c r="O73" i="2"/>
  <c r="S93" i="2"/>
  <c r="S73" i="2"/>
  <c r="P62" i="2"/>
  <c r="P102" i="2"/>
  <c r="P34" i="2"/>
  <c r="P47" i="2"/>
  <c r="N34" i="42"/>
  <c r="N28" i="42"/>
  <c r="N22" i="42"/>
  <c r="N31" i="42"/>
  <c r="N25" i="42"/>
  <c r="R25" i="42"/>
  <c r="R43" i="42"/>
  <c r="R48" i="42" s="1"/>
  <c r="R34" i="42"/>
  <c r="R28" i="42"/>
  <c r="R22" i="42"/>
  <c r="R31" i="42"/>
  <c r="N34" i="58"/>
  <c r="N57" i="58"/>
  <c r="R34" i="58"/>
  <c r="R57" i="58"/>
  <c r="M62" i="2"/>
  <c r="M47" i="2"/>
  <c r="M102" i="2"/>
  <c r="M34" i="2"/>
  <c r="Q62" i="2"/>
  <c r="Q47" i="2"/>
  <c r="Q102" i="2"/>
  <c r="Q34" i="2"/>
  <c r="J47" i="2"/>
  <c r="J102" i="2"/>
  <c r="J62" i="2"/>
  <c r="J34" i="2"/>
  <c r="K31" i="42"/>
  <c r="K25" i="42"/>
  <c r="K43" i="42"/>
  <c r="K34" i="42"/>
  <c r="K28" i="42"/>
  <c r="K22" i="42"/>
  <c r="O31" i="42"/>
  <c r="O25" i="42"/>
  <c r="O43" i="42"/>
  <c r="O48" i="42" s="1"/>
  <c r="O34" i="42"/>
  <c r="O28" i="42"/>
  <c r="O22" i="42"/>
  <c r="S31" i="42"/>
  <c r="S25" i="42"/>
  <c r="S43" i="42"/>
  <c r="S48" i="42" s="1"/>
  <c r="S34" i="42"/>
  <c r="S28" i="42"/>
  <c r="S22" i="42"/>
  <c r="L102" i="2"/>
  <c r="L34" i="2"/>
  <c r="L47" i="2"/>
  <c r="L62" i="2"/>
  <c r="T102" i="2"/>
  <c r="T34" i="2"/>
  <c r="T47" i="2"/>
  <c r="T62" i="2"/>
  <c r="J34" i="42"/>
  <c r="J22" i="42"/>
  <c r="J43" i="42"/>
  <c r="J31" i="42"/>
  <c r="J25" i="42"/>
  <c r="J28" i="42"/>
  <c r="N47" i="2"/>
  <c r="N62" i="2"/>
  <c r="N34" i="2"/>
  <c r="N102" i="2"/>
  <c r="R47" i="2"/>
  <c r="R34" i="2"/>
  <c r="R62" i="2"/>
  <c r="R102" i="2"/>
  <c r="L31" i="42"/>
  <c r="L25" i="42"/>
  <c r="L43" i="42"/>
  <c r="L28" i="42"/>
  <c r="P28" i="42"/>
  <c r="P31" i="42"/>
  <c r="P25" i="42"/>
  <c r="P43" i="42"/>
  <c r="P48" i="42" s="1"/>
  <c r="P34" i="42"/>
  <c r="P22" i="42"/>
  <c r="K102" i="2"/>
  <c r="K34" i="2"/>
  <c r="K47" i="2"/>
  <c r="K62" i="2"/>
  <c r="O102" i="2"/>
  <c r="O34" i="2"/>
  <c r="O47" i="2"/>
  <c r="O62" i="2"/>
  <c r="S102" i="2"/>
  <c r="S34" i="2"/>
  <c r="S47" i="2"/>
  <c r="S62" i="2"/>
  <c r="M43" i="42"/>
  <c r="M48" i="42" s="1"/>
  <c r="M34" i="42"/>
  <c r="M28" i="42"/>
  <c r="M31" i="42"/>
  <c r="Q43" i="42"/>
  <c r="Q48" i="42" s="1"/>
  <c r="Q34" i="42"/>
  <c r="Q28" i="42"/>
  <c r="Q22" i="42"/>
  <c r="Q31" i="42"/>
  <c r="Q25" i="42"/>
  <c r="J15" i="42"/>
  <c r="L15" i="42"/>
  <c r="N15" i="42"/>
  <c r="P20" i="42"/>
  <c r="P15" i="42"/>
  <c r="R20" i="42"/>
  <c r="R15" i="42"/>
  <c r="K15" i="42"/>
  <c r="O15" i="42"/>
  <c r="Q20" i="42"/>
  <c r="Q15" i="42"/>
  <c r="S20" i="42"/>
  <c r="S15" i="42"/>
  <c r="J12" i="42"/>
  <c r="K12" i="42"/>
  <c r="O12" i="42"/>
  <c r="Q12" i="42"/>
  <c r="S12" i="42"/>
  <c r="N12" i="42"/>
  <c r="P12" i="42"/>
  <c r="R12" i="42"/>
  <c r="J10" i="58"/>
  <c r="N10" i="58"/>
  <c r="R10" i="58"/>
  <c r="L34" i="58"/>
  <c r="P34" i="58"/>
  <c r="S10" i="2"/>
  <c r="O10" i="2"/>
  <c r="K10" i="2"/>
  <c r="M14" i="2"/>
  <c r="Q14" i="2"/>
  <c r="J23" i="2"/>
  <c r="L10" i="58"/>
  <c r="P10" i="58"/>
  <c r="J34" i="58"/>
  <c r="J10" i="2"/>
  <c r="Q10" i="2"/>
  <c r="M10" i="2"/>
  <c r="K14" i="2"/>
  <c r="O14" i="2"/>
  <c r="S14" i="2"/>
  <c r="M34" i="58"/>
  <c r="M10" i="58"/>
  <c r="O34" i="58"/>
  <c r="O10" i="58"/>
  <c r="S34" i="58"/>
  <c r="S10" i="58"/>
  <c r="L14" i="2"/>
  <c r="L10" i="2"/>
  <c r="P14" i="2"/>
  <c r="P10" i="2"/>
  <c r="R14" i="2"/>
  <c r="R10" i="2"/>
  <c r="T14" i="2"/>
  <c r="T10" i="2"/>
  <c r="J26" i="53"/>
  <c r="J10" i="53"/>
  <c r="R26" i="53"/>
  <c r="R10" i="53"/>
  <c r="L23" i="2"/>
  <c r="P23" i="2"/>
  <c r="T23" i="2"/>
  <c r="L10" i="53"/>
  <c r="P26" i="53"/>
  <c r="K34" i="58"/>
  <c r="K10" i="58"/>
  <c r="Q34" i="58"/>
  <c r="Q10" i="58"/>
  <c r="N14" i="2"/>
  <c r="N10" i="2"/>
  <c r="N26" i="53"/>
  <c r="N10" i="53"/>
  <c r="N23" i="2"/>
  <c r="R23" i="2"/>
  <c r="P10" i="53"/>
  <c r="L26" i="53"/>
  <c r="J36" i="53"/>
  <c r="R36" i="53"/>
  <c r="K36" i="53"/>
  <c r="K26" i="53"/>
  <c r="K10" i="53"/>
  <c r="M36" i="53"/>
  <c r="M26" i="53"/>
  <c r="M10" i="53"/>
  <c r="O36" i="53"/>
  <c r="O26" i="53"/>
  <c r="O10" i="53"/>
  <c r="Q36" i="53"/>
  <c r="Q26" i="53"/>
  <c r="Q10" i="53"/>
  <c r="S36" i="53"/>
  <c r="S26" i="53"/>
  <c r="J14" i="2"/>
  <c r="K23" i="2"/>
  <c r="M23" i="2"/>
  <c r="O23" i="2"/>
  <c r="Q23" i="2"/>
  <c r="S23" i="2"/>
  <c r="J10" i="42"/>
  <c r="R10" i="42"/>
  <c r="P10" i="42"/>
  <c r="N10" i="42"/>
  <c r="L10" i="42"/>
  <c r="S10" i="42"/>
  <c r="Q10" i="42"/>
  <c r="O10" i="42"/>
  <c r="M10" i="42"/>
  <c r="K10" i="42"/>
  <c r="S8" i="54"/>
  <c r="F34" i="42"/>
  <c r="C34" i="42"/>
  <c r="F31" i="42"/>
  <c r="C31" i="42"/>
  <c r="F28" i="42"/>
  <c r="C28" i="42"/>
  <c r="F25" i="42"/>
  <c r="C25" i="42"/>
  <c r="F22" i="42"/>
  <c r="C22" i="42"/>
  <c r="F12" i="42"/>
  <c r="E12" i="42"/>
  <c r="U73" i="2"/>
  <c r="L98" i="2" l="1"/>
  <c r="L46" i="42"/>
  <c r="L48" i="42"/>
  <c r="K46" i="42"/>
  <c r="K48" i="42"/>
  <c r="J46" i="42"/>
  <c r="J48" i="42"/>
  <c r="K97" i="2"/>
  <c r="M95" i="2"/>
  <c r="K95" i="2"/>
  <c r="L96" i="2"/>
  <c r="M97" i="2"/>
  <c r="K98" i="2"/>
  <c r="M96" i="2"/>
  <c r="L95" i="2"/>
  <c r="J97" i="2"/>
  <c r="J96" i="2"/>
  <c r="J95" i="2"/>
  <c r="E63" i="58"/>
  <c r="E34" i="42" s="1"/>
  <c r="E62" i="58"/>
  <c r="E31" i="42" s="1"/>
  <c r="E61" i="58"/>
  <c r="E28" i="42" s="1"/>
  <c r="E60" i="58"/>
  <c r="E59" i="58"/>
  <c r="E22" i="42" s="1"/>
  <c r="F51" i="58"/>
  <c r="E51" i="58"/>
  <c r="F50" i="58"/>
  <c r="E50" i="58"/>
  <c r="F49" i="58"/>
  <c r="E49" i="58"/>
  <c r="F48" i="58"/>
  <c r="E48" i="58"/>
  <c r="F42" i="58"/>
  <c r="E42" i="58"/>
  <c r="F41" i="58"/>
  <c r="E41" i="58"/>
  <c r="F40" i="58"/>
  <c r="E40" i="58"/>
  <c r="F39" i="58"/>
  <c r="E39" i="58"/>
  <c r="F38" i="58"/>
  <c r="E38" i="58"/>
  <c r="F37" i="58"/>
  <c r="E37" i="58"/>
  <c r="F27" i="58"/>
  <c r="F29" i="58" s="1"/>
  <c r="E27" i="58"/>
  <c r="F26" i="58"/>
  <c r="E26" i="58"/>
  <c r="F25" i="58"/>
  <c r="E25" i="58"/>
  <c r="F24" i="58"/>
  <c r="E24" i="58"/>
  <c r="F23" i="58"/>
  <c r="E23" i="58"/>
  <c r="F22" i="58"/>
  <c r="E22" i="58"/>
  <c r="F21" i="58"/>
  <c r="E21" i="58"/>
  <c r="F20" i="58"/>
  <c r="E20" i="58"/>
  <c r="F19" i="58"/>
  <c r="C2" i="58"/>
  <c r="S1" i="58"/>
  <c r="G12" i="16" s="1"/>
  <c r="C1" i="58"/>
  <c r="E25" i="42" l="1"/>
  <c r="E15" i="42"/>
  <c r="F16" i="44"/>
  <c r="F15" i="44"/>
  <c r="F14" i="44"/>
  <c r="E16" i="44" l="1"/>
  <c r="E15" i="44"/>
  <c r="E14" i="44"/>
  <c r="C15" i="44"/>
  <c r="C16" i="44"/>
  <c r="C13" i="44"/>
  <c r="C14" i="44"/>
  <c r="S11" i="44"/>
  <c r="R11" i="44"/>
  <c r="Q11" i="44"/>
  <c r="P11" i="44"/>
  <c r="O11" i="44"/>
  <c r="N11" i="44"/>
  <c r="M11" i="44"/>
  <c r="L11" i="44"/>
  <c r="K11" i="44"/>
  <c r="J11" i="44"/>
  <c r="F85" i="42"/>
  <c r="E85" i="42"/>
  <c r="K15" i="44" l="1"/>
  <c r="K16" i="44"/>
  <c r="K14" i="44"/>
  <c r="J15" i="44"/>
  <c r="J16" i="44"/>
  <c r="J14" i="44"/>
  <c r="L15" i="44"/>
  <c r="L16" i="44"/>
  <c r="L14" i="44"/>
  <c r="F87" i="42"/>
  <c r="F86" i="42"/>
  <c r="F79" i="42"/>
  <c r="F77" i="42"/>
  <c r="F76" i="42"/>
  <c r="F75" i="42"/>
  <c r="F69" i="42"/>
  <c r="F67" i="42"/>
  <c r="F66" i="42"/>
  <c r="F65" i="42"/>
  <c r="F64" i="42"/>
  <c r="F63" i="42"/>
  <c r="F62" i="42"/>
  <c r="F61" i="42"/>
  <c r="F60" i="42"/>
  <c r="F59" i="42"/>
  <c r="N22" i="53"/>
  <c r="M40" i="53"/>
  <c r="L22" i="53"/>
  <c r="K40" i="53"/>
  <c r="J22" i="53"/>
  <c r="G26" i="55"/>
  <c r="G27" i="55"/>
  <c r="G28" i="55"/>
  <c r="G29" i="55"/>
  <c r="G30" i="55"/>
  <c r="G31" i="55"/>
  <c r="G32" i="55"/>
  <c r="G33" i="55"/>
  <c r="G34" i="55"/>
  <c r="G35" i="55"/>
  <c r="G36" i="55"/>
  <c r="G37" i="55"/>
  <c r="G38" i="55"/>
  <c r="G39" i="55"/>
  <c r="G40" i="55"/>
  <c r="G41" i="55"/>
  <c r="G42" i="55"/>
  <c r="G43" i="55"/>
  <c r="G44" i="55"/>
  <c r="G45" i="55"/>
  <c r="G46" i="55"/>
  <c r="G47" i="55"/>
  <c r="G48" i="55"/>
  <c r="G49" i="55"/>
  <c r="G50" i="55"/>
  <c r="G51" i="55"/>
  <c r="G52" i="55"/>
  <c r="G53" i="55"/>
  <c r="G54" i="55"/>
  <c r="G55" i="55"/>
  <c r="G56" i="55"/>
  <c r="G57" i="55"/>
  <c r="G58" i="55"/>
  <c r="G59" i="55"/>
  <c r="G60" i="55"/>
  <c r="G61" i="55"/>
  <c r="G62" i="55"/>
  <c r="G63" i="55"/>
  <c r="G64" i="55"/>
  <c r="G25" i="55"/>
  <c r="E14" i="55"/>
  <c r="E15" i="55"/>
  <c r="E16" i="55"/>
  <c r="E17" i="55"/>
  <c r="E18" i="55"/>
  <c r="E19" i="55"/>
  <c r="E20" i="55"/>
  <c r="E21" i="55"/>
  <c r="E22" i="55"/>
  <c r="E23" i="55"/>
  <c r="E24" i="55"/>
  <c r="E25" i="55"/>
  <c r="E26" i="55"/>
  <c r="E27" i="55"/>
  <c r="E28" i="55"/>
  <c r="E29" i="55"/>
  <c r="E13" i="55"/>
  <c r="C11" i="16"/>
  <c r="D11" i="16" s="1"/>
  <c r="T9" i="55"/>
  <c r="T10" i="55"/>
  <c r="T11" i="55"/>
  <c r="T12" i="55"/>
  <c r="T13" i="55"/>
  <c r="T14" i="55"/>
  <c r="T15" i="55"/>
  <c r="T16" i="55"/>
  <c r="T17" i="55"/>
  <c r="T18" i="55"/>
  <c r="T19" i="55"/>
  <c r="T20" i="55"/>
  <c r="T21" i="55"/>
  <c r="T22" i="55"/>
  <c r="T23" i="55"/>
  <c r="T24" i="55"/>
  <c r="T25" i="55"/>
  <c r="T26" i="55"/>
  <c r="T27" i="55"/>
  <c r="T28" i="55"/>
  <c r="T29" i="55"/>
  <c r="T30" i="55"/>
  <c r="T31" i="55"/>
  <c r="T32" i="55"/>
  <c r="T33" i="55"/>
  <c r="T34" i="55"/>
  <c r="T35" i="55"/>
  <c r="T36" i="55"/>
  <c r="T37" i="55"/>
  <c r="T38" i="55"/>
  <c r="T39" i="55"/>
  <c r="T40" i="55"/>
  <c r="T41" i="55"/>
  <c r="T42" i="55"/>
  <c r="T43" i="55"/>
  <c r="T44" i="55"/>
  <c r="T45" i="55"/>
  <c r="T46" i="55"/>
  <c r="T47" i="55"/>
  <c r="T48" i="55"/>
  <c r="T49" i="55"/>
  <c r="T50" i="55"/>
  <c r="T51" i="55"/>
  <c r="T52" i="55"/>
  <c r="T53" i="55"/>
  <c r="T54" i="55"/>
  <c r="T55" i="55"/>
  <c r="T56" i="55"/>
  <c r="T57" i="55"/>
  <c r="T58" i="55"/>
  <c r="T59" i="55"/>
  <c r="T60" i="55"/>
  <c r="T61" i="55"/>
  <c r="T62" i="55"/>
  <c r="T63" i="55"/>
  <c r="T64" i="55"/>
  <c r="K106" i="2"/>
  <c r="S106" i="2"/>
  <c r="Q106" i="2"/>
  <c r="O106" i="2"/>
  <c r="M106" i="2"/>
  <c r="C24" i="4"/>
  <c r="S9" i="54"/>
  <c r="J83" i="42" l="1"/>
  <c r="L83" i="42"/>
  <c r="N83" i="42"/>
  <c r="P83" i="42"/>
  <c r="R83" i="42"/>
  <c r="K83" i="42"/>
  <c r="M83" i="42"/>
  <c r="O83" i="42"/>
  <c r="Q83" i="42"/>
  <c r="S83" i="42"/>
  <c r="J73" i="42"/>
  <c r="J57" i="42"/>
  <c r="J53" i="42" a="1"/>
  <c r="J53" i="42" s="1"/>
  <c r="L73" i="42"/>
  <c r="L57" i="42"/>
  <c r="L53" i="42" a="1"/>
  <c r="L53" i="42" s="1"/>
  <c r="N73" i="42"/>
  <c r="N57" i="42"/>
  <c r="P73" i="42"/>
  <c r="P57" i="42"/>
  <c r="R73" i="42"/>
  <c r="R57" i="42"/>
  <c r="K53" i="42" a="1"/>
  <c r="K53" i="42" s="1"/>
  <c r="K57" i="42"/>
  <c r="M57" i="42"/>
  <c r="O57" i="42"/>
  <c r="Q57" i="42"/>
  <c r="S57" i="42"/>
  <c r="K73" i="42"/>
  <c r="M73" i="42"/>
  <c r="O73" i="42"/>
  <c r="Q73" i="42"/>
  <c r="S73" i="42"/>
  <c r="M22" i="53"/>
  <c r="K22" i="53"/>
  <c r="J32" i="53"/>
  <c r="L32" i="53"/>
  <c r="N32" i="53"/>
  <c r="P32" i="53"/>
  <c r="R32" i="53"/>
  <c r="J40" i="53"/>
  <c r="L40" i="53"/>
  <c r="N40" i="53"/>
  <c r="K32" i="53"/>
  <c r="M32" i="53"/>
  <c r="O32" i="53"/>
  <c r="Q32" i="53"/>
  <c r="S32" i="53"/>
  <c r="K45" i="2"/>
  <c r="M45" i="2"/>
  <c r="Q58" i="2"/>
  <c r="M58" i="2"/>
  <c r="O45" i="2"/>
  <c r="K58" i="2"/>
  <c r="O58" i="2"/>
  <c r="S58" i="2"/>
  <c r="L58" i="2"/>
  <c r="L45" i="2"/>
  <c r="L106" i="2"/>
  <c r="L71" i="2"/>
  <c r="N58" i="2"/>
  <c r="N45" i="2"/>
  <c r="N106" i="2"/>
  <c r="P58" i="2"/>
  <c r="P106" i="2"/>
  <c r="R58" i="2"/>
  <c r="R106" i="2"/>
  <c r="T58" i="2"/>
  <c r="T106" i="2"/>
  <c r="J58" i="2"/>
  <c r="J12" i="2"/>
  <c r="J106" i="2"/>
  <c r="J71" i="2"/>
  <c r="J45" i="2"/>
  <c r="R12" i="2"/>
  <c r="N12" i="2"/>
  <c r="T12" i="2"/>
  <c r="L12" i="2"/>
  <c r="S12" i="2"/>
  <c r="Q12" i="2"/>
  <c r="O12" i="2"/>
  <c r="M12" i="2"/>
  <c r="K12" i="2"/>
  <c r="K71" i="2"/>
  <c r="M53" i="58" l="1"/>
  <c r="M15" i="42" s="1"/>
  <c r="K85" i="42"/>
  <c r="K13" i="44" s="1"/>
  <c r="K86" i="42"/>
  <c r="K87" i="42" s="1"/>
  <c r="L86" i="42"/>
  <c r="L87" i="42" s="1"/>
  <c r="L85" i="42"/>
  <c r="L13" i="44" s="1"/>
  <c r="J85" i="42"/>
  <c r="J13" i="44" s="1"/>
  <c r="J86" i="42"/>
  <c r="J87" i="42" s="1"/>
  <c r="W32" i="53"/>
  <c r="W58" i="2"/>
  <c r="W106" i="2"/>
  <c r="P45" i="2" l="1"/>
  <c r="S45" i="2"/>
  <c r="Q45" i="2"/>
  <c r="R45" i="2"/>
  <c r="T45" i="2"/>
  <c r="W45" i="2" l="1"/>
  <c r="C35" i="42" l="1"/>
  <c r="F35" i="42"/>
  <c r="E35" i="42"/>
  <c r="C32" i="42"/>
  <c r="C29" i="42"/>
  <c r="C26" i="42"/>
  <c r="C23" i="42"/>
  <c r="F32" i="42"/>
  <c r="E32" i="42"/>
  <c r="F29" i="42"/>
  <c r="E29" i="42"/>
  <c r="F26" i="42"/>
  <c r="E26" i="42"/>
  <c r="F23" i="42"/>
  <c r="E23" i="42"/>
  <c r="E69" i="42" l="1"/>
  <c r="E87" i="42" l="1"/>
  <c r="F39" i="42" l="1"/>
  <c r="F37" i="42"/>
  <c r="C63" i="42" l="1"/>
  <c r="C64" i="42"/>
  <c r="C65" i="42"/>
  <c r="C66" i="42"/>
  <c r="C67" i="42"/>
  <c r="C75" i="42"/>
  <c r="C76" i="42"/>
  <c r="C77" i="42"/>
  <c r="F13" i="44"/>
  <c r="E39" i="42"/>
  <c r="E37" i="42"/>
  <c r="F13" i="42"/>
  <c r="E13" i="42"/>
  <c r="E13" i="44"/>
  <c r="E86" i="42"/>
  <c r="E59" i="42"/>
  <c r="E60" i="42"/>
  <c r="E61" i="42"/>
  <c r="E62" i="42"/>
  <c r="E63" i="42"/>
  <c r="E64" i="42"/>
  <c r="E65" i="42"/>
  <c r="E66" i="42"/>
  <c r="E67" i="42"/>
  <c r="E75" i="42"/>
  <c r="E76" i="42"/>
  <c r="E77" i="42"/>
  <c r="E79" i="42"/>
  <c r="B2" i="55"/>
  <c r="S11" i="54"/>
  <c r="S14" i="54"/>
  <c r="G15" i="16"/>
  <c r="G16" i="16"/>
  <c r="T1" i="55"/>
  <c r="G11" i="16" s="1"/>
  <c r="B1" i="55"/>
  <c r="E12" i="2"/>
  <c r="O50" i="42"/>
  <c r="J50" i="42"/>
  <c r="K50" i="42"/>
  <c r="L50" i="42"/>
  <c r="M50" i="42"/>
  <c r="P50" i="42"/>
  <c r="Q50" i="42"/>
  <c r="R50" i="42"/>
  <c r="S50" i="42"/>
  <c r="C76" i="2"/>
  <c r="C77" i="2"/>
  <c r="C78" i="2"/>
  <c r="C79" i="2"/>
  <c r="C80" i="2"/>
  <c r="C75" i="2"/>
  <c r="C85" i="2"/>
  <c r="C86" i="2"/>
  <c r="C87" i="2"/>
  <c r="C88" i="2"/>
  <c r="C89" i="2"/>
  <c r="C84" i="2"/>
  <c r="S7" i="54"/>
  <c r="S10" i="54"/>
  <c r="S12" i="54"/>
  <c r="S13" i="54"/>
  <c r="C12" i="16"/>
  <c r="D12" i="16" s="1"/>
  <c r="C13" i="16"/>
  <c r="D13" i="16" s="1"/>
  <c r="C14" i="16"/>
  <c r="D14" i="16" s="1"/>
  <c r="C15" i="16"/>
  <c r="D15" i="16" s="1"/>
  <c r="C16" i="16"/>
  <c r="D16" i="16" s="1"/>
  <c r="C10" i="16"/>
  <c r="D10" i="16" s="1"/>
  <c r="C50" i="2"/>
  <c r="C51" i="2"/>
  <c r="C52" i="2"/>
  <c r="C53" i="2"/>
  <c r="C54" i="2"/>
  <c r="C55" i="2"/>
  <c r="C56" i="2"/>
  <c r="C49" i="2"/>
  <c r="E56" i="2"/>
  <c r="E55" i="2"/>
  <c r="E54" i="2"/>
  <c r="E53" i="2"/>
  <c r="E52" i="2"/>
  <c r="E51" i="2"/>
  <c r="E50" i="2"/>
  <c r="E49" i="2"/>
  <c r="B2" i="53"/>
  <c r="B1" i="53"/>
  <c r="E104" i="2"/>
  <c r="B2" i="2"/>
  <c r="B1" i="2"/>
  <c r="C64" i="4"/>
  <c r="B2" i="54"/>
  <c r="B1" i="54"/>
  <c r="E42" i="2"/>
  <c r="E43" i="2"/>
  <c r="B2" i="44"/>
  <c r="B2" i="42"/>
  <c r="B1" i="44"/>
  <c r="B1" i="42"/>
  <c r="E41" i="2"/>
  <c r="E40" i="2"/>
  <c r="E39" i="2"/>
  <c r="E38" i="2"/>
  <c r="E37" i="2"/>
  <c r="E36" i="2"/>
  <c r="B2" i="16"/>
  <c r="B1" i="16"/>
  <c r="C9" i="4"/>
  <c r="B2" i="4"/>
  <c r="B1" i="4"/>
  <c r="K52" i="42" l="1"/>
  <c r="L52" i="42"/>
  <c r="S1" i="54"/>
  <c r="G10" i="16" s="1"/>
  <c r="J52" i="42"/>
  <c r="C25" i="2" l="1" a="1"/>
  <c r="C16" i="2" a="1"/>
  <c r="C25" i="2" l="1"/>
  <c r="C27" i="2"/>
  <c r="C29" i="2"/>
  <c r="C26" i="2"/>
  <c r="C28" i="2"/>
  <c r="C30" i="2"/>
  <c r="C16" i="2"/>
  <c r="C18" i="2"/>
  <c r="C20" i="2"/>
  <c r="C17" i="2"/>
  <c r="C19" i="2"/>
  <c r="C21" i="2"/>
  <c r="O21" i="2" s="1"/>
  <c r="N21" i="2" l="1"/>
  <c r="M19" i="2"/>
  <c r="M28" i="2" s="1"/>
  <c r="N20" i="2"/>
  <c r="J16" i="2"/>
  <c r="K16" i="2" s="1"/>
  <c r="K25" i="2" s="1"/>
  <c r="K17" i="2"/>
  <c r="K26" i="2" s="1"/>
  <c r="L18" i="2"/>
  <c r="L27" i="2" s="1"/>
  <c r="D21" i="2"/>
  <c r="E21" i="2"/>
  <c r="D17" i="2"/>
  <c r="E17" i="2"/>
  <c r="E18" i="2"/>
  <c r="D18" i="2"/>
  <c r="E30" i="2"/>
  <c r="D30" i="2"/>
  <c r="S30" i="2"/>
  <c r="R13" i="42" s="1"/>
  <c r="R18" i="42" s="1"/>
  <c r="R30" i="2"/>
  <c r="Q30" i="2"/>
  <c r="T30" i="2"/>
  <c r="E26" i="2"/>
  <c r="D26" i="2"/>
  <c r="S26" i="2"/>
  <c r="R26" i="2"/>
  <c r="Q26" i="2"/>
  <c r="T26" i="2"/>
  <c r="D19" i="2"/>
  <c r="E19" i="2"/>
  <c r="O20" i="2"/>
  <c r="E20" i="2"/>
  <c r="D20" i="2"/>
  <c r="E16" i="2"/>
  <c r="D16" i="2"/>
  <c r="E28" i="2"/>
  <c r="D28" i="2"/>
  <c r="Q28" i="2"/>
  <c r="T28" i="2"/>
  <c r="S28" i="2"/>
  <c r="R28" i="2"/>
  <c r="E29" i="2"/>
  <c r="D29" i="2"/>
  <c r="S29" i="2"/>
  <c r="R29" i="2"/>
  <c r="P29" i="2"/>
  <c r="Q29" i="2"/>
  <c r="T29" i="2"/>
  <c r="D25" i="2"/>
  <c r="E25" i="2"/>
  <c r="Q25" i="2"/>
  <c r="T25" i="2"/>
  <c r="S25" i="2"/>
  <c r="R25" i="2"/>
  <c r="E27" i="2"/>
  <c r="D27" i="2"/>
  <c r="Q27" i="2"/>
  <c r="T27" i="2"/>
  <c r="S27" i="2"/>
  <c r="R27" i="2"/>
  <c r="P13" i="42"/>
  <c r="P18" i="42" s="1"/>
  <c r="S13" i="42" l="1"/>
  <c r="S18" i="42" s="1"/>
  <c r="P16" i="42"/>
  <c r="S16" i="42"/>
  <c r="R16" i="42"/>
  <c r="Q16" i="42"/>
  <c r="M21" i="2"/>
  <c r="O29" i="2"/>
  <c r="K18" i="2"/>
  <c r="K27" i="2" s="1"/>
  <c r="O30" i="2"/>
  <c r="J17" i="2"/>
  <c r="J26" i="2" s="1"/>
  <c r="L19" i="2"/>
  <c r="L28" i="2" s="1"/>
  <c r="L16" i="2"/>
  <c r="L25" i="2" s="1"/>
  <c r="M18" i="2"/>
  <c r="L17" i="2"/>
  <c r="L26" i="2" s="1"/>
  <c r="P30" i="2"/>
  <c r="M20" i="2"/>
  <c r="M29" i="2" s="1"/>
  <c r="N30" i="2"/>
  <c r="N19" i="2"/>
  <c r="N28" i="2" s="1"/>
  <c r="Q13" i="42"/>
  <c r="Q18" i="42" s="1"/>
  <c r="J25" i="2"/>
  <c r="N29" i="2"/>
  <c r="M16" i="42" l="1"/>
  <c r="M20" i="42" s="1"/>
  <c r="M16" i="2"/>
  <c r="M25" i="2" s="1"/>
  <c r="L21" i="2"/>
  <c r="L20" i="2"/>
  <c r="L29" i="2" s="1"/>
  <c r="M17" i="2"/>
  <c r="K19" i="2"/>
  <c r="K28" i="2" s="1"/>
  <c r="O19" i="2"/>
  <c r="N18" i="2"/>
  <c r="N27" i="2" s="1"/>
  <c r="J18" i="2"/>
  <c r="J27" i="2" s="1"/>
  <c r="P28" i="2"/>
  <c r="O16" i="42" s="1"/>
  <c r="P26" i="2"/>
  <c r="P27" i="2"/>
  <c r="M30" i="2"/>
  <c r="M27" i="2"/>
  <c r="N16" i="2" l="1"/>
  <c r="O28" i="2"/>
  <c r="N16" i="42" s="1"/>
  <c r="N20" i="42" s="1"/>
  <c r="L16" i="42"/>
  <c r="L20" i="42" s="1"/>
  <c r="N13" i="42"/>
  <c r="N18" i="42" s="1"/>
  <c r="O13" i="42"/>
  <c r="O18" i="42" s="1"/>
  <c r="K21" i="2"/>
  <c r="O18" i="2"/>
  <c r="J19" i="2"/>
  <c r="J28" i="2" s="1"/>
  <c r="N17" i="2"/>
  <c r="M26" i="2"/>
  <c r="K20" i="2"/>
  <c r="K29" i="2" s="1"/>
  <c r="O16" i="2"/>
  <c r="N25" i="2"/>
  <c r="L30" i="2"/>
  <c r="K13" i="42" l="1"/>
  <c r="K18" i="42" s="1"/>
  <c r="K16" i="42"/>
  <c r="K20" i="42" s="1"/>
  <c r="R60" i="42"/>
  <c r="J65" i="42"/>
  <c r="K35" i="42"/>
  <c r="K67" i="42"/>
  <c r="S66" i="42"/>
  <c r="R59" i="42"/>
  <c r="S35" i="42"/>
  <c r="M32" i="42"/>
  <c r="L65" i="42"/>
  <c r="O60" i="42"/>
  <c r="K26" i="42"/>
  <c r="N77" i="42"/>
  <c r="N16" i="44" s="1"/>
  <c r="P66" i="42"/>
  <c r="L29" i="42"/>
  <c r="K23" i="42"/>
  <c r="L64" i="42"/>
  <c r="Q61" i="42"/>
  <c r="O77" i="42"/>
  <c r="O16" i="44" s="1"/>
  <c r="R75" i="42"/>
  <c r="P67" i="42"/>
  <c r="P32" i="42"/>
  <c r="R65" i="42"/>
  <c r="K65" i="42"/>
  <c r="J29" i="42"/>
  <c r="K60" i="42"/>
  <c r="S75" i="42"/>
  <c r="P65" i="42"/>
  <c r="N64" i="42"/>
  <c r="Q35" i="42"/>
  <c r="L77" i="42"/>
  <c r="S76" i="42"/>
  <c r="S15" i="44" s="1"/>
  <c r="N32" i="42"/>
  <c r="S23" i="42"/>
  <c r="J63" i="42"/>
  <c r="S60" i="42"/>
  <c r="M76" i="42"/>
  <c r="M15" i="44" s="1"/>
  <c r="N66" i="42"/>
  <c r="J66" i="42"/>
  <c r="O32" i="42"/>
  <c r="R67" i="42"/>
  <c r="K61" i="42"/>
  <c r="M35" i="42"/>
  <c r="K62" i="42"/>
  <c r="P23" i="42"/>
  <c r="K77" i="42"/>
  <c r="O75" i="42"/>
  <c r="N29" i="42"/>
  <c r="M65" i="42"/>
  <c r="S63" i="42"/>
  <c r="N75" i="42"/>
  <c r="L75" i="42"/>
  <c r="S65" i="42"/>
  <c r="M77" i="42"/>
  <c r="M16" i="44" s="1"/>
  <c r="N63" i="42"/>
  <c r="L67" i="42"/>
  <c r="L32" i="42"/>
  <c r="Q23" i="42"/>
  <c r="L62" i="42"/>
  <c r="K75" i="42"/>
  <c r="R64" i="42"/>
  <c r="O76" i="42"/>
  <c r="O15" i="44" s="1"/>
  <c r="P63" i="42"/>
  <c r="N26" i="42"/>
  <c r="J76" i="42"/>
  <c r="O67" i="42"/>
  <c r="R63" i="42"/>
  <c r="R35" i="42"/>
  <c r="N76" i="42"/>
  <c r="N15" i="44" s="1"/>
  <c r="L63" i="42"/>
  <c r="S67" i="42"/>
  <c r="P61" i="42"/>
  <c r="L60" i="42"/>
  <c r="Q63" i="42"/>
  <c r="R76" i="42"/>
  <c r="R15" i="44" s="1"/>
  <c r="N35" i="42"/>
  <c r="R26" i="42"/>
  <c r="O59" i="42"/>
  <c r="L66" i="42"/>
  <c r="K64" i="42"/>
  <c r="J60" i="42"/>
  <c r="S61" i="42"/>
  <c r="O61" i="42"/>
  <c r="S26" i="42"/>
  <c r="M63" i="42"/>
  <c r="R77" i="42"/>
  <c r="R16" i="44" s="1"/>
  <c r="Q29" i="42"/>
  <c r="P64" i="42"/>
  <c r="S77" i="42"/>
  <c r="S16" i="44" s="1"/>
  <c r="P76" i="42"/>
  <c r="P15" i="44" s="1"/>
  <c r="L76" i="42"/>
  <c r="P29" i="42"/>
  <c r="Q65" i="42"/>
  <c r="Q64" i="42"/>
  <c r="K29" i="42"/>
  <c r="O23" i="42"/>
  <c r="N65" i="42"/>
  <c r="M59" i="42"/>
  <c r="M60" i="42"/>
  <c r="J77" i="42"/>
  <c r="O26" i="42"/>
  <c r="M61" i="42"/>
  <c r="R66" i="42"/>
  <c r="R29" i="42"/>
  <c r="N62" i="42"/>
  <c r="Q32" i="42"/>
  <c r="R61" i="42"/>
  <c r="J64" i="42"/>
  <c r="P35" i="42"/>
  <c r="N23" i="42"/>
  <c r="Q59" i="42"/>
  <c r="J35" i="42"/>
  <c r="J26" i="42"/>
  <c r="N59" i="42"/>
  <c r="J67" i="42"/>
  <c r="O64" i="42"/>
  <c r="N60" i="42"/>
  <c r="O63" i="42"/>
  <c r="M62" i="42"/>
  <c r="J59" i="42"/>
  <c r="S59" i="42"/>
  <c r="P26" i="42"/>
  <c r="M29" i="42"/>
  <c r="P59" i="42"/>
  <c r="N67" i="42"/>
  <c r="S64" i="42"/>
  <c r="L61" i="42"/>
  <c r="M64" i="42"/>
  <c r="K63" i="42"/>
  <c r="R23" i="42"/>
  <c r="Q67" i="42"/>
  <c r="Q75" i="42"/>
  <c r="S29" i="42"/>
  <c r="P77" i="42"/>
  <c r="P16" i="44" s="1"/>
  <c r="Q77" i="42"/>
  <c r="Q16" i="44" s="1"/>
  <c r="N61" i="42"/>
  <c r="K32" i="42"/>
  <c r="P60" i="42"/>
  <c r="O66" i="42"/>
  <c r="M66" i="42"/>
  <c r="J75" i="42"/>
  <c r="Q26" i="42"/>
  <c r="J61" i="42"/>
  <c r="M67" i="42"/>
  <c r="M75" i="42"/>
  <c r="L59" i="42"/>
  <c r="R32" i="42"/>
  <c r="O29" i="42"/>
  <c r="Q60" i="42"/>
  <c r="J32" i="42"/>
  <c r="K76" i="42"/>
  <c r="S32" i="42"/>
  <c r="L26" i="42"/>
  <c r="K59" i="42"/>
  <c r="P75" i="42"/>
  <c r="K66" i="42"/>
  <c r="J62" i="42"/>
  <c r="Q66" i="42"/>
  <c r="O65" i="42"/>
  <c r="J23" i="42"/>
  <c r="Q76" i="42"/>
  <c r="Q15" i="44" s="1"/>
  <c r="O35" i="42"/>
  <c r="O20" i="42"/>
  <c r="J21" i="2"/>
  <c r="J30" i="2" s="1"/>
  <c r="J20" i="2"/>
  <c r="J29" i="2" s="1"/>
  <c r="O17" i="2"/>
  <c r="N26" i="2"/>
  <c r="O27" i="2"/>
  <c r="P25" i="2"/>
  <c r="O25" i="2"/>
  <c r="K30" i="2"/>
  <c r="K37" i="42" l="1"/>
  <c r="K39" i="42" s="1"/>
  <c r="J79" i="42"/>
  <c r="R37" i="42"/>
  <c r="R39" i="42" s="1"/>
  <c r="N37" i="42"/>
  <c r="N39" i="42" s="1"/>
  <c r="O37" i="42"/>
  <c r="O39" i="42" s="1"/>
  <c r="P37" i="42"/>
  <c r="P39" i="42" s="1"/>
  <c r="J37" i="42"/>
  <c r="Q37" i="42"/>
  <c r="Q39" i="42" s="1"/>
  <c r="S37" i="42"/>
  <c r="S39" i="42" s="1"/>
  <c r="N69" i="42"/>
  <c r="M69" i="42"/>
  <c r="R79" i="42"/>
  <c r="R14" i="44"/>
  <c r="K69" i="42"/>
  <c r="J69" i="42"/>
  <c r="S79" i="42"/>
  <c r="S14" i="44"/>
  <c r="L69" i="42"/>
  <c r="K79" i="42"/>
  <c r="L79" i="42"/>
  <c r="J13" i="42"/>
  <c r="J18" i="42" s="1"/>
  <c r="J16" i="42"/>
  <c r="J20" i="42" s="1"/>
  <c r="P79" i="42"/>
  <c r="P14" i="44"/>
  <c r="M14" i="44"/>
  <c r="M79" i="42"/>
  <c r="N79" i="42"/>
  <c r="N14" i="44"/>
  <c r="Q14" i="44"/>
  <c r="Q79" i="42"/>
  <c r="O14" i="44"/>
  <c r="O79" i="42"/>
  <c r="O26" i="2"/>
  <c r="L34" i="42" l="1"/>
  <c r="L35" i="42" s="1"/>
  <c r="J39" i="42"/>
  <c r="M86" i="42" l="1"/>
  <c r="M87" i="42" s="1"/>
  <c r="M85" i="42"/>
  <c r="M13" i="44" s="1"/>
  <c r="L22" i="42" l="1"/>
  <c r="L23" i="42" s="1"/>
  <c r="L44" i="58" l="1"/>
  <c r="L12" i="42" s="1"/>
  <c r="L13" i="42" s="1"/>
  <c r="L18" i="42" s="1"/>
  <c r="L37" i="42" l="1"/>
  <c r="L39" i="42" s="1"/>
  <c r="N86" i="42" l="1"/>
  <c r="N85" i="42"/>
  <c r="N13" i="44" s="1"/>
  <c r="N87" i="42"/>
  <c r="M71" i="2" l="1"/>
  <c r="N75" i="2"/>
  <c r="N96" i="2" l="1"/>
  <c r="N97" i="2"/>
  <c r="N98" i="2"/>
  <c r="N95" i="2"/>
  <c r="M46" i="42" l="1"/>
  <c r="M52" i="42" s="1"/>
  <c r="M53" i="42" l="1" a="1"/>
  <c r="M53" i="42" s="1"/>
  <c r="M44" i="58" l="1"/>
  <c r="M12" i="42" s="1"/>
  <c r="M13" i="42" s="1"/>
  <c r="M18" i="42" s="1"/>
  <c r="M25" i="42" l="1"/>
  <c r="M26" i="42" s="1"/>
  <c r="M22" i="42" l="1"/>
  <c r="M23" i="42" s="1"/>
  <c r="M37" i="42" l="1"/>
  <c r="M39" i="42" s="1"/>
  <c r="O38" i="53" l="1"/>
  <c r="O40" i="53" l="1"/>
  <c r="T64" i="2" l="1"/>
  <c r="S64" i="2"/>
  <c r="R64" i="2"/>
  <c r="Q64" i="2"/>
  <c r="P64" i="2"/>
  <c r="O64" i="2"/>
  <c r="N64" i="2"/>
  <c r="R75" i="2" l="1"/>
  <c r="S75" i="2"/>
  <c r="O75" i="2"/>
  <c r="P75" i="2"/>
  <c r="T75" i="2"/>
  <c r="Q75" i="2"/>
  <c r="N65" i="2" l="1"/>
  <c r="N71" i="2" l="1"/>
  <c r="O65" i="2" l="1"/>
  <c r="P65" i="2" l="1"/>
  <c r="O71" i="2"/>
  <c r="O76" i="2"/>
  <c r="Q65" i="2" l="1"/>
  <c r="Q76" i="2" s="1"/>
  <c r="O98" i="2"/>
  <c r="O97" i="2"/>
  <c r="O95" i="2"/>
  <c r="O96" i="2"/>
  <c r="P71" i="2"/>
  <c r="P76" i="2"/>
  <c r="N46" i="42" l="1"/>
  <c r="N52" i="42" s="1"/>
  <c r="N53" i="42" s="1" a="1"/>
  <c r="N53" i="42" s="1"/>
  <c r="Q97" i="2"/>
  <c r="Q98" i="2"/>
  <c r="Q96" i="2"/>
  <c r="Q95" i="2"/>
  <c r="R65" i="2"/>
  <c r="P96" i="2"/>
  <c r="P95" i="2"/>
  <c r="P98" i="2"/>
  <c r="P97" i="2"/>
  <c r="Q71" i="2"/>
  <c r="P46" i="42" l="1"/>
  <c r="P52" i="42" s="1"/>
  <c r="R71" i="2"/>
  <c r="S65" i="2"/>
  <c r="R76" i="2"/>
  <c r="O46" i="42"/>
  <c r="O52" i="42" s="1"/>
  <c r="O53" i="42" l="1" a="1"/>
  <c r="O53" i="42" s="1"/>
  <c r="P53" i="42" a="1"/>
  <c r="P53" i="42" s="1"/>
  <c r="T65" i="2"/>
  <c r="T71" i="2" s="1"/>
  <c r="W71" i="2" s="1"/>
  <c r="T1" i="2" s="1"/>
  <c r="G13" i="16" s="1"/>
  <c r="T76" i="2"/>
  <c r="S71" i="2"/>
  <c r="R97" i="2"/>
  <c r="R95" i="2"/>
  <c r="R98" i="2"/>
  <c r="R96" i="2"/>
  <c r="S76" i="2"/>
  <c r="T98" i="2" l="1"/>
  <c r="T97" i="2"/>
  <c r="T96" i="2"/>
  <c r="T95" i="2"/>
  <c r="Q46" i="42"/>
  <c r="Q52" i="42" s="1"/>
  <c r="S95" i="2"/>
  <c r="S97" i="2"/>
  <c r="S96" i="2"/>
  <c r="S98" i="2"/>
  <c r="S46" i="42" l="1"/>
  <c r="S52" i="42" s="1"/>
  <c r="R46" i="42"/>
  <c r="R52" i="42" s="1"/>
  <c r="Q53" i="42" a="1"/>
  <c r="Q53" i="42" s="1"/>
  <c r="S53" i="42" l="1" a="1"/>
  <c r="S53" i="42" s="1"/>
  <c r="R53" i="42" a="1"/>
  <c r="R53" i="42" s="1"/>
  <c r="P38" i="53"/>
  <c r="P40" i="53" s="1"/>
  <c r="Q38" i="53" l="1"/>
  <c r="Q40" i="53" s="1"/>
  <c r="S38" i="53" l="1"/>
  <c r="S40" i="53" s="1"/>
  <c r="R38" i="53"/>
  <c r="R40" i="53" s="1"/>
  <c r="W40" i="53" l="1"/>
  <c r="S62" i="42" l="1"/>
  <c r="S69" i="42" s="1"/>
  <c r="R62" i="42"/>
  <c r="R69" i="42" s="1"/>
  <c r="Q62" i="42"/>
  <c r="Q69" i="42" s="1"/>
  <c r="P62" i="42"/>
  <c r="P69" i="42" s="1"/>
  <c r="O62" i="42"/>
  <c r="O69" i="42" s="1"/>
  <c r="P85" i="42" l="1"/>
  <c r="P13" i="44" s="1"/>
  <c r="P86" i="42"/>
  <c r="O86" i="42"/>
  <c r="O85" i="42"/>
  <c r="O13" i="44" s="1"/>
  <c r="Q85" i="42"/>
  <c r="Q13" i="44" s="1"/>
  <c r="Q86" i="42"/>
  <c r="R85" i="42"/>
  <c r="R13" i="44" s="1"/>
  <c r="R86" i="42"/>
  <c r="S86" i="42"/>
  <c r="S85" i="42"/>
  <c r="S13" i="44" s="1"/>
  <c r="Q87" i="42" l="1"/>
  <c r="R87" i="42"/>
  <c r="O87" i="42"/>
  <c r="P87" i="42"/>
  <c r="S87" i="42"/>
  <c r="C59" i="42" l="1"/>
  <c r="C60" i="42"/>
  <c r="R22" i="53"/>
  <c r="S22" i="53"/>
  <c r="Q22" i="53"/>
  <c r="P22" i="53"/>
  <c r="C62" i="42"/>
  <c r="C61" i="42"/>
  <c r="O22" i="53"/>
  <c r="W22" i="53" l="1"/>
  <c r="S1" i="53" s="1"/>
  <c r="G14" i="16" s="1"/>
  <c r="S1" i="16" s="1"/>
  <c r="V1" i="54" s="1"/>
  <c r="V1" i="53" l="1"/>
  <c r="W1" i="55"/>
  <c r="W1" i="2"/>
  <c r="V1" i="44"/>
  <c r="V1" i="58"/>
  <c r="V1" i="4"/>
  <c r="V1" i="42"/>
</calcChain>
</file>

<file path=xl/sharedStrings.xml><?xml version="1.0" encoding="utf-8"?>
<sst xmlns="http://schemas.openxmlformats.org/spreadsheetml/2006/main" count="657" uniqueCount="198">
  <si>
    <t>Sheet Name</t>
  </si>
  <si>
    <t>Sheet Description</t>
  </si>
  <si>
    <t>Back to Index</t>
  </si>
  <si>
    <t>Key:</t>
  </si>
  <si>
    <t>Input</t>
  </si>
  <si>
    <t>External Link</t>
  </si>
  <si>
    <t>Internal Link</t>
  </si>
  <si>
    <t>Source</t>
  </si>
  <si>
    <t>Unit</t>
  </si>
  <si>
    <t>Ref</t>
  </si>
  <si>
    <t>Dollars</t>
  </si>
  <si>
    <t>unit</t>
  </si>
  <si>
    <t>$dollars</t>
  </si>
  <si>
    <t>Thousands</t>
  </si>
  <si>
    <t>Millions</t>
  </si>
  <si>
    <t>$millions</t>
  </si>
  <si>
    <t>Percent</t>
  </si>
  <si>
    <t>Number</t>
  </si>
  <si>
    <t>number</t>
  </si>
  <si>
    <t>Unit Denominations</t>
  </si>
  <si>
    <t>$000</t>
  </si>
  <si>
    <t>End</t>
  </si>
  <si>
    <t>Basis</t>
  </si>
  <si>
    <t>Actual</t>
  </si>
  <si>
    <t>Overall Check:</t>
  </si>
  <si>
    <t>Check | List</t>
  </si>
  <si>
    <t>Check List</t>
  </si>
  <si>
    <t>Sheet</t>
  </si>
  <si>
    <t>Ok/Check</t>
  </si>
  <si>
    <t>Status</t>
  </si>
  <si>
    <t>Calculated</t>
  </si>
  <si>
    <t>Per cent</t>
  </si>
  <si>
    <t>Debt Raising Costs</t>
  </si>
  <si>
    <t>Inflation</t>
  </si>
  <si>
    <t>External</t>
  </si>
  <si>
    <t>Input | Inflation</t>
  </si>
  <si>
    <t>n/a</t>
  </si>
  <si>
    <t>Factor</t>
  </si>
  <si>
    <t>factor</t>
  </si>
  <si>
    <t>Debt raising costs</t>
  </si>
  <si>
    <t>Check</t>
  </si>
  <si>
    <t>Index</t>
  </si>
  <si>
    <t>Rate of change</t>
  </si>
  <si>
    <t>Weights</t>
  </si>
  <si>
    <t>Input | Debt raising costs</t>
  </si>
  <si>
    <t>Input | Opex allowances</t>
  </si>
  <si>
    <t>Operating expenditure</t>
  </si>
  <si>
    <t>CPI indexes (nominal to real)</t>
  </si>
  <si>
    <t>Partial factor productivity</t>
  </si>
  <si>
    <t>Total step changes</t>
  </si>
  <si>
    <t>Input |Step changes</t>
  </si>
  <si>
    <t>Inputs the cost escalation weights, cost escalation forecast, and inflation actuals and forecast</t>
  </si>
  <si>
    <r>
      <t>Inputs the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data, including historical opex by category, one-off costs, step changes, demand forecasts, carbon costs, self insurance, network growth, and partial factor productivity</t>
    </r>
  </si>
  <si>
    <t>Shows checks on the calculations within the model</t>
  </si>
  <si>
    <t>Lookup | Tables</t>
  </si>
  <si>
    <t>Output | Models</t>
  </si>
  <si>
    <t>Calc | Opex Forecast</t>
  </si>
  <si>
    <t>Notes</t>
  </si>
  <si>
    <t>Inputs for Post Tax Revenue Model</t>
  </si>
  <si>
    <t>Note. The dollar base should be consistent with the post tax revenue model</t>
  </si>
  <si>
    <t>Input | Rate of change</t>
  </si>
  <si>
    <t>Input | Reported opex</t>
  </si>
  <si>
    <r>
      <t>Inputs the reported operating expenditure (</t>
    </r>
    <r>
      <rPr>
        <b/>
        <i/>
        <sz val="8"/>
        <color indexed="8"/>
        <rFont val="Arial"/>
        <family val="2"/>
      </rPr>
      <t>opex</t>
    </r>
    <r>
      <rPr>
        <i/>
        <sz val="8"/>
        <color indexed="8"/>
        <rFont val="Arial"/>
        <family val="2"/>
      </rPr>
      <t>) from the prior regulatory control period.</t>
    </r>
  </si>
  <si>
    <t>Includes the lookup tables used within this opex model.</t>
  </si>
  <si>
    <t>Input | Step changes</t>
  </si>
  <si>
    <t>Input | General</t>
  </si>
  <si>
    <t>Inputs NSP name, regulatory years for the prior and forecast regulatory control period etc.</t>
  </si>
  <si>
    <t>Model index</t>
  </si>
  <si>
    <t>NSP name</t>
  </si>
  <si>
    <t>Forecast regulatory control period, first year</t>
  </si>
  <si>
    <t>Forecast regulatory control period, last year</t>
  </si>
  <si>
    <t>Value</t>
  </si>
  <si>
    <t>NSP</t>
  </si>
  <si>
    <t>AER</t>
  </si>
  <si>
    <t>Years</t>
  </si>
  <si>
    <t>Forecast base year</t>
  </si>
  <si>
    <t>PTRM</t>
  </si>
  <si>
    <t>Total opex</t>
  </si>
  <si>
    <t>Estimate</t>
  </si>
  <si>
    <t>RIN</t>
  </si>
  <si>
    <t>Cost category</t>
  </si>
  <si>
    <t>Input | Forecast price change</t>
  </si>
  <si>
    <t>Input | Forecast productivity</t>
  </si>
  <si>
    <t>Step change</t>
  </si>
  <si>
    <t>Forecast price change</t>
  </si>
  <si>
    <t>CPI</t>
  </si>
  <si>
    <t>Worksheet check:</t>
  </si>
  <si>
    <t>index</t>
  </si>
  <si>
    <t>Input | Forecast output growth</t>
  </si>
  <si>
    <t>Output measure</t>
  </si>
  <si>
    <t>Calc | Estimated final year expenditure</t>
  </si>
  <si>
    <t>Calc | Rate of change</t>
  </si>
  <si>
    <t>Growth rate</t>
  </si>
  <si>
    <t>Efficiency adjustment</t>
  </si>
  <si>
    <t>Calc | Step changes</t>
  </si>
  <si>
    <t>Calc | Total forecast operating expenditure</t>
  </si>
  <si>
    <t>Inputs|Reported opex</t>
  </si>
  <si>
    <t>Input | General inputs</t>
  </si>
  <si>
    <t>Inputs</t>
  </si>
  <si>
    <t>AER opex model</t>
  </si>
  <si>
    <t>ABS</t>
  </si>
  <si>
    <t>Inputs inflation data.</t>
  </si>
  <si>
    <t>Index value, new base</t>
  </si>
  <si>
    <t>calculated</t>
  </si>
  <si>
    <t>CPI indexes (real to real)</t>
  </si>
  <si>
    <t>nominal</t>
  </si>
  <si>
    <t>external</t>
  </si>
  <si>
    <t>Forecast productivity change</t>
  </si>
  <si>
    <t>Step changes</t>
  </si>
  <si>
    <t>Calc | Opex forecast</t>
  </si>
  <si>
    <t>Remove debt raising costs</t>
  </si>
  <si>
    <t>Forecast output change</t>
  </si>
  <si>
    <t>Total forecast opex, excluding debt raising costs</t>
  </si>
  <si>
    <t>Total forecast opex, including debt raising costs</t>
  </si>
  <si>
    <t>Category specific forecasts</t>
  </si>
  <si>
    <t>Remove movement in provisions</t>
  </si>
  <si>
    <t>Expenditure related to category specific forecasts</t>
  </si>
  <si>
    <t>Input | Adjustments</t>
  </si>
  <si>
    <t>Adjustment</t>
  </si>
  <si>
    <t>Calc | Category specific forecasts</t>
  </si>
  <si>
    <t>Total category specific forecasts</t>
  </si>
  <si>
    <t>Year ending</t>
  </si>
  <si>
    <t>Months</t>
  </si>
  <si>
    <t>month 1</t>
  </si>
  <si>
    <t>month 2</t>
  </si>
  <si>
    <t>month 3</t>
  </si>
  <si>
    <t>month 4</t>
  </si>
  <si>
    <t>month 5</t>
  </si>
  <si>
    <t>month 6</t>
  </si>
  <si>
    <t>month 7</t>
  </si>
  <si>
    <t>month 8</t>
  </si>
  <si>
    <t>month 9</t>
  </si>
  <si>
    <t>month 10</t>
  </si>
  <si>
    <t>month 11</t>
  </si>
  <si>
    <t>month 12</t>
  </si>
  <si>
    <t>Percentage Change from Corresponding Quarter of Previous Year</t>
  </si>
  <si>
    <t>Total forecast opex, excluding category specific forecasts</t>
  </si>
  <si>
    <t>Decision stage</t>
  </si>
  <si>
    <t>draft</t>
  </si>
  <si>
    <t>Reported base year opex</t>
  </si>
  <si>
    <t>Forecast rate of change, year-on-year</t>
  </si>
  <si>
    <t>Forecast rate of change, cumulative</t>
  </si>
  <si>
    <t>Previous period year 1</t>
  </si>
  <si>
    <t>Previous period year 2</t>
  </si>
  <si>
    <t>Previous period year 3</t>
  </si>
  <si>
    <t>Previous period year 4</t>
  </si>
  <si>
    <t>Previous period year 5</t>
  </si>
  <si>
    <t>Forecast period year 1</t>
  </si>
  <si>
    <t>Forecast period year 2</t>
  </si>
  <si>
    <t>Forecast period year 3</t>
  </si>
  <si>
    <t>Forecast period year 4</t>
  </si>
  <si>
    <t>Forecast period year 5</t>
  </si>
  <si>
    <t>Previous regulatory control period, first year</t>
  </si>
  <si>
    <t>Previous regulatory control period, last year</t>
  </si>
  <si>
    <t>Regulatory years</t>
  </si>
  <si>
    <t>Year</t>
  </si>
  <si>
    <t>Year Ending</t>
  </si>
  <si>
    <t>Financial Year</t>
  </si>
  <si>
    <t>Calendar Year</t>
  </si>
  <si>
    <t>Total opex, categories forecast specifically</t>
  </si>
  <si>
    <t>Remove non-recurrent efficiency gain in the base year</t>
  </si>
  <si>
    <t>Allowances related to category specific forecasts</t>
  </si>
  <si>
    <t>Remove network support costs</t>
  </si>
  <si>
    <t>Reported opex, total</t>
  </si>
  <si>
    <t>Reported opex, category specific forecasts</t>
  </si>
  <si>
    <t>Adjusted final year opex</t>
  </si>
  <si>
    <t>Calculates the opex forecast</t>
  </si>
  <si>
    <t>Outputs the forecasts needed as a post tax revenue model inputs</t>
  </si>
  <si>
    <t>GSL Payments Adjustment</t>
  </si>
  <si>
    <t>Capitalisation adjustment</t>
  </si>
  <si>
    <t>Service classification adjustment</t>
  </si>
  <si>
    <t>Other classification changes</t>
  </si>
  <si>
    <t>Customer numbers (#)</t>
  </si>
  <si>
    <t>Circuit Length (km)</t>
  </si>
  <si>
    <t>Ratcheted Maximum Demand (MW)</t>
  </si>
  <si>
    <t>Remove base year opex for categories forecast specifically</t>
  </si>
  <si>
    <t>Power and Water</t>
  </si>
  <si>
    <t>Removed inefficiencies from reported opex</t>
  </si>
  <si>
    <t xml:space="preserve">Individual cost category assessment* </t>
  </si>
  <si>
    <t>SFA CD</t>
  </si>
  <si>
    <t>LSE CD</t>
  </si>
  <si>
    <t>LSE TLG</t>
  </si>
  <si>
    <t>Forecast output growth</t>
  </si>
  <si>
    <t>Energy throughput (GWh)</t>
  </si>
  <si>
    <t>Interpolated</t>
  </si>
  <si>
    <t>PWC</t>
  </si>
  <si>
    <t>RBA statement on monetary policy inflation forecast,  August 2018, Table 5.1</t>
  </si>
  <si>
    <t>WPI - BIS Oxford (November 2018)</t>
  </si>
  <si>
    <t xml:space="preserve">WPI - average of DAE and BIS Shrapnel </t>
  </si>
  <si>
    <t>WPI - DAE (July 2018, Table vii)</t>
  </si>
  <si>
    <t>DAE</t>
  </si>
  <si>
    <t>BIS Oxford</t>
  </si>
  <si>
    <t>Economic Insights</t>
  </si>
  <si>
    <t>MTFP</t>
  </si>
  <si>
    <t>Input | Category specific forecasts</t>
  </si>
  <si>
    <t>Updated</t>
  </si>
  <si>
    <t>AER Final decision</t>
  </si>
  <si>
    <t>Updated from CBA to reflect updated WACC and labour escalators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</si>
</sst>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9">
    <numFmt numFmtId="42" formatCode="_-&quot;$&quot;* #,##0_-;\-&quot;$&quot;* #,##0_-;_-&quot;$&quot;* &quot;-&quot;_-;_-@_-"/>
    <numFmt numFmtId="41" formatCode="_-* #,##0_-;\-* #,##0_-;_-* &quot;-&quot;_-;_-@_-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* #,##0_-;\-* #,##0_-;_-* &quot;-&quot;??_-;_-@_-"/>
    <numFmt numFmtId="165" formatCode="dd\-mmm"/>
    <numFmt numFmtId="166" formatCode="dd/mmm"/>
    <numFmt numFmtId="167" formatCode="_(#,##0_);\(#,##0\);_(&quot;-&quot;_)"/>
    <numFmt numFmtId="168" formatCode="_(#,##0.00%_);\(#,##0.00%\);_(&quot;-&quot;_)"/>
    <numFmt numFmtId="169" formatCode="_(#,##0.000_);\(#,##0.000\);_(&quot;-&quot;_)"/>
    <numFmt numFmtId="170" formatCode="_(#,##0.00_);\(#,##0.00\);_(&quot;-&quot;_)"/>
    <numFmt numFmtId="171" formatCode="_-* #,##0.0000_-;\-* #,##0.0000_-;_-* &quot;-&quot;??_-;_-@_-"/>
    <numFmt numFmtId="172" formatCode="_(#,##0.0000_);\(#,##0.0000\);_(&quot;-&quot;_)"/>
    <numFmt numFmtId="173" formatCode="_-* #,##0.00_-;[Red]\(#,##0.00\)_-;_-* &quot;-&quot;??_-;_-@_-"/>
    <numFmt numFmtId="174" formatCode="_(* #,##0_);_(* \(#,##0\);_(* &quot;-&quot;_);_(@_)"/>
    <numFmt numFmtId="175" formatCode="_(* #,##0.00_);_(* \(#,##0.00\);_(* &quot;-&quot;??_);_(@_)"/>
    <numFmt numFmtId="176" formatCode="mm/dd/yy"/>
    <numFmt numFmtId="177" formatCode="_([$€-2]* #,##0.00_);_([$€-2]* \(#,##0.00\);_([$€-2]* &quot;-&quot;??_)"/>
    <numFmt numFmtId="178" formatCode="0_);[Red]\(0\)"/>
    <numFmt numFmtId="179" formatCode="0.0%"/>
    <numFmt numFmtId="180" formatCode="_(* #,##0_);_(* \(#,##0\);_(* &quot;-&quot;?_);_(@_)"/>
    <numFmt numFmtId="181" formatCode="#,##0.0_);\(#,##0.0\)"/>
    <numFmt numFmtId="182" formatCode="#,##0_ ;\-#,##0\ "/>
    <numFmt numFmtId="183" formatCode="#,##0;[Red]\(#,##0.0\)"/>
    <numFmt numFmtId="184" formatCode="#,##0_ ;[Red]\(#,##0\)\ "/>
    <numFmt numFmtId="185" formatCode="#,##0.00;\(#,##0.00\)"/>
    <numFmt numFmtId="186" formatCode="_)d\-mmm\-yy_)"/>
    <numFmt numFmtId="187" formatCode="_(#,##0.0_);\(#,##0.0\);_(&quot;-&quot;_)"/>
    <numFmt numFmtId="188" formatCode="_(###0_);\(###0\);_(###0_)"/>
    <numFmt numFmtId="189" formatCode="#,##0.0000_);[Red]\(#,##0.0000\)"/>
    <numFmt numFmtId="190" formatCode="0.0"/>
    <numFmt numFmtId="191" formatCode=";;_(&quot;-&quot;_)"/>
    <numFmt numFmtId="192" formatCode="_-* #,##0.0_-;\-* #,##0.0_-;_-* &quot;-&quot;??_-;_-@_-"/>
    <numFmt numFmtId="193" formatCode="0.00;\-0.00;_(&quot;-&quot;_)"/>
    <numFmt numFmtId="194" formatCode="[$-C09]mmm\-yyyy;@"/>
    <numFmt numFmtId="195" formatCode="_-* #\ ##0.00_-;\-* #\ ##0.00_-;_-* &quot;-&quot;??_-;_-@_-"/>
    <numFmt numFmtId="196" formatCode="_(#\ ##0.00_);\(#\ ##0.00\);_(&quot;-&quot;_)"/>
    <numFmt numFmtId="197" formatCode="#\ ##0.00_ ;\-#\ ##0.00\ ;&quot;-&quot;"/>
    <numFmt numFmtId="198" formatCode="#\ ##0.00;\-#\ ##0.00;&quot;-&quot;"/>
    <numFmt numFmtId="199" formatCode="&quot;Warning&quot;;&quot;Warning&quot;;&quot;OK&quot;"/>
    <numFmt numFmtId="200" formatCode="_-* ##\ ##0.00_-;\-* ##\ ##0.00_-;_-* &quot;-&quot;??_-;_-@_-"/>
    <numFmt numFmtId="201" formatCode="mmmm"/>
    <numFmt numFmtId="202" formatCode="mmm\ yyyy"/>
    <numFmt numFmtId="203" formatCode="0.00_ ;\-0.00\ "/>
    <numFmt numFmtId="204" formatCode="0_ ;\-0\ "/>
    <numFmt numFmtId="205" formatCode="_-* #,##0_-;[Red]\(#,##0\)_-;_-* &quot;-&quot;??_-;_-@_-"/>
    <numFmt numFmtId="206" formatCode="[Red]\●;[Red]\●;[Color10]\●"/>
    <numFmt numFmtId="207" formatCode="_-* ###\ ##0.00_-;\-* ###\ ##0.00_-;_-* &quot;-&quot;??_-;_-@_-"/>
    <numFmt numFmtId="208" formatCode="_-* #,##0.0000000_-;\-* #,##0.0000000_-;_-* &quot;-&quot;??_-;_-@_-"/>
  </numFmts>
  <fonts count="103">
    <font>
      <sz val="8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Arial"/>
      <family val="2"/>
    </font>
    <font>
      <sz val="8"/>
      <color indexed="8"/>
      <name val="Arial"/>
      <family val="2"/>
    </font>
    <font>
      <i/>
      <sz val="8"/>
      <color indexed="8"/>
      <name val="Arial"/>
      <family val="2"/>
    </font>
    <font>
      <b/>
      <sz val="8"/>
      <color indexed="8"/>
      <name val="Arial"/>
      <family val="2"/>
    </font>
    <font>
      <i/>
      <u/>
      <sz val="10"/>
      <color indexed="12"/>
      <name val="Calibri"/>
      <family val="2"/>
    </font>
    <font>
      <b/>
      <sz val="8"/>
      <color indexed="9"/>
      <name val="Arial"/>
      <family val="2"/>
    </font>
    <font>
      <b/>
      <i/>
      <sz val="8"/>
      <color indexed="9"/>
      <name val="Arial"/>
      <family val="2"/>
    </font>
    <font>
      <b/>
      <sz val="8"/>
      <name val="Arial"/>
      <family val="2"/>
    </font>
    <font>
      <sz val="8"/>
      <color theme="1"/>
      <name val="Arial"/>
      <family val="2"/>
    </font>
    <font>
      <u/>
      <sz val="8"/>
      <color theme="10"/>
      <name val="Arial"/>
      <family val="2"/>
    </font>
    <font>
      <sz val="8"/>
      <name val="Arial"/>
      <family val="2"/>
    </font>
    <font>
      <sz val="11"/>
      <color indexed="8"/>
      <name val="Arial"/>
      <family val="2"/>
    </font>
    <font>
      <i/>
      <u/>
      <sz val="8"/>
      <color theme="10"/>
      <name val="Arial"/>
      <family val="2"/>
    </font>
    <font>
      <b/>
      <i/>
      <sz val="8"/>
      <color indexed="8"/>
      <name val="Arial"/>
      <family val="2"/>
    </font>
    <font>
      <b/>
      <i/>
      <sz val="8"/>
      <name val="Arial"/>
      <family val="2"/>
    </font>
    <font>
      <sz val="8"/>
      <color rgb="FFFF0000"/>
      <name val="Arial"/>
      <family val="2"/>
    </font>
    <font>
      <sz val="11"/>
      <color indexed="8"/>
      <name val="Calibri"/>
      <family val="2"/>
    </font>
    <font>
      <sz val="10"/>
      <name val="Arial"/>
      <family val="2"/>
    </font>
    <font>
      <b/>
      <sz val="8"/>
      <color theme="1"/>
      <name val="Arial"/>
      <family val="2"/>
    </font>
    <font>
      <b/>
      <sz val="10"/>
      <name val="Arial"/>
      <family val="2"/>
    </font>
    <font>
      <sz val="11"/>
      <color indexed="9"/>
      <name val="Calibri"/>
      <family val="2"/>
    </font>
    <font>
      <sz val="9"/>
      <name val="AGaramond"/>
    </font>
    <font>
      <sz val="10"/>
      <name val="Times New Roman"/>
      <family val="1"/>
    </font>
    <font>
      <sz val="11"/>
      <color indexed="20"/>
      <name val="Calibri"/>
      <family val="2"/>
    </font>
    <font>
      <sz val="10"/>
      <name val="Helvetica"/>
      <family val="2"/>
    </font>
    <font>
      <sz val="10"/>
      <color indexed="12"/>
      <name val="Helvetica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sz val="10"/>
      <name val="Verdana"/>
      <family val="2"/>
    </font>
    <font>
      <sz val="10"/>
      <color indexed="24"/>
      <name val="Arial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9"/>
      <name val="GillSans"/>
      <family val="2"/>
    </font>
    <font>
      <sz val="9"/>
      <name val="GillSans Light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9"/>
      <name val="Arial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b/>
      <sz val="8.5"/>
      <name val="Univers 65"/>
      <family val="2"/>
    </font>
    <font>
      <u/>
      <sz val="11"/>
      <color indexed="12"/>
      <name val="Calibri"/>
      <family val="2"/>
    </font>
    <font>
      <b/>
      <sz val="10"/>
      <color indexed="56"/>
      <name val="Wingdings"/>
      <charset val="2"/>
    </font>
    <font>
      <b/>
      <u/>
      <sz val="8"/>
      <color indexed="56"/>
      <name val="Arial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2"/>
      <color indexed="14"/>
      <name val="Arial"/>
      <family val="2"/>
    </font>
    <font>
      <b/>
      <sz val="12"/>
      <name val="Arial"/>
      <family val="2"/>
    </font>
    <font>
      <sz val="11"/>
      <color indexed="60"/>
      <name val="Calibri"/>
      <family val="2"/>
    </font>
    <font>
      <sz val="8"/>
      <name val="Palatino"/>
      <family val="1"/>
    </font>
    <font>
      <sz val="11"/>
      <color theme="1"/>
      <name val="Calibri"/>
      <family val="2"/>
      <scheme val="minor"/>
    </font>
    <font>
      <b/>
      <sz val="11"/>
      <color indexed="63"/>
      <name val="Calibri"/>
      <family val="2"/>
    </font>
    <font>
      <sz val="8.5"/>
      <name val="Univers 55"/>
      <family val="2"/>
    </font>
    <font>
      <sz val="10"/>
      <color indexed="18"/>
      <name val="Times New Roman"/>
      <family val="1"/>
    </font>
    <font>
      <b/>
      <sz val="10"/>
      <name val="MS Sans Serif"/>
      <family val="2"/>
    </font>
    <font>
      <b/>
      <sz val="18"/>
      <color indexed="62"/>
      <name val="Cambria"/>
      <family val="2"/>
    </font>
    <font>
      <b/>
      <sz val="14"/>
      <name val="Arial"/>
      <family val="2"/>
    </font>
    <font>
      <sz val="9"/>
      <color indexed="21"/>
      <name val="Helvetica-Black"/>
    </font>
    <font>
      <b/>
      <sz val="9"/>
      <name val="Palatino"/>
      <family val="1"/>
    </font>
    <font>
      <sz val="7"/>
      <name val="Palatino"/>
      <family val="1"/>
    </font>
    <font>
      <sz val="12"/>
      <name val="Palatino"/>
      <family val="1"/>
    </font>
    <font>
      <sz val="11"/>
      <name val="Helvetica-Black"/>
    </font>
    <font>
      <sz val="12"/>
      <color indexed="12"/>
      <name val="Arial MT"/>
    </font>
    <font>
      <b/>
      <u/>
      <sz val="9.5"/>
      <color indexed="56"/>
      <name val="Arial"/>
      <family val="2"/>
    </font>
    <font>
      <u/>
      <sz val="8"/>
      <color indexed="56"/>
      <name val="Arial"/>
      <family val="2"/>
    </font>
    <font>
      <sz val="11"/>
      <color indexed="10"/>
      <name val="Calibri"/>
      <family val="2"/>
    </font>
    <font>
      <b/>
      <sz val="12"/>
      <color theme="1"/>
      <name val="Arial"/>
      <family val="2"/>
    </font>
    <font>
      <u/>
      <sz val="8"/>
      <color theme="1"/>
      <name val="Arial"/>
      <family val="2"/>
    </font>
    <font>
      <i/>
      <sz val="10"/>
      <color theme="1"/>
      <name val="Arial"/>
      <family val="2"/>
    </font>
    <font>
      <b/>
      <i/>
      <sz val="8"/>
      <color theme="1"/>
      <name val="Arial"/>
      <family val="2"/>
    </font>
    <font>
      <i/>
      <sz val="8"/>
      <color theme="1"/>
      <name val="Arial"/>
      <family val="2"/>
    </font>
    <font>
      <b/>
      <sz val="13"/>
      <color indexed="9"/>
      <name val="Arial"/>
      <family val="2"/>
    </font>
    <font>
      <sz val="10"/>
      <color indexed="55"/>
      <name val="Arial"/>
      <family val="2"/>
    </font>
    <font>
      <b/>
      <sz val="10"/>
      <color theme="1"/>
      <name val="Arial"/>
      <family val="2"/>
    </font>
    <font>
      <b/>
      <sz val="13"/>
      <color theme="4" tint="-0.24994659260841701"/>
      <name val="Arial"/>
      <family val="2"/>
    </font>
    <font>
      <b/>
      <sz val="12"/>
      <color indexed="8"/>
      <name val="Arial"/>
      <family val="2"/>
    </font>
    <font>
      <u/>
      <sz val="11"/>
      <name val="Arial"/>
      <family val="2"/>
    </font>
    <font>
      <i/>
      <sz val="11"/>
      <name val="Arial"/>
      <family val="2"/>
    </font>
    <font>
      <i/>
      <sz val="10"/>
      <color theme="1" tint="0.24994659260841701"/>
      <name val="Arial"/>
      <family val="2"/>
    </font>
    <font>
      <sz val="10"/>
      <color indexed="16"/>
      <name val="Arial"/>
      <family val="2"/>
    </font>
    <font>
      <b/>
      <sz val="16"/>
      <color indexed="9"/>
      <name val="Arial"/>
      <family val="2"/>
    </font>
    <font>
      <b/>
      <sz val="12"/>
      <color indexed="9"/>
      <name val="Arial"/>
      <family val="2"/>
    </font>
    <font>
      <sz val="11"/>
      <color indexed="9"/>
      <name val="Arial"/>
      <family val="2"/>
    </font>
    <font>
      <b/>
      <sz val="11"/>
      <color indexed="9"/>
      <name val="Arial"/>
      <family val="2"/>
    </font>
    <font>
      <sz val="10"/>
      <color theme="1"/>
      <name val="Arial"/>
      <family val="2"/>
    </font>
    <font>
      <sz val="10"/>
      <color theme="5" tint="-0.499984740745262"/>
      <name val="Arial"/>
      <family val="2"/>
    </font>
    <font>
      <b/>
      <i/>
      <sz val="8"/>
      <color theme="0"/>
      <name val="Arial"/>
      <family val="2"/>
    </font>
    <font>
      <sz val="10"/>
      <color theme="4"/>
      <name val="Helvetica"/>
      <family val="2"/>
    </font>
    <font>
      <sz val="11"/>
      <name val="Calibri"/>
      <family val="2"/>
      <scheme val="minor"/>
    </font>
    <font>
      <sz val="8"/>
      <name val="Helvetica"/>
      <family val="2"/>
    </font>
    <font>
      <b/>
      <sz val="15"/>
      <color theme="4"/>
      <name val="Helvetica"/>
      <family val="2"/>
    </font>
    <font>
      <sz val="8"/>
      <color rgb="FFFF0066"/>
      <name val="Helvetica"/>
      <family val="2"/>
    </font>
    <font>
      <b/>
      <sz val="12"/>
      <color theme="0"/>
      <name val="Helvetica"/>
      <family val="2"/>
    </font>
    <font>
      <sz val="10"/>
      <color theme="1"/>
      <name val="Helvetica"/>
      <family val="2"/>
    </font>
    <font>
      <b/>
      <sz val="10"/>
      <name val="Helvetica"/>
      <family val="2"/>
    </font>
    <font>
      <b/>
      <sz val="11"/>
      <color theme="4"/>
      <name val="Helvetica"/>
      <family val="2"/>
    </font>
    <font>
      <b/>
      <sz val="16"/>
      <color rgb="FFFFFFFF"/>
      <name val="Arial"/>
      <family val="2"/>
    </font>
    <font>
      <u/>
      <sz val="11"/>
      <color rgb="FF0000FF"/>
      <name val="Calibri"/>
      <family val="2"/>
      <scheme val="minor"/>
    </font>
  </fonts>
  <fills count="56">
    <fill>
      <patternFill patternType="none"/>
    </fill>
    <fill>
      <patternFill patternType="gray125"/>
    </fill>
    <fill>
      <patternFill patternType="solid">
        <fgColor indexed="4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 tint="-0.149967955565050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8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9"/>
      </patternFill>
    </fill>
    <fill>
      <patternFill patternType="solid">
        <fgColor indexed="43"/>
      </patternFill>
    </fill>
    <fill>
      <patternFill patternType="solid">
        <fgColor indexed="22"/>
      </patternFill>
    </fill>
    <fill>
      <patternFill patternType="solid">
        <fgColor indexed="31"/>
        <bgColor indexed="31"/>
      </patternFill>
    </fill>
    <fill>
      <patternFill patternType="solid">
        <fgColor indexed="44"/>
        <bgColor indexed="44"/>
      </patternFill>
    </fill>
    <fill>
      <patternFill patternType="solid">
        <fgColor indexed="49"/>
      </patternFill>
    </fill>
    <fill>
      <patternFill patternType="solid">
        <fgColor indexed="26"/>
        <bgColor indexed="26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10"/>
      </patternFill>
    </fill>
    <fill>
      <patternFill patternType="solid">
        <fgColor indexed="42"/>
        <bgColor indexed="42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53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22"/>
      </patternFill>
    </fill>
    <fill>
      <patternFill patternType="solid">
        <fgColor indexed="42"/>
      </patternFill>
    </fill>
    <fill>
      <patternFill patternType="solid">
        <fgColor indexed="27"/>
        <bgColor indexed="64"/>
      </patternFill>
    </fill>
    <fill>
      <patternFill patternType="mediumGray">
        <fgColor indexed="22"/>
      </patternFill>
    </fill>
    <fill>
      <patternFill patternType="solid">
        <fgColor theme="0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6" tint="0.39994506668294322"/>
        <bgColor indexed="64"/>
      </patternFill>
    </fill>
    <fill>
      <patternFill patternType="lightUp">
        <fgColor indexed="23"/>
        <bgColor auto="1"/>
      </patternFill>
    </fill>
    <fill>
      <patternFill patternType="solid">
        <fgColor theme="4" tint="-0.24994659260841701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gray0625">
        <fgColor indexed="22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808080"/>
        <bgColor rgb="FF000000"/>
      </patternFill>
    </fill>
    <fill>
      <patternFill patternType="solid">
        <fgColor rgb="FFFFFFCC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9"/>
      </bottom>
      <diagonal/>
    </border>
    <border>
      <left/>
      <right/>
      <top style="medium">
        <color indexed="9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18"/>
      </left>
      <right style="medium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dashed">
        <color rgb="FFFF0000"/>
      </left>
      <right style="dashed">
        <color rgb="FFFF0000"/>
      </right>
      <top style="dashed">
        <color rgb="FFFF0000"/>
      </top>
      <bottom style="dashed">
        <color rgb="FFFF0000"/>
      </bottom>
      <diagonal/>
    </border>
    <border>
      <left style="thin">
        <color indexed="64"/>
      </left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38"/>
      </bottom>
      <diagonal/>
    </border>
    <border>
      <left/>
      <right/>
      <top/>
      <bottom style="medium">
        <color indexed="38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indexed="64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medium">
        <color indexed="9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medium">
        <color auto="1"/>
      </left>
      <right style="thin">
        <color indexed="64"/>
      </right>
      <top style="medium">
        <color auto="1"/>
      </top>
      <bottom style="thin">
        <color rgb="FFA6A6A6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indexed="64"/>
      </bottom>
      <diagonal/>
    </border>
  </borders>
  <cellStyleXfs count="283">
    <xf numFmtId="0" fontId="0" fillId="0" borderId="0"/>
    <xf numFmtId="166" fontId="6" fillId="7" borderId="0" applyProtection="0"/>
    <xf numFmtId="9" fontId="13" fillId="0" borderId="0" applyFont="0" applyFill="0" applyBorder="0" applyAlignment="0" applyProtection="0"/>
    <xf numFmtId="0" fontId="14" fillId="0" borderId="0" applyNumberFormat="0" applyFill="0" applyBorder="0" applyAlignment="0" applyProtection="0"/>
    <xf numFmtId="9" fontId="16" fillId="0" borderId="0" applyFont="0" applyFill="0" applyBorder="0" applyAlignment="0" applyProtection="0"/>
    <xf numFmtId="167" fontId="15" fillId="0" borderId="5">
      <alignment horizontal="right" vertical="center"/>
      <protection locked="0"/>
    </xf>
    <xf numFmtId="43" fontId="13" fillId="0" borderId="0" applyFont="0" applyFill="0" applyBorder="0" applyAlignment="0" applyProtection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173" fontId="15" fillId="0" borderId="0"/>
    <xf numFmtId="173" fontId="15" fillId="0" borderId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1" fillId="15" borderId="0" applyNumberFormat="0" applyBorder="0" applyAlignment="0" applyProtection="0"/>
    <xf numFmtId="0" fontId="21" fillId="16" borderId="0" applyNumberFormat="0" applyBorder="0" applyAlignment="0" applyProtection="0"/>
    <xf numFmtId="0" fontId="21" fillId="11" borderId="0" applyNumberFormat="0" applyBorder="0" applyAlignment="0" applyProtection="0"/>
    <xf numFmtId="0" fontId="21" fillId="12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5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1" borderId="0" applyNumberFormat="0" applyBorder="0" applyAlignment="0" applyProtection="0"/>
    <xf numFmtId="0" fontId="25" fillId="12" borderId="0" applyNumberFormat="0" applyBorder="0" applyAlignment="0" applyProtection="0"/>
    <xf numFmtId="0" fontId="21" fillId="17" borderId="0" applyNumberFormat="0" applyBorder="0" applyAlignment="0" applyProtection="0"/>
    <xf numFmtId="0" fontId="21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1" borderId="0" applyNumberFormat="0" applyBorder="0" applyAlignment="0" applyProtection="0"/>
    <xf numFmtId="0" fontId="25" fillId="22" borderId="0" applyNumberFormat="0" applyBorder="0" applyAlignment="0" applyProtection="0"/>
    <xf numFmtId="0" fontId="25" fillId="23" borderId="0" applyNumberFormat="0" applyBorder="0" applyAlignment="0" applyProtection="0"/>
    <xf numFmtId="0" fontId="21" fillId="20" borderId="0" applyNumberFormat="0" applyBorder="0" applyAlignment="0" applyProtection="0"/>
    <xf numFmtId="0" fontId="21" fillId="24" borderId="0" applyNumberFormat="0" applyBorder="0" applyAlignment="0" applyProtection="0"/>
    <xf numFmtId="0" fontId="25" fillId="21" borderId="0" applyNumberFormat="0" applyBorder="0" applyAlignment="0" applyProtection="0"/>
    <xf numFmtId="0" fontId="25" fillId="25" borderId="0" applyNumberFormat="0" applyBorder="0" applyAlignment="0" applyProtection="0"/>
    <xf numFmtId="0" fontId="21" fillId="17" borderId="0" applyNumberFormat="0" applyBorder="0" applyAlignment="0" applyProtection="0"/>
    <xf numFmtId="0" fontId="21" fillId="21" borderId="0" applyNumberFormat="0" applyBorder="0" applyAlignment="0" applyProtection="0"/>
    <xf numFmtId="0" fontId="25" fillId="21" borderId="0" applyNumberFormat="0" applyBorder="0" applyAlignment="0" applyProtection="0"/>
    <xf numFmtId="0" fontId="25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17" borderId="0" applyNumberFormat="0" applyBorder="0" applyAlignment="0" applyProtection="0"/>
    <xf numFmtId="0" fontId="25" fillId="18" borderId="0" applyNumberFormat="0" applyBorder="0" applyAlignment="0" applyProtection="0"/>
    <xf numFmtId="0" fontId="25" fillId="19" borderId="0" applyNumberFormat="0" applyBorder="0" applyAlignment="0" applyProtection="0"/>
    <xf numFmtId="0" fontId="21" fillId="20" borderId="0" applyNumberFormat="0" applyBorder="0" applyAlignment="0" applyProtection="0"/>
    <xf numFmtId="0" fontId="21" fillId="28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26" fillId="0" borderId="0"/>
    <xf numFmtId="42" fontId="27" fillId="0" borderId="0" applyFont="0" applyFill="0" applyBorder="0" applyAlignment="0" applyProtection="0"/>
    <xf numFmtId="0" fontId="28" fillId="30" borderId="0" applyNumberFormat="0" applyBorder="0" applyAlignment="0" applyProtection="0"/>
    <xf numFmtId="0" fontId="29" fillId="0" borderId="0" applyNumberFormat="0" applyFill="0" applyBorder="0" applyAlignment="0"/>
    <xf numFmtId="174" fontId="22" fillId="4" borderId="0" applyNumberFormat="0" applyFont="0" applyBorder="0" applyAlignment="0">
      <alignment horizontal="right"/>
    </xf>
    <xf numFmtId="174" fontId="22" fillId="4" borderId="0" applyNumberFormat="0" applyFont="0" applyBorder="0" applyAlignment="0">
      <alignment horizontal="right"/>
    </xf>
    <xf numFmtId="0" fontId="30" fillId="0" borderId="0" applyNumberFormat="0" applyFill="0" applyBorder="0" applyAlignment="0">
      <protection locked="0"/>
    </xf>
    <xf numFmtId="0" fontId="31" fillId="14" borderId="11" applyNumberFormat="0" applyAlignment="0" applyProtection="0"/>
    <xf numFmtId="0" fontId="32" fillId="31" borderId="12" applyNumberFormat="0" applyAlignment="0" applyProtection="0"/>
    <xf numFmtId="41" fontId="22" fillId="0" borderId="0" applyFont="0" applyFill="0" applyBorder="0" applyAlignment="0" applyProtection="0"/>
    <xf numFmtId="0" fontId="33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0" fontId="22" fillId="0" borderId="0" applyFont="0" applyFill="0" applyBorder="0" applyAlignment="0" applyProtection="0"/>
    <xf numFmtId="175" fontId="34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175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3" fontId="35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42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176" fontId="22" fillId="0" borderId="0" applyFont="0" applyFill="0" applyBorder="0" applyAlignment="0" applyProtection="0"/>
    <xf numFmtId="0" fontId="36" fillId="32" borderId="0" applyNumberFormat="0" applyBorder="0" applyAlignment="0" applyProtection="0"/>
    <xf numFmtId="0" fontId="36" fillId="33" borderId="0" applyNumberFormat="0" applyBorder="0" applyAlignment="0" applyProtection="0"/>
    <xf numFmtId="0" fontId="36" fillId="34" borderId="0" applyNumberFormat="0" applyBorder="0" applyAlignment="0" applyProtection="0"/>
    <xf numFmtId="177" fontId="21" fillId="0" borderId="0" applyFont="0" applyFill="0" applyBorder="0" applyAlignment="0" applyProtection="0"/>
    <xf numFmtId="0" fontId="37" fillId="0" borderId="0" applyNumberFormat="0" applyFill="0" applyBorder="0" applyAlignment="0" applyProtection="0"/>
    <xf numFmtId="178" fontId="22" fillId="0" borderId="0" applyFont="0" applyFill="0" applyBorder="0" applyAlignment="0" applyProtection="0"/>
    <xf numFmtId="178" fontId="22" fillId="0" borderId="0" applyFont="0" applyFill="0" applyBorder="0" applyAlignment="0" applyProtection="0"/>
    <xf numFmtId="0" fontId="38" fillId="0" borderId="0"/>
    <xf numFmtId="0" fontId="39" fillId="0" borderId="0"/>
    <xf numFmtId="0" fontId="40" fillId="35" borderId="0" applyNumberFormat="0" applyBorder="0" applyAlignment="0" applyProtection="0"/>
    <xf numFmtId="0" fontId="24" fillId="0" borderId="0" applyFill="0" applyBorder="0">
      <alignment vertical="center"/>
    </xf>
    <xf numFmtId="0" fontId="41" fillId="0" borderId="13" applyNumberFormat="0" applyFill="0" applyAlignment="0" applyProtection="0"/>
    <xf numFmtId="0" fontId="24" fillId="0" borderId="0" applyFill="0" applyBorder="0">
      <alignment vertical="center"/>
    </xf>
    <xf numFmtId="0" fontId="42" fillId="0" borderId="0" applyFill="0" applyBorder="0">
      <alignment vertical="center"/>
    </xf>
    <xf numFmtId="0" fontId="43" fillId="0" borderId="14" applyNumberFormat="0" applyFill="0" applyAlignment="0" applyProtection="0"/>
    <xf numFmtId="0" fontId="42" fillId="0" borderId="0" applyFill="0" applyBorder="0">
      <alignment vertical="center"/>
    </xf>
    <xf numFmtId="0" fontId="12" fillId="0" borderId="0" applyFill="0" applyBorder="0">
      <alignment vertical="center"/>
    </xf>
    <xf numFmtId="0" fontId="44" fillId="0" borderId="15" applyNumberFormat="0" applyFill="0" applyAlignment="0" applyProtection="0"/>
    <xf numFmtId="0" fontId="12" fillId="0" borderId="0" applyFill="0" applyBorder="0">
      <alignment vertical="center"/>
    </xf>
    <xf numFmtId="0" fontId="15" fillId="0" borderId="0" applyFill="0" applyBorder="0">
      <alignment vertical="center"/>
    </xf>
    <xf numFmtId="0" fontId="44" fillId="0" borderId="0" applyNumberFormat="0" applyFill="0" applyBorder="0" applyAlignment="0" applyProtection="0"/>
    <xf numFmtId="0" fontId="15" fillId="0" borderId="0" applyFill="0" applyBorder="0">
      <alignment vertical="center"/>
    </xf>
    <xf numFmtId="179" fontId="45" fillId="0" borderId="0"/>
    <xf numFmtId="0" fontId="46" fillId="0" borderId="0" applyNumberFormat="0" applyFill="0" applyBorder="0" applyAlignment="0" applyProtection="0">
      <alignment vertical="top"/>
      <protection locked="0"/>
    </xf>
    <xf numFmtId="0" fontId="47" fillId="0" borderId="0" applyFill="0" applyBorder="0">
      <alignment horizontal="center" vertical="center"/>
      <protection locked="0"/>
    </xf>
    <xf numFmtId="0" fontId="48" fillId="0" borderId="0" applyFill="0" applyBorder="0">
      <alignment horizontal="left" vertical="center"/>
      <protection locked="0"/>
    </xf>
    <xf numFmtId="0" fontId="49" fillId="12" borderId="11" applyNumberFormat="0" applyAlignment="0" applyProtection="0"/>
    <xf numFmtId="174" fontId="22" fillId="36" borderId="0" applyFont="0" applyBorder="0" applyAlignment="0">
      <alignment horizontal="right"/>
      <protection locked="0"/>
    </xf>
    <xf numFmtId="174" fontId="22" fillId="36" borderId="0" applyFont="0" applyBorder="0" applyAlignment="0">
      <alignment horizontal="right"/>
      <protection locked="0"/>
    </xf>
    <xf numFmtId="180" fontId="22" fillId="6" borderId="0" applyFont="0" applyBorder="0">
      <alignment horizontal="right"/>
      <protection locked="0"/>
    </xf>
    <xf numFmtId="180" fontId="22" fillId="6" borderId="0" applyFont="0" applyBorder="0">
      <alignment horizontal="right"/>
      <protection locked="0"/>
    </xf>
    <xf numFmtId="174" fontId="22" fillId="10" borderId="0" applyFont="0" applyBorder="0">
      <alignment horizontal="right"/>
      <protection locked="0"/>
    </xf>
    <xf numFmtId="174" fontId="22" fillId="10" borderId="0" applyFont="0" applyBorder="0">
      <alignment horizontal="right"/>
      <protection locked="0"/>
    </xf>
    <xf numFmtId="0" fontId="15" fillId="4" borderId="0"/>
    <xf numFmtId="0" fontId="50" fillId="0" borderId="16" applyNumberFormat="0" applyFill="0" applyAlignment="0" applyProtection="0"/>
    <xf numFmtId="181" fontId="51" fillId="0" borderId="0"/>
    <xf numFmtId="0" fontId="52" fillId="0" borderId="0" applyFill="0" applyBorder="0">
      <alignment horizontal="left" vertical="center"/>
    </xf>
    <xf numFmtId="0" fontId="53" fillId="15" borderId="0" applyNumberFormat="0" applyBorder="0" applyAlignment="0" applyProtection="0"/>
    <xf numFmtId="182" fontId="54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3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55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2" fillId="0" borderId="0"/>
    <xf numFmtId="0" fontId="27" fillId="0" borderId="0"/>
    <xf numFmtId="0" fontId="22" fillId="3" borderId="0"/>
    <xf numFmtId="0" fontId="55" fillId="0" borderId="0"/>
    <xf numFmtId="0" fontId="22" fillId="0" borderId="0"/>
    <xf numFmtId="0" fontId="22" fillId="0" borderId="0"/>
    <xf numFmtId="0" fontId="22" fillId="13" borderId="17" applyNumberFormat="0" applyFont="0" applyAlignment="0" applyProtection="0"/>
    <xf numFmtId="0" fontId="56" fillId="14" borderId="18" applyNumberFormat="0" applyAlignment="0" applyProtection="0"/>
    <xf numFmtId="183" fontId="22" fillId="0" borderId="0" applyFill="0" applyBorder="0"/>
    <xf numFmtId="183" fontId="22" fillId="0" borderId="0" applyFill="0" applyBorder="0"/>
    <xf numFmtId="183" fontId="22" fillId="0" borderId="0" applyFill="0" applyBorder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179" fontId="57" fillId="0" borderId="0"/>
    <xf numFmtId="0" fontId="12" fillId="0" borderId="0" applyFill="0" applyBorder="0">
      <alignment vertical="center"/>
    </xf>
    <xf numFmtId="0" fontId="33" fillId="0" borderId="0" applyNumberFormat="0" applyFont="0" applyFill="0" applyBorder="0" applyAlignment="0" applyProtection="0">
      <alignment horizontal="left"/>
    </xf>
    <xf numFmtId="15" fontId="33" fillId="0" borderId="0" applyFont="0" applyFill="0" applyBorder="0" applyAlignment="0" applyProtection="0"/>
    <xf numFmtId="4" fontId="33" fillId="0" borderId="0" applyFont="0" applyFill="0" applyBorder="0" applyAlignment="0" applyProtection="0"/>
    <xf numFmtId="184" fontId="58" fillId="0" borderId="19"/>
    <xf numFmtId="0" fontId="59" fillId="0" borderId="20">
      <alignment horizontal="center"/>
    </xf>
    <xf numFmtId="3" fontId="33" fillId="0" borderId="0" applyFont="0" applyFill="0" applyBorder="0" applyAlignment="0" applyProtection="0"/>
    <xf numFmtId="0" fontId="33" fillId="37" borderId="0" applyNumberFormat="0" applyFont="0" applyBorder="0" applyAlignment="0" applyProtection="0"/>
    <xf numFmtId="185" fontId="22" fillId="0" borderId="0"/>
    <xf numFmtId="185" fontId="22" fillId="0" borderId="0"/>
    <xf numFmtId="185" fontId="22" fillId="0" borderId="0"/>
    <xf numFmtId="186" fontId="15" fillId="0" borderId="0" applyFill="0" applyBorder="0">
      <alignment horizontal="right" vertical="center"/>
    </xf>
    <xf numFmtId="187" fontId="15" fillId="0" borderId="0" applyFill="0" applyBorder="0">
      <alignment horizontal="right" vertical="center"/>
    </xf>
    <xf numFmtId="188" fontId="15" fillId="0" borderId="0" applyFill="0" applyBorder="0">
      <alignment horizontal="right" vertical="center"/>
    </xf>
    <xf numFmtId="0" fontId="22" fillId="13" borderId="0" applyNumberFormat="0" applyFont="0" applyBorder="0" applyAlignment="0" applyProtection="0"/>
    <xf numFmtId="0" fontId="22" fillId="13" borderId="0" applyNumberFormat="0" applyFont="0" applyBorder="0" applyAlignment="0" applyProtection="0"/>
    <xf numFmtId="0" fontId="22" fillId="14" borderId="0" applyNumberFormat="0" applyFont="0" applyBorder="0" applyAlignment="0" applyProtection="0"/>
    <xf numFmtId="0" fontId="22" fillId="14" borderId="0" applyNumberFormat="0" applyFont="0" applyBorder="0" applyAlignment="0" applyProtection="0"/>
    <xf numFmtId="0" fontId="22" fillId="16" borderId="0" applyNumberFormat="0" applyFont="0" applyBorder="0" applyAlignment="0" applyProtection="0"/>
    <xf numFmtId="0" fontId="22" fillId="16" borderId="0" applyNumberFormat="0" applyFon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16" borderId="0" applyNumberFormat="0" applyFont="0" applyBorder="0" applyAlignment="0" applyProtection="0"/>
    <xf numFmtId="0" fontId="22" fillId="16" borderId="0" applyNumberFormat="0" applyFont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Fill="0" applyBorder="0" applyAlignment="0" applyProtection="0"/>
    <xf numFmtId="0" fontId="22" fillId="0" borderId="0" applyNumberFormat="0" applyFont="0" applyBorder="0" applyAlignment="0" applyProtection="0"/>
    <xf numFmtId="0" fontId="22" fillId="0" borderId="0" applyNumberFormat="0" applyFont="0" applyBorder="0" applyAlignment="0" applyProtection="0"/>
    <xf numFmtId="0" fontId="60" fillId="0" borderId="0" applyNumberForma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52" fillId="0" borderId="0"/>
    <xf numFmtId="0" fontId="61" fillId="0" borderId="0"/>
    <xf numFmtId="15" fontId="22" fillId="0" borderId="0"/>
    <xf numFmtId="15" fontId="22" fillId="0" borderId="0"/>
    <xf numFmtId="15" fontId="22" fillId="0" borderId="0"/>
    <xf numFmtId="10" fontId="22" fillId="0" borderId="0"/>
    <xf numFmtId="10" fontId="22" fillId="0" borderId="0"/>
    <xf numFmtId="10" fontId="22" fillId="0" borderId="0"/>
    <xf numFmtId="0" fontId="62" fillId="9" borderId="7" applyBorder="0" applyProtection="0">
      <alignment horizontal="centerContinuous" vertical="center"/>
    </xf>
    <xf numFmtId="0" fontId="63" fillId="0" borderId="0" applyBorder="0" applyProtection="0">
      <alignment vertical="center"/>
    </xf>
    <xf numFmtId="0" fontId="64" fillId="0" borderId="0">
      <alignment horizontal="left"/>
    </xf>
    <xf numFmtId="0" fontId="64" fillId="0" borderId="10" applyFill="0" applyBorder="0" applyProtection="0">
      <alignment horizontal="left" vertical="top"/>
    </xf>
    <xf numFmtId="49" fontId="22" fillId="0" borderId="0" applyFont="0" applyFill="0" applyBorder="0" applyAlignment="0" applyProtection="0"/>
    <xf numFmtId="0" fontId="65" fillId="0" borderId="0"/>
    <xf numFmtId="49" fontId="22" fillId="0" borderId="0" applyFont="0" applyFill="0" applyBorder="0" applyAlignment="0" applyProtection="0"/>
    <xf numFmtId="0" fontId="66" fillId="0" borderId="0"/>
    <xf numFmtId="0" fontId="66" fillId="0" borderId="0"/>
    <xf numFmtId="0" fontId="65" fillId="0" borderId="0"/>
    <xf numFmtId="181" fontId="67" fillId="0" borderId="0"/>
    <xf numFmtId="0" fontId="60" fillId="0" borderId="0" applyNumberFormat="0" applyFill="0" applyBorder="0" applyAlignment="0" applyProtection="0"/>
    <xf numFmtId="0" fontId="68" fillId="0" borderId="0" applyFill="0" applyBorder="0">
      <alignment horizontal="left" vertical="center"/>
      <protection locked="0"/>
    </xf>
    <xf numFmtId="0" fontId="65" fillId="0" borderId="0"/>
    <xf numFmtId="0" fontId="69" fillId="0" borderId="0" applyFill="0" applyBorder="0">
      <alignment horizontal="left" vertical="center"/>
      <protection locked="0"/>
    </xf>
    <xf numFmtId="0" fontId="36" fillId="0" borderId="21" applyNumberFormat="0" applyFill="0" applyAlignment="0" applyProtection="0"/>
    <xf numFmtId="0" fontId="70" fillId="0" borderId="0" applyNumberFormat="0" applyFill="0" applyBorder="0" applyAlignment="0" applyProtection="0"/>
    <xf numFmtId="189" fontId="22" fillId="0" borderId="7" applyBorder="0" applyProtection="0">
      <alignment horizontal="right"/>
    </xf>
    <xf numFmtId="189" fontId="22" fillId="0" borderId="7" applyBorder="0" applyProtection="0">
      <alignment horizontal="right"/>
    </xf>
    <xf numFmtId="189" fontId="22" fillId="0" borderId="7" applyBorder="0" applyProtection="0">
      <alignment horizontal="right"/>
    </xf>
    <xf numFmtId="0" fontId="4" fillId="0" borderId="0"/>
    <xf numFmtId="9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76" fillId="42" borderId="0"/>
    <xf numFmtId="199" fontId="77" fillId="0" borderId="23">
      <alignment horizontal="center"/>
    </xf>
    <xf numFmtId="0" fontId="78" fillId="43" borderId="6">
      <alignment horizontal="center" vertical="center"/>
    </xf>
    <xf numFmtId="0" fontId="22" fillId="44" borderId="11"/>
    <xf numFmtId="0" fontId="79" fillId="0" borderId="0" applyFill="0" applyBorder="0"/>
    <xf numFmtId="0" fontId="80" fillId="0" borderId="0" applyNumberFormat="0" applyFill="0"/>
    <xf numFmtId="0" fontId="81" fillId="0" borderId="0" applyFill="0"/>
    <xf numFmtId="0" fontId="82" fillId="0" borderId="0" applyFill="0"/>
    <xf numFmtId="0" fontId="83" fillId="0" borderId="0" applyFill="0"/>
    <xf numFmtId="0" fontId="76" fillId="45" borderId="0"/>
    <xf numFmtId="0" fontId="22" fillId="38" borderId="24" applyNumberFormat="0" applyFont="0" applyAlignment="0"/>
    <xf numFmtId="0" fontId="84" fillId="7" borderId="25" applyNumberFormat="0"/>
    <xf numFmtId="0" fontId="85" fillId="46" borderId="0"/>
    <xf numFmtId="0" fontId="86" fillId="46" borderId="0" applyNumberFormat="0"/>
    <xf numFmtId="0" fontId="87" fillId="46" borderId="0"/>
    <xf numFmtId="0" fontId="88" fillId="47" borderId="6" applyNumberFormat="0">
      <alignment horizontal="center" vertical="center"/>
    </xf>
    <xf numFmtId="0" fontId="89" fillId="48" borderId="11" applyNumberFormat="0" applyAlignment="0">
      <alignment horizontal="right"/>
    </xf>
    <xf numFmtId="0" fontId="24" fillId="38" borderId="24" applyNumberFormat="0" applyAlignment="0"/>
    <xf numFmtId="0" fontId="77" fillId="0" borderId="0" applyNumberFormat="0" applyFill="0" applyBorder="0"/>
    <xf numFmtId="0" fontId="90" fillId="49" borderId="24" applyNumberFormat="0">
      <protection locked="0"/>
    </xf>
    <xf numFmtId="0" fontId="3" fillId="0" borderId="0"/>
    <xf numFmtId="187" fontId="92" fillId="50" borderId="27">
      <alignment horizontal="right" vertical="center"/>
      <protection locked="0"/>
    </xf>
    <xf numFmtId="0" fontId="2" fillId="0" borderId="0"/>
    <xf numFmtId="43" fontId="2" fillId="0" borderId="0" applyFont="0" applyFill="0" applyBorder="0" applyAlignment="0" applyProtection="0"/>
    <xf numFmtId="206" fontId="94" fillId="0" borderId="0">
      <alignment horizontal="center" vertical="center"/>
    </xf>
    <xf numFmtId="0" fontId="95" fillId="0" borderId="0" applyFill="0" applyBorder="0">
      <alignment horizontal="left" vertical="center"/>
    </xf>
    <xf numFmtId="0" fontId="96" fillId="0" borderId="0"/>
    <xf numFmtId="0" fontId="97" fillId="51" borderId="0" applyBorder="0">
      <alignment horizontal="left" vertical="center"/>
    </xf>
    <xf numFmtId="0" fontId="98" fillId="0" borderId="0" applyFill="0" applyBorder="0">
      <alignment vertical="center"/>
    </xf>
    <xf numFmtId="0" fontId="99" fillId="0" borderId="0" applyFill="0" applyBorder="0">
      <alignment horizontal="left" vertical="center"/>
    </xf>
    <xf numFmtId="0" fontId="100" fillId="43" borderId="0" applyBorder="0">
      <alignment horizontal="left" vertical="center"/>
    </xf>
    <xf numFmtId="9" fontId="96" fillId="0" borderId="0" applyFont="0" applyFill="0" applyBorder="0" applyAlignment="0" applyProtection="0"/>
    <xf numFmtId="187" fontId="98" fillId="0" borderId="0" applyFill="0" applyBorder="0">
      <alignment horizontal="right" vertical="center"/>
    </xf>
    <xf numFmtId="187" fontId="29" fillId="7" borderId="27">
      <alignment horizontal="right" vertical="center"/>
      <protection locked="0"/>
    </xf>
    <xf numFmtId="0" fontId="1" fillId="0" borderId="0"/>
    <xf numFmtId="0" fontId="101" fillId="52" borderId="0">
      <alignment horizontal="left" vertical="center"/>
      <protection locked="0"/>
    </xf>
    <xf numFmtId="0" fontId="102" fillId="0" borderId="0" applyNumberFormat="0" applyFill="0" applyBorder="0" applyAlignment="0" applyProtection="0"/>
    <xf numFmtId="205" fontId="93" fillId="53" borderId="28" applyBorder="0">
      <alignment horizontal="right"/>
      <protection locked="0"/>
    </xf>
    <xf numFmtId="9" fontId="1" fillId="0" borderId="0" applyFont="0" applyFill="0" applyBorder="0" applyAlignment="0" applyProtection="0"/>
  </cellStyleXfs>
  <cellXfs count="212">
    <xf numFmtId="0" fontId="0" fillId="0" borderId="0" xfId="0"/>
    <xf numFmtId="0" fontId="5" fillId="2" borderId="0" xfId="0" applyFont="1" applyFill="1" applyBorder="1"/>
    <xf numFmtId="0" fontId="5" fillId="2" borderId="1" xfId="0" applyFont="1" applyFill="1" applyBorder="1"/>
    <xf numFmtId="164" fontId="6" fillId="3" borderId="0" xfId="0" applyNumberFormat="1" applyFont="1" applyFill="1"/>
    <xf numFmtId="164" fontId="7" fillId="0" borderId="0" xfId="0" applyNumberFormat="1" applyFont="1"/>
    <xf numFmtId="164" fontId="6" fillId="0" borderId="0" xfId="0" applyNumberFormat="1" applyFont="1"/>
    <xf numFmtId="164" fontId="8" fillId="0" borderId="0" xfId="0" applyNumberFormat="1" applyFont="1"/>
    <xf numFmtId="164" fontId="9" fillId="0" borderId="0" xfId="0" applyNumberFormat="1" applyFont="1" applyAlignment="1" applyProtection="1"/>
    <xf numFmtId="0" fontId="6" fillId="5" borderId="0" xfId="0" applyFont="1" applyFill="1" applyBorder="1"/>
    <xf numFmtId="0" fontId="6" fillId="6" borderId="0" xfId="0" applyFont="1" applyFill="1" applyBorder="1"/>
    <xf numFmtId="164" fontId="12" fillId="0" borderId="0" xfId="0" applyNumberFormat="1" applyFont="1"/>
    <xf numFmtId="164" fontId="8" fillId="0" borderId="0" xfId="0" applyNumberFormat="1" applyFont="1" applyAlignment="1">
      <alignment horizontal="center"/>
    </xf>
    <xf numFmtId="164" fontId="6" fillId="0" borderId="0" xfId="0" applyNumberFormat="1" applyFont="1" applyAlignment="1">
      <alignment horizontal="left" indent="1"/>
    </xf>
    <xf numFmtId="164" fontId="7" fillId="0" borderId="0" xfId="0" applyNumberFormat="1" applyFont="1" applyAlignment="1">
      <alignment horizontal="center"/>
    </xf>
    <xf numFmtId="164" fontId="0" fillId="0" borderId="0" xfId="0" applyNumberFormat="1"/>
    <xf numFmtId="43" fontId="12" fillId="0" borderId="6" xfId="0" applyNumberFormat="1" applyFont="1" applyBorder="1" applyAlignment="1">
      <alignment horizontal="center"/>
    </xf>
    <xf numFmtId="164" fontId="17" fillId="0" borderId="0" xfId="3" applyNumberFormat="1" applyFont="1" applyAlignment="1" applyProtection="1"/>
    <xf numFmtId="164" fontId="7" fillId="3" borderId="0" xfId="0" applyNumberFormat="1" applyFont="1" applyFill="1"/>
    <xf numFmtId="164" fontId="18" fillId="0" borderId="0" xfId="0" applyNumberFormat="1" applyFont="1" applyAlignment="1">
      <alignment horizontal="center"/>
    </xf>
    <xf numFmtId="169" fontId="15" fillId="0" borderId="0" xfId="5" applyNumberFormat="1" applyFont="1" applyFill="1" applyBorder="1" applyAlignment="1" applyProtection="1">
      <alignment horizontal="center" vertical="center"/>
    </xf>
    <xf numFmtId="170" fontId="12" fillId="0" borderId="0" xfId="5" applyNumberFormat="1" applyFont="1" applyFill="1" applyBorder="1" applyAlignment="1" applyProtection="1">
      <alignment horizontal="center" vertical="center"/>
    </xf>
    <xf numFmtId="170" fontId="20" fillId="0" borderId="0" xfId="5" applyNumberFormat="1" applyFont="1" applyFill="1" applyBorder="1" applyAlignment="1" applyProtection="1">
      <alignment horizontal="center" vertical="center"/>
    </xf>
    <xf numFmtId="172" fontId="15" fillId="0" borderId="0" xfId="5" applyNumberFormat="1" applyFont="1" applyFill="1" applyBorder="1" applyAlignment="1" applyProtection="1">
      <alignment horizontal="center" vertical="center"/>
    </xf>
    <xf numFmtId="164" fontId="6" fillId="3" borderId="0" xfId="0" applyNumberFormat="1" applyFont="1" applyFill="1" applyProtection="1"/>
    <xf numFmtId="164" fontId="7" fillId="3" borderId="0" xfId="0" applyNumberFormat="1" applyFont="1" applyFill="1" applyAlignment="1" applyProtection="1">
      <alignment horizontal="center"/>
    </xf>
    <xf numFmtId="164" fontId="6" fillId="0" borderId="0" xfId="0" applyNumberFormat="1" applyFont="1" applyProtection="1"/>
    <xf numFmtId="164" fontId="7" fillId="0" borderId="0" xfId="0" applyNumberFormat="1" applyFont="1" applyAlignment="1" applyProtection="1">
      <alignment horizontal="center"/>
    </xf>
    <xf numFmtId="164" fontId="12" fillId="0" borderId="0" xfId="0" applyNumberFormat="1" applyFont="1" applyProtection="1"/>
    <xf numFmtId="164" fontId="18" fillId="0" borderId="0" xfId="0" applyNumberFormat="1" applyFont="1" applyAlignment="1" applyProtection="1">
      <alignment horizontal="center"/>
    </xf>
    <xf numFmtId="164" fontId="8" fillId="0" borderId="0" xfId="0" applyNumberFormat="1" applyFont="1" applyAlignment="1" applyProtection="1">
      <alignment horizontal="center"/>
    </xf>
    <xf numFmtId="164" fontId="17" fillId="0" borderId="0" xfId="3" applyNumberFormat="1" applyFont="1" applyAlignment="1" applyProtection="1">
      <alignment horizontal="center"/>
    </xf>
    <xf numFmtId="0" fontId="71" fillId="38" borderId="0" xfId="0" applyFont="1" applyFill="1" applyBorder="1" applyAlignment="1">
      <alignment horizontal="left" vertical="center"/>
    </xf>
    <xf numFmtId="0" fontId="71" fillId="38" borderId="0" xfId="0" applyFont="1" applyFill="1" applyBorder="1" applyAlignment="1">
      <alignment horizontal="left" indent="9"/>
    </xf>
    <xf numFmtId="0" fontId="72" fillId="38" borderId="0" xfId="0" applyFont="1" applyFill="1" applyBorder="1" applyAlignment="1" applyProtection="1"/>
    <xf numFmtId="0" fontId="0" fillId="38" borderId="0" xfId="0" applyFont="1" applyFill="1" applyBorder="1"/>
    <xf numFmtId="0" fontId="0" fillId="38" borderId="0" xfId="0" applyFont="1" applyFill="1" applyBorder="1" applyAlignment="1">
      <alignment horizontal="right"/>
    </xf>
    <xf numFmtId="43" fontId="23" fillId="38" borderId="0" xfId="0" applyNumberFormat="1" applyFont="1" applyFill="1" applyBorder="1" applyAlignment="1">
      <alignment horizontal="center"/>
    </xf>
    <xf numFmtId="0" fontId="73" fillId="38" borderId="1" xfId="0" applyFont="1" applyFill="1" applyBorder="1" applyAlignment="1">
      <alignment horizontal="left"/>
    </xf>
    <xf numFmtId="0" fontId="0" fillId="38" borderId="1" xfId="0" applyFont="1" applyFill="1" applyBorder="1"/>
    <xf numFmtId="0" fontId="0" fillId="39" borderId="4" xfId="0" applyFill="1" applyBorder="1"/>
    <xf numFmtId="0" fontId="24" fillId="39" borderId="4" xfId="0" applyFont="1" applyFill="1" applyBorder="1" applyAlignment="1">
      <alignment vertical="center"/>
    </xf>
    <xf numFmtId="0" fontId="0" fillId="39" borderId="4" xfId="0" applyFill="1" applyBorder="1" applyAlignment="1">
      <alignment wrapText="1"/>
    </xf>
    <xf numFmtId="44" fontId="24" fillId="39" borderId="4" xfId="0" applyNumberFormat="1" applyFont="1" applyFill="1" applyBorder="1" applyAlignment="1">
      <alignment horizontal="center" wrapText="1"/>
    </xf>
    <xf numFmtId="0" fontId="23" fillId="39" borderId="4" xfId="0" applyFont="1" applyFill="1" applyBorder="1"/>
    <xf numFmtId="165" fontId="6" fillId="41" borderId="3" xfId="0" applyNumberFormat="1" applyFont="1" applyFill="1" applyBorder="1" applyAlignment="1" applyProtection="1">
      <alignment horizontal="center"/>
      <protection locked="0"/>
    </xf>
    <xf numFmtId="0" fontId="73" fillId="38" borderId="0" xfId="0" applyFont="1" applyFill="1" applyBorder="1" applyAlignment="1">
      <alignment horizontal="left"/>
    </xf>
    <xf numFmtId="0" fontId="73" fillId="38" borderId="0" xfId="0" applyFont="1" applyFill="1" applyBorder="1" applyAlignment="1">
      <alignment horizontal="left" indent="9"/>
    </xf>
    <xf numFmtId="0" fontId="0" fillId="0" borderId="8" xfId="0" applyBorder="1"/>
    <xf numFmtId="0" fontId="6" fillId="40" borderId="0" xfId="0" applyFont="1" applyFill="1" applyBorder="1" applyAlignment="1">
      <alignment horizontal="center"/>
    </xf>
    <xf numFmtId="10" fontId="6" fillId="41" borderId="3" xfId="2" applyNumberFormat="1" applyFont="1" applyFill="1" applyBorder="1" applyAlignment="1" applyProtection="1">
      <alignment horizontal="center"/>
      <protection locked="0"/>
    </xf>
    <xf numFmtId="49" fontId="6" fillId="41" borderId="3" xfId="0" applyNumberFormat="1" applyFont="1" applyFill="1" applyBorder="1" applyAlignment="1" applyProtection="1">
      <alignment horizontal="left" indent="1"/>
      <protection locked="0"/>
    </xf>
    <xf numFmtId="164" fontId="18" fillId="0" borderId="0" xfId="0" applyNumberFormat="1" applyFont="1" applyAlignment="1" applyProtection="1">
      <alignment horizontal="center" wrapText="1"/>
    </xf>
    <xf numFmtId="190" fontId="6" fillId="41" borderId="3" xfId="0" applyNumberFormat="1" applyFont="1" applyFill="1" applyBorder="1" applyAlignment="1" applyProtection="1">
      <alignment horizontal="center"/>
      <protection locked="0"/>
    </xf>
    <xf numFmtId="194" fontId="6" fillId="0" borderId="0" xfId="0" applyNumberFormat="1" applyFont="1" applyAlignment="1" applyProtection="1">
      <alignment horizontal="left"/>
    </xf>
    <xf numFmtId="192" fontId="6" fillId="0" borderId="0" xfId="0" applyNumberFormat="1" applyFont="1" applyProtection="1"/>
    <xf numFmtId="164" fontId="7" fillId="0" borderId="0" xfId="0" applyNumberFormat="1" applyFont="1" applyAlignment="1" applyProtection="1">
      <alignment horizontal="center" wrapText="1"/>
    </xf>
    <xf numFmtId="164" fontId="8" fillId="0" borderId="0" xfId="0" applyNumberFormat="1" applyFont="1" applyProtection="1"/>
    <xf numFmtId="164" fontId="19" fillId="40" borderId="9" xfId="0" applyNumberFormat="1" applyFont="1" applyFill="1" applyBorder="1" applyAlignment="1" applyProtection="1">
      <alignment horizontal="center"/>
      <protection locked="0"/>
    </xf>
    <xf numFmtId="0" fontId="0" fillId="38" borderId="0" xfId="0" applyFont="1" applyFill="1" applyBorder="1" applyProtection="1"/>
    <xf numFmtId="0" fontId="71" fillId="38" borderId="0" xfId="0" applyFont="1" applyFill="1" applyBorder="1" applyAlignment="1" applyProtection="1">
      <alignment horizontal="left" vertical="center"/>
    </xf>
    <xf numFmtId="0" fontId="71" fillId="38" borderId="0" xfId="0" applyFont="1" applyFill="1" applyBorder="1" applyAlignment="1" applyProtection="1">
      <alignment horizontal="left" indent="9"/>
    </xf>
    <xf numFmtId="0" fontId="0" fillId="38" borderId="0" xfId="0" applyFont="1" applyFill="1" applyBorder="1" applyAlignment="1" applyProtection="1">
      <alignment horizontal="right"/>
    </xf>
    <xf numFmtId="0" fontId="6" fillId="40" borderId="0" xfId="0" applyFont="1" applyFill="1" applyBorder="1" applyAlignment="1" applyProtection="1">
      <alignment horizontal="center"/>
    </xf>
    <xf numFmtId="0" fontId="6" fillId="5" borderId="0" xfId="0" applyFont="1" applyFill="1" applyBorder="1" applyProtection="1"/>
    <xf numFmtId="0" fontId="6" fillId="6" borderId="0" xfId="0" applyFont="1" applyFill="1" applyBorder="1" applyProtection="1"/>
    <xf numFmtId="43" fontId="23" fillId="38" borderId="0" xfId="0" applyNumberFormat="1" applyFont="1" applyFill="1" applyBorder="1" applyAlignment="1" applyProtection="1">
      <alignment horizontal="center"/>
    </xf>
    <xf numFmtId="0" fontId="0" fillId="38" borderId="1" xfId="0" applyFont="1" applyFill="1" applyBorder="1" applyProtection="1"/>
    <xf numFmtId="0" fontId="73" fillId="38" borderId="1" xfId="0" applyFont="1" applyFill="1" applyBorder="1" applyAlignment="1" applyProtection="1">
      <alignment horizontal="left"/>
    </xf>
    <xf numFmtId="0" fontId="73" fillId="38" borderId="1" xfId="0" applyFont="1" applyFill="1" applyBorder="1" applyAlignment="1" applyProtection="1">
      <alignment horizontal="left" indent="9"/>
    </xf>
    <xf numFmtId="0" fontId="23" fillId="38" borderId="2" xfId="0" applyNumberFormat="1" applyFont="1" applyFill="1" applyBorder="1" applyProtection="1"/>
    <xf numFmtId="0" fontId="23" fillId="38" borderId="2" xfId="0" applyFont="1" applyFill="1" applyBorder="1" applyProtection="1"/>
    <xf numFmtId="0" fontId="74" fillId="38" borderId="2" xfId="0" applyNumberFormat="1" applyFont="1" applyFill="1" applyBorder="1" applyProtection="1"/>
    <xf numFmtId="0" fontId="74" fillId="39" borderId="4" xfId="0" applyFont="1" applyFill="1" applyBorder="1" applyProtection="1"/>
    <xf numFmtId="0" fontId="74" fillId="39" borderId="4" xfId="0" applyFont="1" applyFill="1" applyBorder="1" applyAlignment="1" applyProtection="1">
      <alignment horizontal="center"/>
    </xf>
    <xf numFmtId="0" fontId="19" fillId="39" borderId="4" xfId="0" applyFont="1" applyFill="1" applyBorder="1" applyAlignment="1" applyProtection="1">
      <alignment horizontal="center" vertical="center"/>
    </xf>
    <xf numFmtId="0" fontId="19" fillId="39" borderId="4" xfId="0" applyFont="1" applyFill="1" applyBorder="1" applyAlignment="1" applyProtection="1">
      <alignment vertical="center"/>
    </xf>
    <xf numFmtId="0" fontId="74" fillId="39" borderId="4" xfId="0" applyFont="1" applyFill="1" applyBorder="1" applyAlignment="1" applyProtection="1">
      <alignment wrapText="1"/>
    </xf>
    <xf numFmtId="44" fontId="19" fillId="39" borderId="4" xfId="0" applyNumberFormat="1" applyFont="1" applyFill="1" applyBorder="1" applyAlignment="1" applyProtection="1">
      <alignment horizontal="center" wrapText="1"/>
    </xf>
    <xf numFmtId="0" fontId="74" fillId="0" borderId="0" xfId="0" applyFont="1" applyProtection="1"/>
    <xf numFmtId="0" fontId="0" fillId="39" borderId="4" xfId="0" applyFill="1" applyBorder="1" applyProtection="1"/>
    <xf numFmtId="0" fontId="23" fillId="39" borderId="4" xfId="0" applyFont="1" applyFill="1" applyBorder="1" applyProtection="1"/>
    <xf numFmtId="0" fontId="24" fillId="39" borderId="4" xfId="0" applyFont="1" applyFill="1" applyBorder="1" applyAlignment="1" applyProtection="1">
      <alignment vertical="center"/>
    </xf>
    <xf numFmtId="0" fontId="0" fillId="39" borderId="4" xfId="0" applyFill="1" applyBorder="1" applyAlignment="1" applyProtection="1">
      <alignment wrapText="1"/>
    </xf>
    <xf numFmtId="44" fontId="24" fillId="39" borderId="4" xfId="0" applyNumberFormat="1" applyFont="1" applyFill="1" applyBorder="1" applyAlignment="1" applyProtection="1">
      <alignment horizontal="center" wrapText="1"/>
    </xf>
    <xf numFmtId="0" fontId="0" fillId="0" borderId="0" xfId="0" applyFill="1" applyProtection="1"/>
    <xf numFmtId="0" fontId="0" fillId="0" borderId="0" xfId="0" applyProtection="1"/>
    <xf numFmtId="164" fontId="8" fillId="0" borderId="0" xfId="0" applyNumberFormat="1" applyFont="1" applyFill="1" applyBorder="1" applyProtection="1"/>
    <xf numFmtId="164" fontId="7" fillId="0" borderId="0" xfId="0" applyNumberFormat="1" applyFont="1" applyFill="1" applyAlignment="1" applyProtection="1">
      <alignment horizontal="center"/>
    </xf>
    <xf numFmtId="164" fontId="6" fillId="0" borderId="0" xfId="0" applyNumberFormat="1" applyFont="1" applyBorder="1" applyAlignment="1" applyProtection="1">
      <alignment horizontal="left" indent="1"/>
    </xf>
    <xf numFmtId="164" fontId="6" fillId="0" borderId="0" xfId="0" applyNumberFormat="1" applyFont="1" applyAlignment="1" applyProtection="1">
      <alignment horizontal="center"/>
    </xf>
    <xf numFmtId="164" fontId="17" fillId="0" borderId="0" xfId="3" applyNumberFormat="1" applyFont="1" applyFill="1" applyAlignment="1" applyProtection="1">
      <alignment horizontal="center"/>
    </xf>
    <xf numFmtId="195" fontId="6" fillId="0" borderId="0" xfId="0" applyNumberFormat="1" applyFont="1" applyAlignment="1" applyProtection="1">
      <alignment horizontal="center"/>
    </xf>
    <xf numFmtId="164" fontId="7" fillId="0" borderId="0" xfId="0" applyNumberFormat="1" applyFont="1" applyBorder="1" applyAlignment="1" applyProtection="1">
      <alignment horizontal="center"/>
    </xf>
    <xf numFmtId="164" fontId="6" fillId="0" borderId="0" xfId="0" applyNumberFormat="1" applyFont="1" applyAlignment="1" applyProtection="1">
      <alignment horizontal="left" indent="1"/>
    </xf>
    <xf numFmtId="164" fontId="7" fillId="0" borderId="7" xfId="0" applyNumberFormat="1" applyFont="1" applyBorder="1" applyAlignment="1" applyProtection="1">
      <alignment horizontal="center"/>
    </xf>
    <xf numFmtId="164" fontId="8" fillId="0" borderId="8" xfId="0" applyNumberFormat="1" applyFont="1" applyBorder="1" applyAlignment="1" applyProtection="1">
      <alignment horizontal="left" indent="1"/>
    </xf>
    <xf numFmtId="164" fontId="7" fillId="0" borderId="8" xfId="0" applyNumberFormat="1" applyFont="1" applyBorder="1" applyAlignment="1" applyProtection="1">
      <alignment horizontal="center"/>
    </xf>
    <xf numFmtId="195" fontId="8" fillId="0" borderId="0" xfId="0" applyNumberFormat="1" applyFont="1" applyAlignment="1" applyProtection="1">
      <alignment horizontal="center"/>
    </xf>
    <xf numFmtId="164" fontId="7" fillId="0" borderId="0" xfId="0" applyNumberFormat="1" applyFont="1" applyAlignment="1" applyProtection="1">
      <alignment horizontal="left"/>
    </xf>
    <xf numFmtId="10" fontId="6" fillId="0" borderId="0" xfId="2" applyNumberFormat="1" applyFont="1" applyAlignment="1" applyProtection="1">
      <alignment horizontal="center"/>
    </xf>
    <xf numFmtId="164" fontId="8" fillId="0" borderId="8" xfId="0" applyNumberFormat="1" applyFont="1" applyBorder="1" applyProtection="1"/>
    <xf numFmtId="171" fontId="6" fillId="0" borderId="0" xfId="0" applyNumberFormat="1" applyFont="1" applyAlignment="1" applyProtection="1">
      <alignment horizontal="center"/>
    </xf>
    <xf numFmtId="164" fontId="8" fillId="0" borderId="0" xfId="0" applyNumberFormat="1" applyFont="1" applyBorder="1" applyAlignment="1" applyProtection="1">
      <alignment horizontal="center"/>
    </xf>
    <xf numFmtId="164" fontId="6" fillId="0" borderId="0" xfId="0" applyNumberFormat="1" applyFont="1" applyFill="1" applyAlignment="1" applyProtection="1">
      <alignment horizontal="left" indent="2"/>
    </xf>
    <xf numFmtId="164" fontId="18" fillId="0" borderId="8" xfId="0" applyNumberFormat="1" applyFont="1" applyBorder="1" applyAlignment="1" applyProtection="1">
      <alignment horizontal="center"/>
    </xf>
    <xf numFmtId="164" fontId="8" fillId="0" borderId="0" xfId="0" applyNumberFormat="1" applyFont="1" applyBorder="1" applyAlignment="1" applyProtection="1">
      <alignment horizontal="left" indent="1"/>
    </xf>
    <xf numFmtId="164" fontId="8" fillId="0" borderId="0" xfId="0" applyNumberFormat="1" applyFont="1" applyBorder="1" applyProtection="1"/>
    <xf numFmtId="192" fontId="8" fillId="0" borderId="0" xfId="0" applyNumberFormat="1" applyFont="1" applyBorder="1" applyAlignment="1" applyProtection="1">
      <alignment horizontal="center"/>
    </xf>
    <xf numFmtId="164" fontId="18" fillId="0" borderId="0" xfId="0" applyNumberFormat="1" applyFont="1" applyBorder="1" applyAlignment="1" applyProtection="1">
      <alignment horizontal="center"/>
    </xf>
    <xf numFmtId="198" fontId="6" fillId="0" borderId="0" xfId="0" applyNumberFormat="1" applyFont="1" applyAlignment="1" applyProtection="1">
      <alignment horizontal="center"/>
    </xf>
    <xf numFmtId="198" fontId="8" fillId="0" borderId="0" xfId="0" applyNumberFormat="1" applyFont="1" applyAlignment="1" applyProtection="1">
      <alignment horizontal="center"/>
    </xf>
    <xf numFmtId="196" fontId="12" fillId="0" borderId="4" xfId="5" applyNumberFormat="1" applyFont="1" applyFill="1" applyBorder="1" applyAlignment="1" applyProtection="1">
      <alignment horizontal="center" vertical="center"/>
    </xf>
    <xf numFmtId="49" fontId="7" fillId="41" borderId="22" xfId="0" applyNumberFormat="1" applyFont="1" applyFill="1" applyBorder="1" applyAlignment="1" applyProtection="1">
      <alignment horizontal="center"/>
      <protection locked="0"/>
    </xf>
    <xf numFmtId="43" fontId="12" fillId="0" borderId="3" xfId="0" applyNumberFormat="1" applyFont="1" applyBorder="1" applyAlignment="1" applyProtection="1">
      <alignment horizontal="center"/>
    </xf>
    <xf numFmtId="43" fontId="12" fillId="0" borderId="0" xfId="0" applyNumberFormat="1" applyFont="1" applyBorder="1" applyAlignment="1" applyProtection="1">
      <alignment horizontal="center"/>
    </xf>
    <xf numFmtId="0" fontId="10" fillId="38" borderId="2" xfId="0" applyNumberFormat="1" applyFont="1" applyFill="1" applyBorder="1" applyProtection="1"/>
    <xf numFmtId="0" fontId="10" fillId="38" borderId="2" xfId="0" applyFont="1" applyFill="1" applyBorder="1" applyProtection="1"/>
    <xf numFmtId="0" fontId="11" fillId="38" borderId="2" xfId="0" applyNumberFormat="1" applyFont="1" applyFill="1" applyBorder="1" applyAlignment="1" applyProtection="1">
      <alignment horizontal="center"/>
    </xf>
    <xf numFmtId="0" fontId="11" fillId="38" borderId="2" xfId="0" applyNumberFormat="1" applyFont="1" applyFill="1" applyBorder="1" applyProtection="1"/>
    <xf numFmtId="164" fontId="8" fillId="0" borderId="7" xfId="0" applyNumberFormat="1" applyFont="1" applyBorder="1" applyProtection="1"/>
    <xf numFmtId="164" fontId="6" fillId="0" borderId="7" xfId="0" applyNumberFormat="1" applyFont="1" applyBorder="1" applyProtection="1"/>
    <xf numFmtId="164" fontId="8" fillId="0" borderId="4" xfId="0" applyNumberFormat="1" applyFont="1" applyBorder="1" applyAlignment="1" applyProtection="1">
      <alignment horizontal="left"/>
    </xf>
    <xf numFmtId="164" fontId="7" fillId="0" borderId="4" xfId="0" applyNumberFormat="1" applyFont="1" applyBorder="1" applyAlignment="1" applyProtection="1">
      <alignment horizontal="center"/>
    </xf>
    <xf numFmtId="43" fontId="6" fillId="0" borderId="0" xfId="0" applyNumberFormat="1" applyFont="1" applyProtection="1"/>
    <xf numFmtId="164" fontId="6" fillId="0" borderId="0" xfId="0" applyNumberFormat="1" applyFont="1" applyBorder="1" applyProtection="1"/>
    <xf numFmtId="10" fontId="6" fillId="0" borderId="0" xfId="2" applyNumberFormat="1" applyFont="1" applyBorder="1" applyAlignment="1" applyProtection="1">
      <alignment horizontal="center"/>
    </xf>
    <xf numFmtId="164" fontId="7" fillId="0" borderId="0" xfId="6" applyNumberFormat="1" applyFont="1" applyAlignment="1" applyProtection="1">
      <alignment horizontal="center"/>
    </xf>
    <xf numFmtId="168" fontId="15" fillId="0" borderId="0" xfId="2" applyNumberFormat="1" applyFont="1" applyFill="1" applyBorder="1" applyAlignment="1" applyProtection="1">
      <alignment horizontal="center" vertical="center"/>
    </xf>
    <xf numFmtId="171" fontId="6" fillId="0" borderId="0" xfId="0" applyNumberFormat="1" applyFont="1" applyProtection="1"/>
    <xf numFmtId="164" fontId="6" fillId="0" borderId="0" xfId="0" applyNumberFormat="1" applyFont="1" applyAlignment="1" applyProtection="1">
      <alignment horizontal="left"/>
    </xf>
    <xf numFmtId="191" fontId="6" fillId="8" borderId="3" xfId="0" applyNumberFormat="1" applyFont="1" applyFill="1" applyBorder="1" applyAlignment="1" applyProtection="1">
      <alignment horizontal="left" indent="1"/>
    </xf>
    <xf numFmtId="0" fontId="75" fillId="39" borderId="4" xfId="0" applyFont="1" applyFill="1" applyBorder="1" applyAlignment="1" applyProtection="1"/>
    <xf numFmtId="193" fontId="7" fillId="41" borderId="3" xfId="2" applyNumberFormat="1" applyFont="1" applyFill="1" applyBorder="1" applyAlignment="1" applyProtection="1">
      <alignment horizontal="center"/>
      <protection locked="0"/>
    </xf>
    <xf numFmtId="197" fontId="8" fillId="0" borderId="0" xfId="0" applyNumberFormat="1" applyFont="1" applyBorder="1" applyAlignment="1" applyProtection="1">
      <alignment horizontal="center"/>
    </xf>
    <xf numFmtId="164" fontId="6" fillId="0" borderId="0" xfId="0" applyNumberFormat="1" applyFont="1" applyProtection="1">
      <protection locked="0"/>
    </xf>
    <xf numFmtId="200" fontId="8" fillId="0" borderId="0" xfId="0" applyNumberFormat="1" applyFont="1" applyAlignment="1" applyProtection="1">
      <alignment horizontal="center"/>
    </xf>
    <xf numFmtId="201" fontId="6" fillId="41" borderId="3" xfId="0" applyNumberFormat="1" applyFont="1" applyFill="1" applyBorder="1" applyAlignment="1" applyProtection="1">
      <alignment horizontal="center"/>
      <protection locked="0"/>
    </xf>
    <xf numFmtId="1" fontId="6" fillId="41" borderId="3" xfId="0" applyNumberFormat="1" applyFont="1" applyFill="1" applyBorder="1" applyAlignment="1" applyProtection="1">
      <alignment horizontal="center"/>
      <protection locked="0"/>
    </xf>
    <xf numFmtId="202" fontId="74" fillId="39" borderId="4" xfId="0" applyNumberFormat="1" applyFont="1" applyFill="1" applyBorder="1" applyAlignment="1" applyProtection="1">
      <alignment horizontal="center" wrapText="1"/>
    </xf>
    <xf numFmtId="202" fontId="91" fillId="38" borderId="2" xfId="0" applyNumberFormat="1" applyFont="1" applyFill="1" applyBorder="1" applyAlignment="1" applyProtection="1">
      <alignment horizontal="center"/>
    </xf>
    <xf numFmtId="202" fontId="74" fillId="38" borderId="2" xfId="0" applyNumberFormat="1" applyFont="1" applyFill="1" applyBorder="1" applyAlignment="1" applyProtection="1">
      <alignment horizontal="left"/>
    </xf>
    <xf numFmtId="202" fontId="8" fillId="0" borderId="7" xfId="0" applyNumberFormat="1" applyFont="1" applyBorder="1" applyAlignment="1" applyProtection="1">
      <alignment horizontal="center"/>
    </xf>
    <xf numFmtId="202" fontId="6" fillId="0" borderId="0" xfId="0" applyNumberFormat="1" applyFont="1" applyAlignment="1">
      <alignment horizontal="left" indent="1"/>
    </xf>
    <xf numFmtId="202" fontId="7" fillId="0" borderId="0" xfId="0" applyNumberFormat="1" applyFont="1" applyAlignment="1" applyProtection="1">
      <alignment horizontal="center"/>
    </xf>
    <xf numFmtId="202" fontId="7" fillId="41" borderId="22" xfId="0" applyNumberFormat="1" applyFont="1" applyFill="1" applyBorder="1" applyAlignment="1" applyProtection="1">
      <alignment horizontal="center"/>
      <protection locked="0"/>
    </xf>
    <xf numFmtId="202" fontId="8" fillId="0" borderId="0" xfId="0" applyNumberFormat="1" applyFont="1" applyBorder="1" applyAlignment="1" applyProtection="1">
      <alignment horizontal="center"/>
    </xf>
    <xf numFmtId="2" fontId="6" fillId="0" borderId="0" xfId="0" applyNumberFormat="1" applyFont="1" applyFill="1" applyBorder="1" applyAlignment="1" applyProtection="1">
      <alignment horizontal="center"/>
      <protection locked="0"/>
    </xf>
    <xf numFmtId="164" fontId="6" fillId="0" borderId="0" xfId="0" applyNumberFormat="1" applyFont="1" applyFill="1" applyBorder="1" applyProtection="1"/>
    <xf numFmtId="202" fontId="6" fillId="0" borderId="0" xfId="0" applyNumberFormat="1" applyFont="1" applyAlignment="1" applyProtection="1">
      <alignment horizontal="left" indent="1"/>
    </xf>
    <xf numFmtId="164" fontId="14" fillId="0" borderId="0" xfId="3" applyNumberFormat="1" applyAlignment="1" applyProtection="1">
      <alignment horizontal="center"/>
    </xf>
    <xf numFmtId="164" fontId="7" fillId="0" borderId="0" xfId="0" applyNumberFormat="1" applyFont="1" applyFill="1" applyBorder="1" applyAlignment="1" applyProtection="1">
      <alignment horizontal="center"/>
    </xf>
    <xf numFmtId="10" fontId="6" fillId="0" borderId="0" xfId="2" applyNumberFormat="1" applyFont="1" applyFill="1" applyBorder="1" applyAlignment="1" applyProtection="1">
      <alignment horizontal="center"/>
      <protection locked="0"/>
    </xf>
    <xf numFmtId="193" fontId="6" fillId="0" borderId="0" xfId="2" applyNumberFormat="1" applyFont="1" applyFill="1" applyBorder="1" applyAlignment="1" applyProtection="1">
      <alignment horizontal="center"/>
      <protection locked="0"/>
    </xf>
    <xf numFmtId="202" fontId="6" fillId="41" borderId="3" xfId="2" applyNumberFormat="1" applyFont="1" applyFill="1" applyBorder="1" applyAlignment="1" applyProtection="1">
      <alignment horizontal="center"/>
      <protection locked="0"/>
    </xf>
    <xf numFmtId="0" fontId="74" fillId="38" borderId="26" xfId="0" applyNumberFormat="1" applyFont="1" applyFill="1" applyBorder="1" applyAlignment="1" applyProtection="1"/>
    <xf numFmtId="164" fontId="6" fillId="0" borderId="0" xfId="0" applyNumberFormat="1" applyFont="1" applyBorder="1" applyAlignment="1" applyProtection="1">
      <alignment horizontal="center"/>
    </xf>
    <xf numFmtId="202" fontId="18" fillId="0" borderId="0" xfId="0" applyNumberFormat="1" applyFont="1" applyAlignment="1" applyProtection="1">
      <alignment horizontal="center"/>
    </xf>
    <xf numFmtId="198" fontId="6" fillId="0" borderId="0" xfId="0" applyNumberFormat="1" applyFont="1" applyBorder="1" applyAlignment="1" applyProtection="1">
      <alignment horizontal="center"/>
    </xf>
    <xf numFmtId="198" fontId="8" fillId="0" borderId="0" xfId="0" applyNumberFormat="1" applyFont="1" applyBorder="1" applyAlignment="1" applyProtection="1">
      <alignment horizontal="center"/>
    </xf>
    <xf numFmtId="195" fontId="8" fillId="0" borderId="0" xfId="0" applyNumberFormat="1" applyFont="1" applyBorder="1" applyAlignment="1" applyProtection="1">
      <alignment horizontal="center"/>
    </xf>
    <xf numFmtId="164" fontId="8" fillId="0" borderId="7" xfId="0" applyNumberFormat="1" applyFont="1" applyBorder="1" applyAlignment="1" applyProtection="1">
      <alignment horizontal="left" indent="1"/>
    </xf>
    <xf numFmtId="202" fontId="7" fillId="0" borderId="7" xfId="0" applyNumberFormat="1" applyFont="1" applyBorder="1" applyAlignment="1" applyProtection="1">
      <alignment horizontal="center"/>
    </xf>
    <xf numFmtId="203" fontId="6" fillId="0" borderId="0" xfId="2" applyNumberFormat="1" applyFont="1" applyFill="1" applyBorder="1" applyAlignment="1" applyProtection="1">
      <alignment horizontal="center"/>
    </xf>
    <xf numFmtId="0" fontId="14" fillId="38" borderId="0" xfId="3" applyFill="1" applyBorder="1" applyAlignment="1">
      <alignment horizontal="right"/>
    </xf>
    <xf numFmtId="0" fontId="74" fillId="38" borderId="2" xfId="0" applyNumberFormat="1" applyFont="1" applyFill="1" applyBorder="1" applyAlignment="1" applyProtection="1">
      <alignment horizontal="center"/>
    </xf>
    <xf numFmtId="0" fontId="6" fillId="0" borderId="3" xfId="0" applyNumberFormat="1" applyFont="1" applyFill="1" applyBorder="1" applyAlignment="1" applyProtection="1">
      <alignment horizontal="center"/>
      <protection locked="0"/>
    </xf>
    <xf numFmtId="1" fontId="6" fillId="0" borderId="3" xfId="0" applyNumberFormat="1" applyFont="1" applyFill="1" applyBorder="1" applyAlignment="1" applyProtection="1">
      <alignment horizontal="center"/>
      <protection locked="0"/>
    </xf>
    <xf numFmtId="202" fontId="6" fillId="0" borderId="3" xfId="0" applyNumberFormat="1" applyFont="1" applyFill="1" applyBorder="1" applyAlignment="1" applyProtection="1">
      <alignment horizontal="center"/>
      <protection locked="0"/>
    </xf>
    <xf numFmtId="2" fontId="12" fillId="0" borderId="4" xfId="5" applyNumberFormat="1" applyFont="1" applyFill="1" applyBorder="1" applyAlignment="1" applyProtection="1">
      <alignment horizontal="center" vertical="center"/>
    </xf>
    <xf numFmtId="0" fontId="14" fillId="38" borderId="0" xfId="3" applyFill="1" applyBorder="1" applyAlignment="1" applyProtection="1">
      <alignment horizontal="right"/>
    </xf>
    <xf numFmtId="192" fontId="6" fillId="0" borderId="0" xfId="0" applyNumberFormat="1" applyFont="1" applyProtection="1">
      <protection locked="0"/>
    </xf>
    <xf numFmtId="192" fontId="8" fillId="0" borderId="0" xfId="0" applyNumberFormat="1" applyFont="1" applyProtection="1">
      <protection locked="0"/>
    </xf>
    <xf numFmtId="49" fontId="7" fillId="0" borderId="22" xfId="0" applyNumberFormat="1" applyFont="1" applyFill="1" applyBorder="1" applyAlignment="1" applyProtection="1">
      <alignment horizontal="center"/>
    </xf>
    <xf numFmtId="202" fontId="7" fillId="0" borderId="22" xfId="0" applyNumberFormat="1" applyFont="1" applyFill="1" applyBorder="1" applyAlignment="1" applyProtection="1">
      <alignment horizontal="center"/>
    </xf>
    <xf numFmtId="10" fontId="6" fillId="0" borderId="0" xfId="2" applyNumberFormat="1" applyFont="1" applyFill="1" applyBorder="1" applyAlignment="1" applyProtection="1">
      <alignment horizontal="center"/>
    </xf>
    <xf numFmtId="179" fontId="6" fillId="0" borderId="0" xfId="2" applyNumberFormat="1" applyFont="1" applyAlignment="1" applyProtection="1">
      <alignment horizontal="center"/>
      <protection locked="0"/>
    </xf>
    <xf numFmtId="170" fontId="12" fillId="0" borderId="0" xfId="5" applyNumberFormat="1" applyFont="1" applyFill="1" applyBorder="1" applyAlignment="1" applyProtection="1">
      <alignment horizontal="center" vertical="center"/>
      <protection locked="0"/>
    </xf>
    <xf numFmtId="164" fontId="15" fillId="0" borderId="0" xfId="5" applyNumberFormat="1" applyFont="1" applyFill="1" applyBorder="1" applyAlignment="1" applyProtection="1">
      <alignment horizontal="center" vertical="center"/>
      <protection locked="0"/>
    </xf>
    <xf numFmtId="164" fontId="6" fillId="0" borderId="0" xfId="0" applyNumberFormat="1" applyFont="1" applyAlignment="1" applyProtection="1">
      <alignment horizontal="center"/>
      <protection locked="0"/>
    </xf>
    <xf numFmtId="164" fontId="6" fillId="0" borderId="0" xfId="0" applyNumberFormat="1" applyFont="1" applyFill="1" applyProtection="1"/>
    <xf numFmtId="49" fontId="6" fillId="0" borderId="3" xfId="0" applyNumberFormat="1" applyFont="1" applyFill="1" applyBorder="1" applyAlignment="1" applyProtection="1">
      <alignment horizontal="left" indent="1"/>
      <protection locked="0"/>
    </xf>
    <xf numFmtId="202" fontId="6" fillId="0" borderId="0" xfId="2" applyNumberFormat="1" applyFont="1" applyFill="1" applyBorder="1" applyAlignment="1" applyProtection="1">
      <alignment horizontal="center"/>
      <protection locked="0"/>
    </xf>
    <xf numFmtId="164" fontId="18" fillId="0" borderId="0" xfId="0" applyNumberFormat="1" applyFont="1" applyFill="1" applyAlignment="1" applyProtection="1">
      <alignment horizontal="center"/>
    </xf>
    <xf numFmtId="164" fontId="6" fillId="0" borderId="0" xfId="0" applyNumberFormat="1" applyFont="1" applyFill="1" applyBorder="1" applyAlignment="1" applyProtection="1">
      <alignment horizontal="center"/>
      <protection locked="0"/>
    </xf>
    <xf numFmtId="179" fontId="6" fillId="0" borderId="0" xfId="2" applyNumberFormat="1" applyFont="1" applyFill="1" applyBorder="1" applyAlignment="1" applyProtection="1">
      <alignment horizontal="center"/>
      <protection locked="0"/>
    </xf>
    <xf numFmtId="202" fontId="7" fillId="0" borderId="22" xfId="0" applyNumberFormat="1" applyFont="1" applyFill="1" applyBorder="1" applyAlignment="1" applyProtection="1">
      <alignment horizontal="center"/>
      <protection locked="0"/>
    </xf>
    <xf numFmtId="164" fontId="7" fillId="0" borderId="0" xfId="0" applyNumberFormat="1" applyFont="1" applyAlignment="1" applyProtection="1">
      <alignment horizontal="center"/>
      <protection locked="0"/>
    </xf>
    <xf numFmtId="164" fontId="7" fillId="0" borderId="0" xfId="0" applyNumberFormat="1" applyFont="1" applyFill="1" applyBorder="1" applyAlignment="1" applyProtection="1">
      <alignment horizontal="center"/>
      <protection locked="0"/>
    </xf>
    <xf numFmtId="202" fontId="19" fillId="8" borderId="9" xfId="0" applyNumberFormat="1" applyFont="1" applyFill="1" applyBorder="1" applyAlignment="1" applyProtection="1">
      <alignment horizontal="center"/>
      <protection locked="0"/>
    </xf>
    <xf numFmtId="204" fontId="6" fillId="0" borderId="0" xfId="0" applyNumberFormat="1" applyFont="1" applyProtection="1">
      <protection locked="0"/>
    </xf>
    <xf numFmtId="10" fontId="15" fillId="0" borderId="0" xfId="2" applyNumberFormat="1" applyFont="1" applyFill="1" applyBorder="1" applyAlignment="1" applyProtection="1">
      <alignment horizontal="center" vertical="center"/>
    </xf>
    <xf numFmtId="10" fontId="6" fillId="0" borderId="0" xfId="2" applyNumberFormat="1" applyFont="1" applyProtection="1">
      <protection locked="0"/>
    </xf>
    <xf numFmtId="202" fontId="15" fillId="8" borderId="9" xfId="0" applyNumberFormat="1" applyFont="1" applyFill="1" applyBorder="1" applyAlignment="1" applyProtection="1">
      <alignment horizontal="center"/>
      <protection locked="0"/>
    </xf>
    <xf numFmtId="2" fontId="6" fillId="41" borderId="3" xfId="0" applyNumberFormat="1" applyFont="1" applyFill="1" applyBorder="1" applyAlignment="1" applyProtection="1">
      <alignment horizontal="center"/>
      <protection locked="0"/>
    </xf>
    <xf numFmtId="1" fontId="6" fillId="41" borderId="3" xfId="2" applyNumberFormat="1" applyFont="1" applyFill="1" applyBorder="1" applyAlignment="1" applyProtection="1">
      <alignment horizontal="center"/>
      <protection locked="0"/>
    </xf>
    <xf numFmtId="0" fontId="6" fillId="41" borderId="3" xfId="0" applyNumberFormat="1" applyFont="1" applyFill="1" applyBorder="1" applyAlignment="1" applyProtection="1">
      <alignment horizontal="left" indent="1"/>
      <protection locked="0"/>
    </xf>
    <xf numFmtId="192" fontId="6" fillId="0" borderId="0" xfId="0" applyNumberFormat="1" applyFont="1" applyFill="1" applyProtection="1">
      <protection locked="0"/>
    </xf>
    <xf numFmtId="43" fontId="0" fillId="39" borderId="4" xfId="6" applyFont="1" applyFill="1" applyBorder="1" applyAlignment="1" applyProtection="1">
      <alignment wrapText="1"/>
    </xf>
    <xf numFmtId="207" fontId="6" fillId="0" borderId="0" xfId="0" applyNumberFormat="1" applyFont="1" applyAlignment="1" applyProtection="1">
      <alignment horizontal="center"/>
    </xf>
    <xf numFmtId="191" fontId="8" fillId="8" borderId="29" xfId="0" applyNumberFormat="1" applyFont="1" applyFill="1" applyBorder="1" applyAlignment="1" applyProtection="1">
      <alignment horizontal="center"/>
      <protection locked="0"/>
    </xf>
    <xf numFmtId="10" fontId="6" fillId="0" borderId="0" xfId="2" applyNumberFormat="1" applyFont="1" applyProtection="1"/>
    <xf numFmtId="2" fontId="6" fillId="54" borderId="0" xfId="0" applyNumberFormat="1" applyFont="1" applyFill="1" applyBorder="1" applyAlignment="1" applyProtection="1">
      <alignment horizontal="center"/>
      <protection locked="0"/>
    </xf>
    <xf numFmtId="10" fontId="6" fillId="0" borderId="0" xfId="2" applyNumberFormat="1" applyFont="1" applyAlignment="1" applyProtection="1">
      <alignment horizontal="center"/>
      <protection locked="0"/>
    </xf>
    <xf numFmtId="208" fontId="6" fillId="0" borderId="0" xfId="0" applyNumberFormat="1" applyFont="1" applyProtection="1"/>
    <xf numFmtId="10" fontId="6" fillId="55" borderId="3" xfId="2" applyNumberFormat="1" applyFont="1" applyFill="1" applyBorder="1" applyAlignment="1" applyProtection="1">
      <alignment horizontal="center"/>
      <protection locked="0"/>
    </xf>
    <xf numFmtId="10" fontId="6" fillId="55" borderId="0" xfId="2" applyNumberFormat="1" applyFont="1" applyFill="1" applyAlignment="1" applyProtection="1">
      <alignment horizontal="center"/>
      <protection locked="0"/>
    </xf>
    <xf numFmtId="164" fontId="6" fillId="55" borderId="0" xfId="0" applyNumberFormat="1" applyFont="1" applyFill="1" applyProtection="1"/>
    <xf numFmtId="193" fontId="6" fillId="55" borderId="0" xfId="2" applyNumberFormat="1" applyFont="1" applyFill="1" applyBorder="1" applyAlignment="1" applyProtection="1">
      <alignment horizontal="center"/>
      <protection locked="0"/>
    </xf>
    <xf numFmtId="190" fontId="6" fillId="55" borderId="3" xfId="0" applyNumberFormat="1" applyFont="1" applyFill="1" applyBorder="1" applyAlignment="1" applyProtection="1">
      <alignment horizontal="center"/>
      <protection locked="0"/>
    </xf>
    <xf numFmtId="192" fontId="6" fillId="55" borderId="0" xfId="0" applyNumberFormat="1" applyFont="1" applyFill="1" applyProtection="1">
      <protection locked="0"/>
    </xf>
    <xf numFmtId="0" fontId="74" fillId="38" borderId="2" xfId="0" applyNumberFormat="1" applyFont="1" applyFill="1" applyBorder="1" applyAlignment="1" applyProtection="1">
      <alignment horizontal="center"/>
    </xf>
    <xf numFmtId="0" fontId="74" fillId="55" borderId="26" xfId="0" applyNumberFormat="1" applyFont="1" applyFill="1" applyBorder="1" applyAlignment="1" applyProtection="1">
      <alignment horizontal="center"/>
    </xf>
  </cellXfs>
  <cellStyles count="283">
    <cellStyle name=" 1" xfId="10"/>
    <cellStyle name=" 1 2" xfId="11"/>
    <cellStyle name=" 1_29(d) - Gas extensions -tariffs" xfId="12"/>
    <cellStyle name="_Capex" xfId="13"/>
    <cellStyle name="_Capex 2" xfId="14"/>
    <cellStyle name="_Capex_29(d) - Gas extensions -tariffs" xfId="15"/>
    <cellStyle name="_UED AMP 2009-14 Final 250309 Less PU" xfId="16"/>
    <cellStyle name="_UED AMP 2009-14 Final 250309 Less PU_1011 monthly" xfId="17"/>
    <cellStyle name="20% - Accent1 2" xfId="18"/>
    <cellStyle name="20% - Accent2 2" xfId="19"/>
    <cellStyle name="20% - Accent3 2" xfId="20"/>
    <cellStyle name="20% - Accent4 2" xfId="21"/>
    <cellStyle name="20% - Accent5 2" xfId="22"/>
    <cellStyle name="20% - Accent6 2" xfId="23"/>
    <cellStyle name="40% - Accent1 2" xfId="24"/>
    <cellStyle name="40% - Accent2 2" xfId="25"/>
    <cellStyle name="40% - Accent3 2" xfId="26"/>
    <cellStyle name="40% - Accent4 2" xfId="27"/>
    <cellStyle name="40% - Accent5 2" xfId="28"/>
    <cellStyle name="40% - Accent6 2" xfId="29"/>
    <cellStyle name="60% - Accent1 2" xfId="30"/>
    <cellStyle name="60% - Accent2 2" xfId="31"/>
    <cellStyle name="60% - Accent3 2" xfId="32"/>
    <cellStyle name="60% - Accent4 2" xfId="33"/>
    <cellStyle name="60% - Accent5 2" xfId="34"/>
    <cellStyle name="60% - Accent6 2" xfId="35"/>
    <cellStyle name="Accent1 - 20%" xfId="36"/>
    <cellStyle name="Accent1 - 40%" xfId="37"/>
    <cellStyle name="Accent1 - 60%" xfId="38"/>
    <cellStyle name="Accent1 2" xfId="39"/>
    <cellStyle name="Accent2 - 20%" xfId="40"/>
    <cellStyle name="Accent2 - 40%" xfId="41"/>
    <cellStyle name="Accent2 - 60%" xfId="42"/>
    <cellStyle name="Accent2 2" xfId="43"/>
    <cellStyle name="Accent3 - 20%" xfId="44"/>
    <cellStyle name="Accent3 - 40%" xfId="45"/>
    <cellStyle name="Accent3 - 60%" xfId="46"/>
    <cellStyle name="Accent3 2" xfId="47"/>
    <cellStyle name="Accent4 - 20%" xfId="48"/>
    <cellStyle name="Accent4 - 40%" xfId="49"/>
    <cellStyle name="Accent4 - 60%" xfId="50"/>
    <cellStyle name="Accent4 2" xfId="51"/>
    <cellStyle name="Accent5 - 20%" xfId="52"/>
    <cellStyle name="Accent5 - 40%" xfId="53"/>
    <cellStyle name="Accent5 - 60%" xfId="54"/>
    <cellStyle name="Accent5 2" xfId="55"/>
    <cellStyle name="Accent6 - 20%" xfId="56"/>
    <cellStyle name="Accent6 - 40%" xfId="57"/>
    <cellStyle name="Accent6 - 60%" xfId="58"/>
    <cellStyle name="Accent6 2" xfId="59"/>
    <cellStyle name="Agara" xfId="60"/>
    <cellStyle name="Assumptions Right Number" xfId="5"/>
    <cellStyle name="B79812_.wvu.PrintTitlest" xfId="61"/>
    <cellStyle name="Bad 2" xfId="62"/>
    <cellStyle name="Black" xfId="63"/>
    <cellStyle name="Blockout" xfId="64"/>
    <cellStyle name="Blockout 2" xfId="65"/>
    <cellStyle name="Blue" xfId="66"/>
    <cellStyle name="Calcs_Divider" xfId="244"/>
    <cellStyle name="Calculation 2" xfId="67"/>
    <cellStyle name="Check" xfId="245"/>
    <cellStyle name="Check Cell 2" xfId="68"/>
    <cellStyle name="Check RedRedGreen" xfId="268"/>
    <cellStyle name="Column_Heading_1" xfId="246"/>
    <cellStyle name="Comma" xfId="6" builtinId="3"/>
    <cellStyle name="Comma [0]7Z_87C" xfId="69"/>
    <cellStyle name="Comma 0" xfId="70"/>
    <cellStyle name="Comma 1" xfId="71"/>
    <cellStyle name="Comma 1 2" xfId="72"/>
    <cellStyle name="Comma 2" xfId="8"/>
    <cellStyle name="Comma 2 2" xfId="73"/>
    <cellStyle name="Comma 2 3" xfId="74"/>
    <cellStyle name="Comma 2 3 2" xfId="75"/>
    <cellStyle name="Comma 2 4" xfId="76"/>
    <cellStyle name="Comma 2 5" xfId="77"/>
    <cellStyle name="Comma 3" xfId="78"/>
    <cellStyle name="Comma 3 2" xfId="79"/>
    <cellStyle name="Comma 3 3" xfId="80"/>
    <cellStyle name="Comma 4" xfId="81"/>
    <cellStyle name="Comma 5" xfId="82"/>
    <cellStyle name="Comma 6" xfId="83"/>
    <cellStyle name="Comma 7" xfId="84"/>
    <cellStyle name="Comma 8" xfId="85"/>
    <cellStyle name="Comma 9" xfId="267"/>
    <cellStyle name="Comma0" xfId="86"/>
    <cellStyle name="Currency 11" xfId="87"/>
    <cellStyle name="Currency 11 2" xfId="88"/>
    <cellStyle name="Currency 2" xfId="89"/>
    <cellStyle name="Currency 2 2" xfId="90"/>
    <cellStyle name="Currency 3" xfId="91"/>
    <cellStyle name="Currency 3 2" xfId="92"/>
    <cellStyle name="Currency 4" xfId="93"/>
    <cellStyle name="Currency 4 2" xfId="94"/>
    <cellStyle name="Currency 5" xfId="243"/>
    <cellStyle name="D4_B8B1_005004B79812_.wvu.PrintTitlest" xfId="95"/>
    <cellStyle name="Date" xfId="96"/>
    <cellStyle name="Date 2" xfId="97"/>
    <cellStyle name="dms_NUM" xfId="281"/>
    <cellStyle name="Emphasis 1" xfId="98"/>
    <cellStyle name="Emphasis 2" xfId="99"/>
    <cellStyle name="Emphasis 3" xfId="100"/>
    <cellStyle name="Empty_Cell" xfId="247"/>
    <cellStyle name="Euro" xfId="101"/>
    <cellStyle name="Explanatory Text 2" xfId="102"/>
    <cellStyle name="External Link" xfId="277"/>
    <cellStyle name="Fixed" xfId="103"/>
    <cellStyle name="Fixed 2" xfId="104"/>
    <cellStyle name="Gilsans" xfId="105"/>
    <cellStyle name="Gilsansl" xfId="106"/>
    <cellStyle name="Good 2" xfId="107"/>
    <cellStyle name="Header1" xfId="248"/>
    <cellStyle name="Header2" xfId="249"/>
    <cellStyle name="Header3" xfId="250"/>
    <cellStyle name="Header4" xfId="251"/>
    <cellStyle name="Header5" xfId="252"/>
    <cellStyle name="Heading 1 2" xfId="108"/>
    <cellStyle name="Heading 1 2 2" xfId="109"/>
    <cellStyle name="Heading 1 3" xfId="110"/>
    <cellStyle name="Heading 1 4" xfId="271"/>
    <cellStyle name="Heading 2 2" xfId="111"/>
    <cellStyle name="Heading 2 2 2" xfId="112"/>
    <cellStyle name="Heading 2 3" xfId="113"/>
    <cellStyle name="Heading 2 Input" xfId="274"/>
    <cellStyle name="Heading 3 2" xfId="114"/>
    <cellStyle name="Heading 3 2 2" xfId="115"/>
    <cellStyle name="Heading 3 3" xfId="116"/>
    <cellStyle name="Heading 3 Output" xfId="273"/>
    <cellStyle name="Heading 4 2" xfId="117"/>
    <cellStyle name="Heading 4 2 2" xfId="118"/>
    <cellStyle name="Heading 4 3" xfId="119"/>
    <cellStyle name="Heading 4 Output" xfId="272"/>
    <cellStyle name="Heading(4)" xfId="120"/>
    <cellStyle name="Hyperlink" xfId="3" builtinId="8"/>
    <cellStyle name="Hyperlink 2" xfId="121"/>
    <cellStyle name="Hyperlink 3" xfId="280"/>
    <cellStyle name="Hyperlink Arrow" xfId="122"/>
    <cellStyle name="Hyperlink Text" xfId="123"/>
    <cellStyle name="Input 2" xfId="124"/>
    <cellStyle name="Input|Date" xfId="1"/>
    <cellStyle name="Input1" xfId="125"/>
    <cellStyle name="Input1 2" xfId="126"/>
    <cellStyle name="Input2" xfId="127"/>
    <cellStyle name="Input2 2" xfId="128"/>
    <cellStyle name="Input3" xfId="129"/>
    <cellStyle name="Input3 2" xfId="130"/>
    <cellStyle name="Inputs_Divider" xfId="253"/>
    <cellStyle name="InSheet" xfId="254"/>
    <cellStyle name="Lines" xfId="131"/>
    <cellStyle name="Linked Cell 2" xfId="132"/>
    <cellStyle name="Mine" xfId="133"/>
    <cellStyle name="Model Name" xfId="134"/>
    <cellStyle name="Neutral 2" xfId="135"/>
    <cellStyle name="Normal" xfId="0" builtinId="0"/>
    <cellStyle name="Normal - Style1" xfId="136"/>
    <cellStyle name="Normal 10" xfId="241"/>
    <cellStyle name="Normal 11" xfId="270"/>
    <cellStyle name="Normal 12" xfId="264"/>
    <cellStyle name="Normal 12 2" xfId="266"/>
    <cellStyle name="Normal 13" xfId="137"/>
    <cellStyle name="Normal 13 2" xfId="7"/>
    <cellStyle name="Normal 13_29(d) - Gas extensions -tariffs" xfId="138"/>
    <cellStyle name="Normal 14" xfId="278"/>
    <cellStyle name="Normal 15" xfId="139"/>
    <cellStyle name="Normal 16" xfId="140"/>
    <cellStyle name="Normal 2" xfId="141"/>
    <cellStyle name="Normal 2 2" xfId="142"/>
    <cellStyle name="Normal 2 2 2" xfId="143"/>
    <cellStyle name="Normal 2 3" xfId="144"/>
    <cellStyle name="Normal 2 3 2" xfId="145"/>
    <cellStyle name="Normal 2 3_29(d) - Gas extensions -tariffs" xfId="146"/>
    <cellStyle name="Normal 2 4" xfId="147"/>
    <cellStyle name="Normal 2 5" xfId="148"/>
    <cellStyle name="Normal 2_29(d) - Gas extensions -tariffs" xfId="149"/>
    <cellStyle name="Normal 3" xfId="150"/>
    <cellStyle name="Normal 3 2" xfId="151"/>
    <cellStyle name="Normal 3_29(d) - Gas extensions -tariffs" xfId="152"/>
    <cellStyle name="Normal 38" xfId="153"/>
    <cellStyle name="Normal 38 2" xfId="154"/>
    <cellStyle name="Normal 38_29(d) - Gas extensions -tariffs" xfId="155"/>
    <cellStyle name="Normal 4" xfId="156"/>
    <cellStyle name="Normal 4 2" xfId="157"/>
    <cellStyle name="Normal 4 3" xfId="158"/>
    <cellStyle name="Normal 4_29(d) - Gas extensions -tariffs" xfId="159"/>
    <cellStyle name="Normal 40" xfId="160"/>
    <cellStyle name="Normal 40 2" xfId="161"/>
    <cellStyle name="Normal 40_29(d) - Gas extensions -tariffs" xfId="162"/>
    <cellStyle name="Normal 5" xfId="163"/>
    <cellStyle name="Normal 5 2" xfId="164"/>
    <cellStyle name="Normal 6" xfId="165"/>
    <cellStyle name="Normal 6 2" xfId="166"/>
    <cellStyle name="Normal 7" xfId="9"/>
    <cellStyle name="Normal 7 2" xfId="167"/>
    <cellStyle name="Normal 8" xfId="168"/>
    <cellStyle name="Normal 9" xfId="169"/>
    <cellStyle name="Note 2" xfId="170"/>
    <cellStyle name="Number" xfId="276"/>
    <cellStyle name="Number Assumptions" xfId="265"/>
    <cellStyle name="OffSheet" xfId="255"/>
    <cellStyle name="Output 2" xfId="171"/>
    <cellStyle name="Percent" xfId="2" builtinId="5"/>
    <cellStyle name="Percent [2]" xfId="172"/>
    <cellStyle name="Percent [2] 2" xfId="173"/>
    <cellStyle name="Percent [2]_29(d) - Gas extensions -tariffs" xfId="174"/>
    <cellStyle name="Percent 2" xfId="4"/>
    <cellStyle name="Percent 2 2" xfId="175"/>
    <cellStyle name="Percent 3" xfId="176"/>
    <cellStyle name="Percent 3 2" xfId="177"/>
    <cellStyle name="Percent 4" xfId="178"/>
    <cellStyle name="Percent 5" xfId="242"/>
    <cellStyle name="Percent 6" xfId="275"/>
    <cellStyle name="Percent 7" xfId="179"/>
    <cellStyle name="Percent 8" xfId="282"/>
    <cellStyle name="Percentage" xfId="180"/>
    <cellStyle name="Period Title" xfId="181"/>
    <cellStyle name="PSChar" xfId="182"/>
    <cellStyle name="PSDate" xfId="183"/>
    <cellStyle name="PSDec" xfId="184"/>
    <cellStyle name="PSDetail" xfId="185"/>
    <cellStyle name="PSHeading" xfId="186"/>
    <cellStyle name="PSInt" xfId="187"/>
    <cellStyle name="PSSpacer" xfId="188"/>
    <cellStyle name="Ratio" xfId="189"/>
    <cellStyle name="Ratio 2" xfId="190"/>
    <cellStyle name="Ratio_29(d) - Gas extensions -tariffs" xfId="191"/>
    <cellStyle name="Right Date" xfId="192"/>
    <cellStyle name="Right Number" xfId="193"/>
    <cellStyle name="Right Year" xfId="194"/>
    <cellStyle name="RIN_TB2" xfId="279"/>
    <cellStyle name="SAPError" xfId="195"/>
    <cellStyle name="SAPError 2" xfId="196"/>
    <cellStyle name="SAPKey" xfId="197"/>
    <cellStyle name="SAPKey 2" xfId="198"/>
    <cellStyle name="SAPLocked" xfId="199"/>
    <cellStyle name="SAPLocked 2" xfId="200"/>
    <cellStyle name="SAPOutput" xfId="201"/>
    <cellStyle name="SAPOutput 2" xfId="202"/>
    <cellStyle name="SAPSpace" xfId="203"/>
    <cellStyle name="SAPSpace 2" xfId="204"/>
    <cellStyle name="SAPText" xfId="205"/>
    <cellStyle name="SAPText 2" xfId="206"/>
    <cellStyle name="SAPUnLocked" xfId="207"/>
    <cellStyle name="SAPUnLocked 2" xfId="208"/>
    <cellStyle name="Sheet Title" xfId="209"/>
    <cellStyle name="Sheet Title Input" xfId="269"/>
    <cellStyle name="SheetHeader1" xfId="256"/>
    <cellStyle name="SheetHeader2" xfId="257"/>
    <cellStyle name="SheetHeader3" xfId="258"/>
    <cellStyle name="Style 1" xfId="210"/>
    <cellStyle name="Style 1 2" xfId="211"/>
    <cellStyle name="Style 1_29(d) - Gas extensions -tariffs" xfId="212"/>
    <cellStyle name="Style2" xfId="213"/>
    <cellStyle name="Style3" xfId="214"/>
    <cellStyle name="Style4" xfId="215"/>
    <cellStyle name="Style4 2" xfId="216"/>
    <cellStyle name="Style4_29(d) - Gas extensions -tariffs" xfId="217"/>
    <cellStyle name="Style5" xfId="218"/>
    <cellStyle name="Style5 2" xfId="219"/>
    <cellStyle name="Style5_29(d) - Gas extensions -tariffs" xfId="220"/>
    <cellStyle name="Table Head Green" xfId="221"/>
    <cellStyle name="Table Head_pldt" xfId="222"/>
    <cellStyle name="Table Source" xfId="223"/>
    <cellStyle name="Table Units" xfId="224"/>
    <cellStyle name="Table_Heading" xfId="259"/>
    <cellStyle name="Technical_Input" xfId="260"/>
    <cellStyle name="Text" xfId="225"/>
    <cellStyle name="Text 2" xfId="226"/>
    <cellStyle name="Text 3" xfId="227"/>
    <cellStyle name="Text Head 1" xfId="228"/>
    <cellStyle name="Text Head 2" xfId="229"/>
    <cellStyle name="Text Indent 2" xfId="230"/>
    <cellStyle name="Theirs" xfId="231"/>
    <cellStyle name="Title 2" xfId="232"/>
    <cellStyle name="TOC 1" xfId="233"/>
    <cellStyle name="TOC 2" xfId="234"/>
    <cellStyle name="TOC 3" xfId="235"/>
    <cellStyle name="Total 2" xfId="236"/>
    <cellStyle name="Totals" xfId="261"/>
    <cellStyle name="unit" xfId="262"/>
    <cellStyle name="User_Input" xfId="263"/>
    <cellStyle name="Warning Text 2" xfId="237"/>
    <cellStyle name="year" xfId="238"/>
    <cellStyle name="year 2" xfId="239"/>
    <cellStyle name="year_29(d) - Gas extensions -tariffs" xfId="240"/>
  </cellStyles>
  <dxfs count="199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ill>
        <patternFill>
          <bgColor indexed="43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border>
        <bottom style="thin">
          <color auto="1"/>
        </bottom>
        <vertical/>
        <horizontal/>
      </border>
    </dxf>
    <dxf>
      <fill>
        <patternFill>
          <bgColor rgb="FFCCFFCC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rgb="FFCCFFCC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border>
        <top style="thin">
          <color auto="1"/>
        </top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fill>
        <patternFill>
          <bgColor rgb="FFFFFF99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theme="0"/>
      </font>
    </dxf>
    <dxf>
      <font>
        <color theme="0"/>
      </font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strike val="0"/>
      </font>
      <numFmt numFmtId="1" formatCode="0"/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border>
        <bottom style="thin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9C0006"/>
      </font>
      <fill>
        <patternFill>
          <bgColor rgb="FFFFC7CE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ill>
        <patternFill>
          <bgColor theme="8" tint="0.79998168889431442"/>
        </patternFill>
      </fill>
      <border>
        <left style="hair">
          <color auto="1"/>
        </left>
        <right style="hair">
          <color auto="1"/>
        </right>
        <top style="hair">
          <color auto="1"/>
        </top>
        <bottom style="hair">
          <color auto="1"/>
        </bottom>
        <vertical/>
        <horizontal/>
      </border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strike val="0"/>
        <color theme="0"/>
      </font>
    </dxf>
    <dxf>
      <font>
        <strike val="0"/>
        <color theme="0"/>
      </font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DDEBF7"/>
      <color rgb="FFFF0000"/>
      <color rgb="FFFFFF99"/>
      <color rgb="FFFFFFCC"/>
      <color rgb="FFCCFFCC"/>
      <color rgb="FFDAEEF3"/>
      <color rgb="FFC0C0C0"/>
      <color rgb="FF8DB4E2"/>
      <color rgb="FF00B2E4"/>
      <color rgb="FF0060A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20" Type="http://schemas.openxmlformats.org/officeDocument/2006/relationships/customXml" Target="../customXml/item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ddale\AppData\Local\Microsoft\Windows\INetCache\Content.Outlook\1CA0KTIE\20190410\Labour%20cost%20escalation%20forecast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arrierswier.sharepoint.com/48417%20PWC%20Modelling%20WACC/03.%20Working/Revenue%20Scenarios/RP03/Submission/PWCR04.04%20-%20SCS%20Opex%20Model%20-%2029%20Nov%2018%20-%20PUBLIC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arrierswier.sharepoint.com/48417%20PWC%20Modelling%20WACC/03.%20Working/Revenue%20Scenarios/RP03/Submission/PWCR04.06%20-%20Step%20Changes%20Forecast%20Model%20-%2029%20Nov%2018%20-%20PUBLIC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farrierswier.sharepoint.com/48417%20PWC%20Modelling%20WACC/03.%20Working/Revenue%20Scenarios/RP03/Submission/PWCR04.02%20-%20ACS%20Metering%20Post-tax%20Revenue%20Model%20-29%20Nov%2018-%20PUBLIC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rowth rates"/>
    </sheetNames>
    <sheetDataSet>
      <sheetData sheetId="0">
        <row r="28">
          <cell r="B28">
            <v>3.1648595740088048E-3</v>
          </cell>
          <cell r="C28">
            <v>2.7792410152414071E-3</v>
          </cell>
          <cell r="D28">
            <v>6.6874544816664105E-4</v>
          </cell>
          <cell r="E28">
            <v>3.0319850496034473E-3</v>
          </cell>
          <cell r="F28">
            <v>4.5089504217696863E-3</v>
          </cell>
          <cell r="G28">
            <v>5.3277834336964425E-3</v>
          </cell>
        </row>
        <row r="29">
          <cell r="B29">
            <v>6.521219565989644E-3</v>
          </cell>
          <cell r="C29">
            <v>6.7136017767417669E-3</v>
          </cell>
          <cell r="D29">
            <v>1.0747417011723583E-2</v>
          </cell>
          <cell r="E29">
            <v>1.3342407326505769E-2</v>
          </cell>
          <cell r="F29">
            <v>1.4938371149719689E-2</v>
          </cell>
          <cell r="G29">
            <v>1.3956329567116845E-2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put|General"/>
      <sheetName val="Input|Inflation"/>
      <sheetName val="Input|Reported opex"/>
      <sheetName val="Input|Base year adjustments"/>
      <sheetName val="Input|Rate of change"/>
      <sheetName val="Input|Step changes"/>
      <sheetName val="Calc|Opex forecast"/>
      <sheetName val="Output|Models"/>
      <sheetName val="Lookup|Tables"/>
      <sheetName val="Check|List"/>
    </sheetNames>
    <sheetDataSet>
      <sheetData sheetId="0"/>
      <sheetData sheetId="1"/>
      <sheetData sheetId="2">
        <row r="38">
          <cell r="G38">
            <v>3.0155642023346418E-2</v>
          </cell>
        </row>
      </sheetData>
      <sheetData sheetId="3">
        <row r="42">
          <cell r="M42">
            <v>-0.40606978000000071</v>
          </cell>
        </row>
      </sheetData>
      <sheetData sheetId="4">
        <row r="13">
          <cell r="J13">
            <v>4.11081758</v>
          </cell>
        </row>
      </sheetData>
      <sheetData sheetId="5">
        <row r="20">
          <cell r="O20">
            <v>1.02</v>
          </cell>
        </row>
        <row r="51">
          <cell r="O51">
            <v>0.59699999999999998</v>
          </cell>
          <cell r="P51">
            <v>0.59699999999999998</v>
          </cell>
          <cell r="Q51">
            <v>0.59699999999999998</v>
          </cell>
          <cell r="R51">
            <v>0.59699999999999998</v>
          </cell>
          <cell r="S51">
            <v>0.59699999999999998</v>
          </cell>
          <cell r="T51">
            <v>0.59699999999999998</v>
          </cell>
        </row>
        <row r="56">
          <cell r="O56">
            <v>0.40300000000000002</v>
          </cell>
          <cell r="P56">
            <v>0.40300000000000002</v>
          </cell>
          <cell r="Q56">
            <v>0.40300000000000002</v>
          </cell>
          <cell r="R56">
            <v>0.40300000000000002</v>
          </cell>
          <cell r="S56">
            <v>0.40300000000000002</v>
          </cell>
          <cell r="T56">
            <v>0.40300000000000002</v>
          </cell>
        </row>
        <row r="64">
          <cell r="N64">
            <v>85062</v>
          </cell>
          <cell r="O64">
            <v>86061</v>
          </cell>
          <cell r="P64">
            <v>86730</v>
          </cell>
          <cell r="Q64">
            <v>87506</v>
          </cell>
          <cell r="R64">
            <v>88580</v>
          </cell>
          <cell r="S64">
            <v>89260</v>
          </cell>
          <cell r="T64">
            <v>89947</v>
          </cell>
        </row>
        <row r="65">
          <cell r="N65">
            <v>7049</v>
          </cell>
          <cell r="O65">
            <v>7087.8658729814169</v>
          </cell>
          <cell r="P65">
            <v>7142.8432700688099</v>
          </cell>
          <cell r="Q65">
            <v>7183.829570856552</v>
          </cell>
          <cell r="R65">
            <v>7227.7850989155995</v>
          </cell>
          <cell r="S65">
            <v>7271.529612689862</v>
          </cell>
          <cell r="T65">
            <v>7314.9005444415552</v>
          </cell>
        </row>
        <row r="66">
          <cell r="N66">
            <v>501.5</v>
          </cell>
          <cell r="O66">
            <v>501.5</v>
          </cell>
          <cell r="P66">
            <v>501.5</v>
          </cell>
          <cell r="Q66">
            <v>501.5</v>
          </cell>
          <cell r="R66">
            <v>501.5</v>
          </cell>
          <cell r="S66">
            <v>501.5</v>
          </cell>
          <cell r="T66">
            <v>501.5</v>
          </cell>
        </row>
        <row r="67">
          <cell r="N67">
            <v>1766.9421854700092</v>
          </cell>
          <cell r="O67">
            <v>1738.9015120803381</v>
          </cell>
          <cell r="P67">
            <v>1725.6762669132052</v>
          </cell>
          <cell r="Q67">
            <v>1725.7138620477367</v>
          </cell>
          <cell r="R67">
            <v>1726.5405788902858</v>
          </cell>
          <cell r="S67">
            <v>1728.0290728327891</v>
          </cell>
          <cell r="T67">
            <v>1731.5731117295702</v>
          </cell>
        </row>
        <row r="84">
          <cell r="J84">
            <v>0.77131394182547641</v>
          </cell>
          <cell r="K84">
            <v>0.69699999999999995</v>
          </cell>
          <cell r="L84">
            <v>0.59840000000000004</v>
          </cell>
          <cell r="M84">
            <v>0.45800000000000002</v>
          </cell>
        </row>
        <row r="85">
          <cell r="J85">
            <v>9.7291875626880645E-2</v>
          </cell>
          <cell r="K85">
            <v>0.112</v>
          </cell>
          <cell r="L85">
            <v>0.1123</v>
          </cell>
          <cell r="M85">
            <v>0.23799999999999999</v>
          </cell>
        </row>
        <row r="86">
          <cell r="J86">
            <v>0.13139418254764293</v>
          </cell>
          <cell r="K86">
            <v>0.191</v>
          </cell>
          <cell r="L86">
            <v>0.28939999999999999</v>
          </cell>
          <cell r="M86">
            <v>0.17599999999999999</v>
          </cell>
        </row>
        <row r="87">
          <cell r="M87">
            <v>0.128</v>
          </cell>
        </row>
      </sheetData>
      <sheetData sheetId="6">
        <row r="16">
          <cell r="O16">
            <v>0.18865740137981382</v>
          </cell>
        </row>
      </sheetData>
      <sheetData sheetId="7">
        <row r="13">
          <cell r="M13">
            <v>87.951509927094506</v>
          </cell>
        </row>
      </sheetData>
      <sheetData sheetId="8">
        <row r="13">
          <cell r="O13">
            <v>68.20052937821238</v>
          </cell>
        </row>
      </sheetData>
      <sheetData sheetId="9"/>
      <sheetData sheetId="10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Calc|GSLs"/>
      <sheetName val="Calc|Step_Changes"/>
    </sheetNames>
    <sheetDataSet>
      <sheetData sheetId="0"/>
      <sheetData sheetId="1"/>
      <sheetData sheetId="2">
        <row r="28">
          <cell r="D28" t="str">
            <v>Inspection and testing</v>
          </cell>
          <cell r="N28">
            <v>305544.24</v>
          </cell>
          <cell r="O28">
            <v>305544.24</v>
          </cell>
          <cell r="P28">
            <v>305544.24</v>
          </cell>
          <cell r="Q28">
            <v>305544.24</v>
          </cell>
          <cell r="R28">
            <v>305544.24</v>
          </cell>
        </row>
        <row r="29">
          <cell r="D29" t="str">
            <v>Metering Compliance Type 1-6</v>
          </cell>
          <cell r="N29">
            <v>38284.619999999995</v>
          </cell>
          <cell r="O29">
            <v>38284.619999999995</v>
          </cell>
          <cell r="P29">
            <v>38284.619999999995</v>
          </cell>
          <cell r="Q29">
            <v>38284.619999999995</v>
          </cell>
          <cell r="R29">
            <v>38284.619999999995</v>
          </cell>
        </row>
        <row r="30">
          <cell r="D30" t="str">
            <v>Southern Region metering technicians</v>
          </cell>
        </row>
        <row r="31">
          <cell r="D31" t="str">
            <v>New and replacement meter policy</v>
          </cell>
        </row>
      </sheetData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ro"/>
      <sheetName val="DMS input"/>
      <sheetName val="PTRM input"/>
      <sheetName val="WACC"/>
      <sheetName val="Assets"/>
      <sheetName val="Analysis"/>
      <sheetName val="Forecast revenues"/>
      <sheetName val="X factors"/>
      <sheetName val="Revenue summary"/>
      <sheetName val="Equity raising costs"/>
      <sheetName val="Chart 1-Revenue"/>
      <sheetName val="Chart 2-Price path"/>
      <sheetName val="Chart 3-Building blocks"/>
    </sheetNames>
    <sheetDataSet>
      <sheetData sheetId="0" refreshError="1"/>
      <sheetData sheetId="1" refreshError="1"/>
      <sheetData sheetId="2" refreshError="1">
        <row r="186">
          <cell r="G186">
            <v>7.3051562905427289E-3</v>
          </cell>
          <cell r="H186">
            <v>1.0327906810985674E-2</v>
          </cell>
          <cell r="I186">
            <v>1.1500177584532418E-2</v>
          </cell>
          <cell r="J186">
            <v>1.2656487836470115E-2</v>
          </cell>
          <cell r="K186">
            <v>1.5669439973326205E-2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1"/>
  </sheetPr>
  <dimension ref="A1:AU35"/>
  <sheetViews>
    <sheetView showGridLines="0" workbookViewId="0"/>
  </sheetViews>
  <sheetFormatPr defaultColWidth="0" defaultRowHeight="11.25" zeroHeight="1"/>
  <cols>
    <col min="1" max="2" width="1.5" style="5" customWidth="1"/>
    <col min="3" max="3" width="30.83203125" style="5" customWidth="1"/>
    <col min="4" max="4" width="189.6640625" style="5" bestFit="1" customWidth="1"/>
    <col min="5" max="5" width="6.5" style="5" customWidth="1"/>
    <col min="6" max="6" width="9.33203125" style="5" customWidth="1"/>
    <col min="7" max="14" width="9.83203125" style="5" customWidth="1"/>
    <col min="15" max="15" width="1.5" style="5" customWidth="1"/>
    <col min="16" max="16" width="10.5" style="5" customWidth="1"/>
    <col min="17" max="17" width="1.5" style="5" customWidth="1"/>
    <col min="18" max="47" width="10.5" style="5" customWidth="1"/>
    <col min="48" max="16384" width="10.5" style="5" hidden="1"/>
  </cols>
  <sheetData>
    <row r="1" spans="1:5" s="1" customFormat="1" ht="15.75" customHeight="1">
      <c r="A1" s="34"/>
      <c r="B1" s="31" t="s">
        <v>99</v>
      </c>
      <c r="C1" s="31"/>
      <c r="D1" s="34"/>
      <c r="E1" s="34"/>
    </row>
    <row r="2" spans="1:5" s="2" customFormat="1" ht="13.7" customHeight="1" thickBot="1">
      <c r="A2" s="38"/>
      <c r="B2" s="37" t="s">
        <v>41</v>
      </c>
      <c r="C2" s="37"/>
      <c r="D2" s="38"/>
      <c r="E2" s="38"/>
    </row>
    <row r="3" spans="1:5" s="3" customFormat="1" ht="3" customHeight="1"/>
    <row r="4" spans="1:5" customFormat="1">
      <c r="A4" s="39"/>
      <c r="B4" s="43" t="s">
        <v>67</v>
      </c>
      <c r="C4" s="39"/>
      <c r="D4" s="39"/>
      <c r="E4" s="39"/>
    </row>
    <row r="5" spans="1:5"/>
    <row r="6" spans="1:5">
      <c r="C6" s="6" t="s">
        <v>0</v>
      </c>
      <c r="D6" s="6" t="s">
        <v>1</v>
      </c>
    </row>
    <row r="7" spans="1:5">
      <c r="C7" s="16" t="s">
        <v>65</v>
      </c>
      <c r="D7" s="4" t="s">
        <v>66</v>
      </c>
    </row>
    <row r="8" spans="1:5">
      <c r="C8" s="16" t="s">
        <v>35</v>
      </c>
      <c r="D8" s="4" t="s">
        <v>101</v>
      </c>
    </row>
    <row r="9" spans="1:5">
      <c r="C9" s="16" t="s">
        <v>61</v>
      </c>
      <c r="D9" s="4" t="s">
        <v>62</v>
      </c>
    </row>
    <row r="10" spans="1:5">
      <c r="C10" s="16" t="s">
        <v>60</v>
      </c>
      <c r="D10" s="4" t="s">
        <v>51</v>
      </c>
    </row>
    <row r="11" spans="1:5">
      <c r="C11" s="16" t="s">
        <v>64</v>
      </c>
      <c r="D11" s="4" t="s">
        <v>52</v>
      </c>
    </row>
    <row r="12" spans="1:5">
      <c r="C12" s="16" t="s">
        <v>56</v>
      </c>
      <c r="D12" s="4" t="s">
        <v>166</v>
      </c>
    </row>
    <row r="13" spans="1:5">
      <c r="C13" s="16" t="s">
        <v>55</v>
      </c>
      <c r="D13" s="4" t="s">
        <v>167</v>
      </c>
    </row>
    <row r="14" spans="1:5">
      <c r="C14" s="16" t="s">
        <v>54</v>
      </c>
      <c r="D14" s="4" t="s">
        <v>63</v>
      </c>
    </row>
    <row r="15" spans="1:5">
      <c r="C15" s="16" t="s">
        <v>25</v>
      </c>
      <c r="D15" s="4" t="s">
        <v>53</v>
      </c>
    </row>
    <row r="16" spans="1:5" ht="12.75">
      <c r="C16" s="7"/>
      <c r="D16" s="4"/>
    </row>
    <row r="17" spans="1:5" customFormat="1">
      <c r="A17" s="39"/>
      <c r="B17" s="43" t="s">
        <v>21</v>
      </c>
      <c r="C17" s="39"/>
      <c r="D17" s="39"/>
      <c r="E17" s="39"/>
    </row>
    <row r="18" spans="1:5" hidden="1"/>
    <row r="19" spans="1:5" hidden="1"/>
    <row r="20" spans="1:5" hidden="1"/>
    <row r="21" spans="1:5" hidden="1"/>
    <row r="22" spans="1:5" hidden="1"/>
    <row r="23" spans="1:5" hidden="1"/>
    <row r="24" spans="1:5" hidden="1"/>
    <row r="25" spans="1:5" hidden="1"/>
    <row r="26" spans="1:5" hidden="1"/>
    <row r="27" spans="1:5" hidden="1"/>
    <row r="28" spans="1:5" hidden="1"/>
    <row r="29" spans="1:5" hidden="1"/>
    <row r="30" spans="1:5" hidden="1"/>
    <row r="31" spans="1:5" hidden="1"/>
    <row r="32" spans="1:5" hidden="1"/>
    <row r="33" hidden="1"/>
    <row r="34" hidden="1"/>
    <row r="35" hidden="1"/>
  </sheetData>
  <hyperlinks>
    <hyperlink ref="C12" location="'Calc|Opex Forecast'!A1" display="Calc | Opex Forecast"/>
    <hyperlink ref="C13" location="'Output|Models'!A1" display="Output | Models"/>
    <hyperlink ref="C14" location="'Lookup|Tables'!A1" display="Lookup | Tables"/>
    <hyperlink ref="C15" location="'Check|List'!A1" display="Check | List"/>
    <hyperlink ref="C7" location="'Input|General'!A1" display="Input | General"/>
    <hyperlink ref="C9" location="'Input|Reported opex'!A1" display="Input | Reported opex"/>
    <hyperlink ref="C10" location="'Input|Rate of change'!A1" display="Input | Rate of change"/>
    <hyperlink ref="C11" location="'Input|Step changes'!A1" display="Input | Step changes"/>
    <hyperlink ref="C8" location="'Input|Inflation'!A1" display="Input | Inflation"/>
  </hyperlinks>
  <pageMargins left="0.7" right="0.7" top="0.75" bottom="0.75" header="0.3" footer="0.3"/>
  <pageSetup paperSize="9" orientation="portrait" verticalDpi="4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FFFF99"/>
  </sheetPr>
  <dimension ref="A1:AU26"/>
  <sheetViews>
    <sheetView showGridLines="0" workbookViewId="0"/>
  </sheetViews>
  <sheetFormatPr defaultColWidth="0" defaultRowHeight="11.25" zeroHeight="1"/>
  <cols>
    <col min="1" max="2" width="1.5" style="25" customWidth="1"/>
    <col min="3" max="3" width="42" style="25" customWidth="1"/>
    <col min="4" max="4" width="27.6640625" style="26" customWidth="1"/>
    <col min="5" max="5" width="15.83203125" style="26" customWidth="1"/>
    <col min="6" max="6" width="10.6640625" style="26" customWidth="1"/>
    <col min="7" max="7" width="16.1640625" style="26" bestFit="1" customWidth="1"/>
    <col min="8" max="9" width="3.33203125" style="26" customWidth="1"/>
    <col min="10" max="23" width="10.83203125" style="25" customWidth="1"/>
    <col min="24" max="47" width="10.5" style="25" customWidth="1"/>
    <col min="48" max="16384" width="10.5" style="25" hidden="1"/>
  </cols>
  <sheetData>
    <row r="1" spans="1:23" s="58" customFormat="1" ht="15.75">
      <c r="B1" s="59" t="str">
        <f>Index!$B$1</f>
        <v>AER opex model</v>
      </c>
      <c r="C1" s="59"/>
      <c r="D1" s="59"/>
      <c r="E1" s="59"/>
      <c r="F1" s="60"/>
      <c r="G1" s="60"/>
      <c r="H1" s="60"/>
      <c r="I1" s="60"/>
      <c r="J1" s="33" t="s">
        <v>2</v>
      </c>
      <c r="L1" s="61" t="s">
        <v>3</v>
      </c>
      <c r="M1" s="62" t="s">
        <v>4</v>
      </c>
      <c r="N1" s="63" t="s">
        <v>5</v>
      </c>
      <c r="O1" s="64" t="s">
        <v>6</v>
      </c>
      <c r="R1" s="61" t="s">
        <v>86</v>
      </c>
      <c r="S1" s="65" t="str">
        <f>IF(COUNTA($S$5:$S$15)=COUNTIF($S5:$S16,"OK"),"OK","Check")</f>
        <v>OK</v>
      </c>
      <c r="U1" s="169" t="s">
        <v>24</v>
      </c>
      <c r="V1" s="65" t="str">
        <f>'Check|List'!$S$1</f>
        <v>Ok</v>
      </c>
    </row>
    <row r="2" spans="1:23" s="66" customFormat="1" ht="13.5" thickBot="1">
      <c r="B2" s="67" t="str">
        <f>Index!$C$7</f>
        <v>Input | General</v>
      </c>
      <c r="C2" s="67"/>
      <c r="D2" s="67"/>
      <c r="E2" s="67"/>
      <c r="F2" s="68"/>
      <c r="G2" s="68"/>
      <c r="H2" s="68"/>
      <c r="I2" s="68"/>
    </row>
    <row r="3" spans="1:23" s="23" customFormat="1" ht="3" customHeight="1">
      <c r="D3" s="24"/>
      <c r="E3" s="24"/>
      <c r="F3" s="24"/>
      <c r="G3" s="24"/>
      <c r="H3" s="24"/>
      <c r="I3" s="24"/>
    </row>
    <row r="4" spans="1:23" s="85" customFormat="1" ht="12.75">
      <c r="A4" s="79"/>
      <c r="B4" s="80" t="s">
        <v>97</v>
      </c>
      <c r="C4" s="79"/>
      <c r="D4" s="79"/>
      <c r="E4" s="79"/>
      <c r="F4" s="81"/>
      <c r="G4" s="81"/>
      <c r="H4" s="81"/>
      <c r="I4" s="81"/>
      <c r="J4" s="82"/>
      <c r="K4" s="83"/>
      <c r="L4" s="82"/>
      <c r="M4" s="83"/>
      <c r="N4" s="82"/>
      <c r="O4" s="82"/>
      <c r="P4" s="82"/>
      <c r="Q4" s="82"/>
      <c r="R4" s="82"/>
      <c r="S4" s="82"/>
      <c r="T4" s="82"/>
      <c r="U4" s="82"/>
      <c r="V4" s="83"/>
      <c r="W4" s="83"/>
    </row>
    <row r="5" spans="1:23"/>
    <row r="6" spans="1:23">
      <c r="C6" s="27" t="s">
        <v>98</v>
      </c>
      <c r="D6" s="28" t="s">
        <v>7</v>
      </c>
      <c r="E6" s="28"/>
      <c r="F6" s="29"/>
      <c r="G6" s="29" t="s">
        <v>71</v>
      </c>
      <c r="H6" s="29"/>
      <c r="I6" s="25"/>
    </row>
    <row r="7" spans="1:23">
      <c r="C7" s="25" t="s">
        <v>68</v>
      </c>
      <c r="D7" s="26" t="s">
        <v>72</v>
      </c>
      <c r="E7" s="25"/>
      <c r="F7" s="25"/>
      <c r="G7" s="44" t="s">
        <v>176</v>
      </c>
      <c r="H7" s="25"/>
      <c r="I7" s="25"/>
      <c r="S7" s="113" t="str">
        <f t="shared" ref="S7:S14" si="0">IF(COUNTBLANK($G7),"Check","Ok")</f>
        <v>Ok</v>
      </c>
    </row>
    <row r="8" spans="1:23">
      <c r="C8" s="25" t="s">
        <v>137</v>
      </c>
      <c r="D8" s="26" t="s">
        <v>73</v>
      </c>
      <c r="E8" s="25"/>
      <c r="F8" s="25"/>
      <c r="G8" s="44" t="s">
        <v>138</v>
      </c>
      <c r="H8" s="25"/>
      <c r="I8" s="25"/>
      <c r="S8" s="113" t="str">
        <f t="shared" si="0"/>
        <v>Ok</v>
      </c>
    </row>
    <row r="9" spans="1:23">
      <c r="C9" s="25" t="s">
        <v>121</v>
      </c>
      <c r="D9" s="26" t="s">
        <v>72</v>
      </c>
      <c r="E9" s="25"/>
      <c r="F9" s="25"/>
      <c r="G9" s="136">
        <v>36678</v>
      </c>
      <c r="H9" s="25"/>
      <c r="I9" s="25"/>
      <c r="S9" s="113" t="str">
        <f t="shared" si="0"/>
        <v>Ok</v>
      </c>
    </row>
    <row r="10" spans="1:23">
      <c r="C10" s="25" t="s">
        <v>152</v>
      </c>
      <c r="D10" s="26" t="s">
        <v>72</v>
      </c>
      <c r="E10" s="25"/>
      <c r="F10" s="25"/>
      <c r="G10" s="137">
        <v>2015</v>
      </c>
      <c r="H10" s="25"/>
      <c r="I10" s="25"/>
      <c r="S10" s="113" t="str">
        <f t="shared" si="0"/>
        <v>Ok</v>
      </c>
    </row>
    <row r="11" spans="1:23">
      <c r="C11" s="25" t="s">
        <v>75</v>
      </c>
      <c r="D11" s="26" t="s">
        <v>72</v>
      </c>
      <c r="E11" s="25"/>
      <c r="F11" s="25"/>
      <c r="G11" s="137">
        <v>2018</v>
      </c>
      <c r="H11" s="25"/>
      <c r="I11" s="25"/>
      <c r="S11" s="113" t="str">
        <f t="shared" si="0"/>
        <v>Ok</v>
      </c>
    </row>
    <row r="12" spans="1:23">
      <c r="C12" s="25" t="s">
        <v>153</v>
      </c>
      <c r="D12" s="26" t="s">
        <v>72</v>
      </c>
      <c r="E12" s="25"/>
      <c r="F12" s="25"/>
      <c r="G12" s="137">
        <v>2019</v>
      </c>
      <c r="H12" s="25"/>
      <c r="I12" s="25"/>
      <c r="S12" s="113" t="str">
        <f t="shared" si="0"/>
        <v>Ok</v>
      </c>
    </row>
    <row r="13" spans="1:23">
      <c r="C13" s="25" t="s">
        <v>69</v>
      </c>
      <c r="D13" s="26" t="s">
        <v>72</v>
      </c>
      <c r="E13" s="25"/>
      <c r="F13" s="25"/>
      <c r="G13" s="137">
        <v>2020</v>
      </c>
      <c r="H13" s="25"/>
      <c r="I13" s="25"/>
      <c r="S13" s="113" t="str">
        <f t="shared" si="0"/>
        <v>Ok</v>
      </c>
    </row>
    <row r="14" spans="1:23">
      <c r="C14" s="25" t="s">
        <v>70</v>
      </c>
      <c r="D14" s="26" t="s">
        <v>72</v>
      </c>
      <c r="E14" s="25"/>
      <c r="F14" s="25"/>
      <c r="G14" s="137">
        <v>2024</v>
      </c>
      <c r="H14" s="25"/>
      <c r="I14" s="25"/>
      <c r="S14" s="113" t="str">
        <f t="shared" si="0"/>
        <v>Ok</v>
      </c>
    </row>
    <row r="15" spans="1:23">
      <c r="D15" s="25"/>
      <c r="E15" s="25"/>
      <c r="F15" s="25"/>
      <c r="G15" s="25"/>
      <c r="H15" s="25"/>
      <c r="I15" s="25"/>
    </row>
    <row r="16" spans="1:23" s="85" customFormat="1" ht="12.75">
      <c r="A16" s="79"/>
      <c r="B16" s="80" t="s">
        <v>21</v>
      </c>
      <c r="C16" s="79"/>
      <c r="D16" s="79"/>
      <c r="E16" s="79"/>
      <c r="F16" s="81"/>
      <c r="G16" s="81"/>
      <c r="H16" s="81"/>
      <c r="I16" s="81"/>
      <c r="J16" s="82"/>
      <c r="K16" s="83"/>
      <c r="L16" s="82"/>
      <c r="M16" s="83"/>
      <c r="N16" s="82"/>
      <c r="O16" s="82"/>
      <c r="P16" s="82"/>
      <c r="Q16" s="82"/>
      <c r="R16" s="82"/>
      <c r="S16" s="82"/>
      <c r="T16" s="82"/>
      <c r="U16" s="82"/>
      <c r="V16" s="83"/>
      <c r="W16" s="83"/>
    </row>
    <row r="17" spans="4:9" hidden="1">
      <c r="D17" s="25"/>
      <c r="E17" s="25"/>
      <c r="F17" s="25"/>
      <c r="G17" s="25"/>
      <c r="H17" s="25"/>
      <c r="I17" s="25"/>
    </row>
    <row r="18" spans="4:9" hidden="1">
      <c r="D18" s="25"/>
      <c r="E18" s="25"/>
      <c r="F18" s="25"/>
      <c r="G18" s="25"/>
      <c r="H18" s="25"/>
      <c r="I18" s="25"/>
    </row>
    <row r="19" spans="4:9" hidden="1">
      <c r="D19" s="25"/>
      <c r="E19" s="25"/>
      <c r="F19" s="25"/>
      <c r="G19" s="25"/>
      <c r="H19" s="25"/>
      <c r="I19" s="25"/>
    </row>
    <row r="20" spans="4:9" hidden="1">
      <c r="D20" s="25"/>
      <c r="E20" s="25"/>
      <c r="F20" s="25"/>
      <c r="G20" s="25"/>
      <c r="H20" s="25"/>
      <c r="I20" s="25"/>
    </row>
    <row r="21" spans="4:9" hidden="1">
      <c r="D21" s="25"/>
      <c r="E21" s="25"/>
      <c r="F21" s="25"/>
      <c r="G21" s="25"/>
      <c r="H21" s="25"/>
      <c r="I21" s="25"/>
    </row>
    <row r="22" spans="4:9" hidden="1">
      <c r="D22" s="25"/>
      <c r="E22" s="25"/>
      <c r="F22" s="25"/>
      <c r="G22" s="25"/>
      <c r="H22" s="25"/>
      <c r="I22" s="25"/>
    </row>
    <row r="23" spans="4:9" hidden="1">
      <c r="D23" s="25"/>
      <c r="E23" s="25"/>
      <c r="F23" s="25"/>
      <c r="G23" s="25"/>
      <c r="H23" s="25"/>
      <c r="I23" s="25"/>
    </row>
    <row r="24" spans="4:9" hidden="1">
      <c r="D24" s="25"/>
      <c r="E24" s="25"/>
      <c r="F24" s="25"/>
      <c r="G24" s="25"/>
      <c r="H24" s="25"/>
      <c r="I24" s="25"/>
    </row>
    <row r="25" spans="4:9" hidden="1">
      <c r="D25" s="25"/>
      <c r="E25" s="25"/>
      <c r="F25" s="25"/>
      <c r="G25" s="25"/>
      <c r="H25" s="25"/>
      <c r="I25" s="25"/>
    </row>
    <row r="26" spans="4:9" hidden="1">
      <c r="D26" s="25"/>
      <c r="E26" s="25"/>
      <c r="F26" s="25"/>
      <c r="G26" s="25"/>
      <c r="H26" s="25"/>
      <c r="I26" s="25"/>
    </row>
  </sheetData>
  <conditionalFormatting sqref="W14:W15">
    <cfRule type="cellIs" dxfId="198" priority="13" operator="equal">
      <formula>"Check"</formula>
    </cfRule>
    <cfRule type="cellIs" dxfId="197" priority="14" operator="equal">
      <formula>"Ok"</formula>
    </cfRule>
  </conditionalFormatting>
  <conditionalFormatting sqref="V1">
    <cfRule type="cellIs" dxfId="196" priority="3" operator="equal">
      <formula>"Check"</formula>
    </cfRule>
    <cfRule type="cellIs" dxfId="195" priority="4" operator="equal">
      <formula>"Ok"</formula>
    </cfRule>
  </conditionalFormatting>
  <conditionalFormatting sqref="S7:S14">
    <cfRule type="cellIs" dxfId="194" priority="5" operator="equal">
      <formula>"Check"</formula>
    </cfRule>
    <cfRule type="cellIs" dxfId="193" priority="6" operator="equal">
      <formula>"Ok"</formula>
    </cfRule>
  </conditionalFormatting>
  <conditionalFormatting sqref="S1">
    <cfRule type="cellIs" dxfId="192" priority="1" operator="equal">
      <formula>"Check"</formula>
    </cfRule>
    <cfRule type="cellIs" dxfId="191" priority="2" operator="equal">
      <formula>"Ok"</formula>
    </cfRule>
  </conditionalFormatting>
  <dataValidations count="4">
    <dataValidation type="list" allowBlank="1" showInputMessage="1" showErrorMessage="1" sqref="F12:F13">
      <formula1>#REF!</formula1>
    </dataValidation>
    <dataValidation type="list" allowBlank="1" showInputMessage="1" showErrorMessage="1" sqref="F14:F15">
      <formula1>"Real 2010,Real 2011,Real 2012,Real 2013,Real 2014,Real 2015,Nominal"</formula1>
    </dataValidation>
    <dataValidation type="list" allowBlank="1" showInputMessage="1" showErrorMessage="1" sqref="I12:I15">
      <formula1>#REF!</formula1>
    </dataValidation>
    <dataValidation type="list" allowBlank="1" showInputMessage="1" showErrorMessage="1" sqref="G8">
      <formula1>"draft,final"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'Lookup|Tables'!$G$25:$G$36</xm:f>
          </x14:formula1>
          <xm:sqref>G9</xm:sqref>
        </x14:dataValidation>
        <x14:dataValidation type="list" allowBlank="1" showInputMessage="1" showErrorMessage="1">
          <x14:formula1>
            <xm:f>'Lookup|Tables'!$G$41:$G$60</xm:f>
          </x14:formula1>
          <xm:sqref>G10:G14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rgb="FFFFFF99"/>
  </sheetPr>
  <dimension ref="A1:AV76"/>
  <sheetViews>
    <sheetView showGridLines="0" topLeftCell="A29" workbookViewId="0">
      <selection activeCell="H50" sqref="H50"/>
    </sheetView>
  </sheetViews>
  <sheetFormatPr defaultColWidth="0" defaultRowHeight="11.25" customHeight="1" zeroHeight="1"/>
  <cols>
    <col min="1" max="2" width="1.5" style="25" customWidth="1"/>
    <col min="3" max="3" width="11.6640625" style="25" bestFit="1" customWidth="1"/>
    <col min="4" max="4" width="21.5" style="26" bestFit="1" customWidth="1"/>
    <col min="5" max="5" width="21.5" style="26" customWidth="1"/>
    <col min="6" max="9" width="15" style="26" customWidth="1"/>
    <col min="10" max="10" width="3.33203125" style="26" customWidth="1"/>
    <col min="11" max="24" width="10.83203125" style="25" customWidth="1"/>
    <col min="25" max="48" width="10.5" style="25" customWidth="1"/>
    <col min="49" max="16384" width="10.5" style="25" hidden="1"/>
  </cols>
  <sheetData>
    <row r="1" spans="1:24" s="58" customFormat="1" ht="15.75">
      <c r="B1" s="59" t="str">
        <f>Index!$B$1</f>
        <v>AER opex model</v>
      </c>
      <c r="C1" s="59"/>
      <c r="D1" s="59"/>
      <c r="E1" s="59"/>
      <c r="F1" s="59"/>
      <c r="G1" s="60"/>
      <c r="H1" s="60"/>
      <c r="I1" s="60"/>
      <c r="J1" s="60"/>
      <c r="K1" s="33" t="s">
        <v>2</v>
      </c>
      <c r="M1" s="61" t="s">
        <v>3</v>
      </c>
      <c r="N1" s="62" t="s">
        <v>4</v>
      </c>
      <c r="O1" s="63" t="s">
        <v>5</v>
      </c>
      <c r="P1" s="64" t="s">
        <v>6</v>
      </c>
      <c r="S1" s="61" t="s">
        <v>86</v>
      </c>
      <c r="T1" s="65" t="str">
        <f>IF(COUNTA($T$5:$T$65)=COUNTIF($T5:$T66,"OK"),"OK","Check")</f>
        <v>OK</v>
      </c>
      <c r="V1" s="169" t="s">
        <v>24</v>
      </c>
      <c r="W1" s="65" t="str">
        <f>'Check|List'!$S$1</f>
        <v>Ok</v>
      </c>
    </row>
    <row r="2" spans="1:24" s="66" customFormat="1" ht="13.5" thickBot="1">
      <c r="B2" s="67" t="str">
        <f>Index!$C$7</f>
        <v>Input | General</v>
      </c>
      <c r="C2" s="67"/>
      <c r="D2" s="67"/>
      <c r="E2" s="67"/>
      <c r="F2" s="67"/>
      <c r="G2" s="68"/>
      <c r="H2" s="68"/>
      <c r="I2" s="68"/>
      <c r="J2" s="68"/>
    </row>
    <row r="3" spans="1:24" s="23" customFormat="1" ht="3" customHeight="1">
      <c r="D3" s="24"/>
      <c r="E3" s="24"/>
      <c r="F3" s="24"/>
      <c r="G3" s="24"/>
      <c r="H3" s="24"/>
      <c r="I3" s="24"/>
      <c r="J3" s="24"/>
    </row>
    <row r="4" spans="1:24" s="85" customFormat="1" ht="12.75">
      <c r="A4" s="79"/>
      <c r="B4" s="80" t="s">
        <v>97</v>
      </c>
      <c r="C4" s="79"/>
      <c r="D4" s="79"/>
      <c r="E4" s="79"/>
      <c r="F4" s="79"/>
      <c r="G4" s="81"/>
      <c r="H4" s="81"/>
      <c r="I4" s="81"/>
      <c r="J4" s="81"/>
      <c r="K4" s="82"/>
      <c r="L4" s="83"/>
      <c r="M4" s="82"/>
      <c r="N4" s="83"/>
      <c r="O4" s="82"/>
      <c r="P4" s="82"/>
      <c r="Q4" s="82"/>
      <c r="R4" s="82"/>
      <c r="S4" s="82"/>
      <c r="T4" s="82"/>
      <c r="U4" s="82"/>
      <c r="V4" s="82"/>
      <c r="W4" s="83"/>
      <c r="X4" s="83"/>
    </row>
    <row r="5" spans="1:24" ht="11.25" customHeight="1"/>
    <row r="6" spans="1:24" ht="53.25">
      <c r="D6" s="51" t="s">
        <v>102</v>
      </c>
      <c r="E6" s="51" t="s">
        <v>135</v>
      </c>
      <c r="F6" s="51" t="s">
        <v>102</v>
      </c>
      <c r="G6" s="51" t="s">
        <v>135</v>
      </c>
      <c r="H6" s="51"/>
      <c r="I6" s="25"/>
      <c r="J6" s="25"/>
    </row>
    <row r="7" spans="1:24">
      <c r="C7" s="56" t="s">
        <v>7</v>
      </c>
      <c r="D7" s="55" t="s">
        <v>100</v>
      </c>
      <c r="E7" s="55" t="s">
        <v>30</v>
      </c>
      <c r="F7" s="55" t="s">
        <v>100</v>
      </c>
      <c r="G7" s="55" t="s">
        <v>30</v>
      </c>
      <c r="H7" s="55"/>
      <c r="I7" s="25"/>
      <c r="J7" s="25"/>
    </row>
    <row r="8" spans="1:24">
      <c r="C8" s="56" t="s">
        <v>8</v>
      </c>
      <c r="D8" s="55" t="s">
        <v>87</v>
      </c>
      <c r="E8" s="55" t="s">
        <v>16</v>
      </c>
      <c r="F8" s="55" t="s">
        <v>87</v>
      </c>
      <c r="G8" s="55" t="s">
        <v>16</v>
      </c>
      <c r="H8" s="55"/>
      <c r="I8" s="25"/>
      <c r="J8" s="25"/>
    </row>
    <row r="9" spans="1:24">
      <c r="C9" s="53">
        <v>39172</v>
      </c>
      <c r="D9" s="52">
        <v>155.6</v>
      </c>
      <c r="E9" s="25"/>
      <c r="F9" s="25"/>
      <c r="G9" s="25"/>
      <c r="H9" s="25"/>
      <c r="I9" s="25"/>
      <c r="J9" s="25"/>
      <c r="T9" s="113" t="str">
        <f>IF(C9&gt;EOMONTH(DATE('Input|General'!$G$12,MONTH('Input|General'!$G$9),1),0),"Ok",IF(ISBLANK($D9),"Check","Ok"))</f>
        <v>Ok</v>
      </c>
    </row>
    <row r="10" spans="1:24">
      <c r="C10" s="53">
        <v>39263</v>
      </c>
      <c r="D10" s="52">
        <v>157.5</v>
      </c>
      <c r="E10" s="25"/>
      <c r="F10" s="25"/>
      <c r="G10" s="25"/>
      <c r="H10" s="25"/>
      <c r="I10" s="25"/>
      <c r="J10" s="25"/>
      <c r="T10" s="113" t="str">
        <f>IF(C10&gt;EOMONTH(DATE('Input|General'!$G$12,MONTH('Input|General'!$G$9),1),0),"Ok",IF(ISBLANK($D10),"Check","Ok"))</f>
        <v>Ok</v>
      </c>
    </row>
    <row r="11" spans="1:24">
      <c r="C11" s="53">
        <v>39355</v>
      </c>
      <c r="D11" s="52">
        <v>158.6</v>
      </c>
      <c r="E11" s="25"/>
      <c r="F11" s="25"/>
      <c r="G11" s="25"/>
      <c r="H11" s="25"/>
      <c r="I11" s="25"/>
      <c r="J11" s="25"/>
      <c r="T11" s="113" t="str">
        <f>IF(C11&gt;EOMONTH(DATE('Input|General'!$G$12,MONTH('Input|General'!$G$9),1),0),"Ok",IF(ISBLANK($D11),"Check","Ok"))</f>
        <v>Ok</v>
      </c>
    </row>
    <row r="12" spans="1:24">
      <c r="C12" s="53">
        <v>39447</v>
      </c>
      <c r="D12" s="52">
        <v>160.1</v>
      </c>
      <c r="E12" s="25"/>
      <c r="F12" s="25"/>
      <c r="G12" s="54"/>
      <c r="H12" s="25"/>
      <c r="I12" s="25"/>
      <c r="J12" s="25"/>
      <c r="T12" s="113" t="str">
        <f>IF(C12&gt;EOMONTH(DATE('Input|General'!$G$12,MONTH('Input|General'!$G$9),1),0),"Ok",IF(ISBLANK($D12),"Check","Ok"))</f>
        <v>Ok</v>
      </c>
    </row>
    <row r="13" spans="1:24">
      <c r="C13" s="53">
        <v>39538</v>
      </c>
      <c r="D13" s="52">
        <v>162.19999999999999</v>
      </c>
      <c r="E13" s="99">
        <f>D13/D9-1</f>
        <v>4.2416452442159303E-2</v>
      </c>
      <c r="F13" s="25"/>
      <c r="G13" s="54"/>
      <c r="H13" s="25"/>
      <c r="I13" s="25"/>
      <c r="J13" s="25"/>
      <c r="T13" s="113" t="str">
        <f>IF(C13&gt;EOMONTH(DATE('Input|General'!$G$12,MONTH('Input|General'!$G$9),1),0),"Ok",IF(ISBLANK($D13),"Check","Ok"))</f>
        <v>Ok</v>
      </c>
    </row>
    <row r="14" spans="1:24">
      <c r="C14" s="53">
        <v>39629</v>
      </c>
      <c r="D14" s="52">
        <v>164.6</v>
      </c>
      <c r="E14" s="99">
        <f t="shared" ref="E14:E29" si="0">D14/D10-1</f>
        <v>4.5079365079365052E-2</v>
      </c>
      <c r="F14" s="25"/>
      <c r="G14" s="54"/>
      <c r="H14" s="25"/>
      <c r="I14" s="25"/>
      <c r="J14" s="25"/>
      <c r="T14" s="113" t="str">
        <f>IF(C14&gt;EOMONTH(DATE('Input|General'!$G$12,MONTH('Input|General'!$G$9),1),0),"Ok",IF(ISBLANK($D14),"Check","Ok"))</f>
        <v>Ok</v>
      </c>
    </row>
    <row r="15" spans="1:24">
      <c r="C15" s="53">
        <v>39721</v>
      </c>
      <c r="D15" s="52">
        <v>166.5</v>
      </c>
      <c r="E15" s="99">
        <f t="shared" si="0"/>
        <v>4.9810844892812067E-2</v>
      </c>
      <c r="F15" s="25"/>
      <c r="G15" s="54"/>
      <c r="H15" s="25"/>
      <c r="I15" s="25"/>
      <c r="J15" s="25"/>
      <c r="T15" s="113" t="str">
        <f>IF(C15&gt;EOMONTH(DATE('Input|General'!$G$12,MONTH('Input|General'!$G$9),1),0),"Ok",IF(ISBLANK($D15),"Check","Ok"))</f>
        <v>Ok</v>
      </c>
    </row>
    <row r="16" spans="1:24">
      <c r="C16" s="53">
        <v>39813</v>
      </c>
      <c r="D16" s="52">
        <v>166</v>
      </c>
      <c r="E16" s="99">
        <f t="shared" si="0"/>
        <v>3.6851967520299844E-2</v>
      </c>
      <c r="F16" s="25"/>
      <c r="G16" s="54"/>
      <c r="H16" s="25"/>
      <c r="I16" s="25"/>
      <c r="J16" s="25"/>
      <c r="T16" s="113" t="str">
        <f>IF(C16&gt;EOMONTH(DATE('Input|General'!$G$12,MONTH('Input|General'!$G$9),1),0),"Ok",IF(ISBLANK($D16),"Check","Ok"))</f>
        <v>Ok</v>
      </c>
    </row>
    <row r="17" spans="3:20">
      <c r="C17" s="53">
        <v>39903</v>
      </c>
      <c r="D17" s="52">
        <v>166.2</v>
      </c>
      <c r="E17" s="99">
        <f t="shared" si="0"/>
        <v>2.4660912453760897E-2</v>
      </c>
      <c r="F17" s="25"/>
      <c r="G17" s="54"/>
      <c r="H17" s="25"/>
      <c r="I17" s="25"/>
      <c r="J17" s="25"/>
      <c r="T17" s="113" t="str">
        <f>IF(C17&gt;EOMONTH(DATE('Input|General'!$G$12,MONTH('Input|General'!$G$9),1),0),"Ok",IF(ISBLANK($D17),"Check","Ok"))</f>
        <v>Ok</v>
      </c>
    </row>
    <row r="18" spans="3:20">
      <c r="C18" s="53">
        <v>39994</v>
      </c>
      <c r="D18" s="52">
        <v>167</v>
      </c>
      <c r="E18" s="99">
        <f t="shared" si="0"/>
        <v>1.4580801944106936E-2</v>
      </c>
      <c r="F18" s="25"/>
      <c r="G18" s="54"/>
      <c r="H18" s="25"/>
      <c r="I18" s="25"/>
      <c r="J18" s="25"/>
      <c r="T18" s="113" t="str">
        <f>IF(C18&gt;EOMONTH(DATE('Input|General'!$G$12,MONTH('Input|General'!$G$9),1),0),"Ok",IF(ISBLANK($D18),"Check","Ok"))</f>
        <v>Ok</v>
      </c>
    </row>
    <row r="19" spans="3:20">
      <c r="C19" s="53">
        <v>40086</v>
      </c>
      <c r="D19" s="52">
        <v>168.6</v>
      </c>
      <c r="E19" s="99">
        <f t="shared" si="0"/>
        <v>1.2612612612612484E-2</v>
      </c>
      <c r="F19" s="25"/>
      <c r="G19" s="54"/>
      <c r="H19" s="25"/>
      <c r="I19" s="25"/>
      <c r="J19" s="25"/>
      <c r="T19" s="113" t="str">
        <f>IF(C19&gt;EOMONTH(DATE('Input|General'!$G$12,MONTH('Input|General'!$G$9),1),0),"Ok",IF(ISBLANK($D19),"Check","Ok"))</f>
        <v>Ok</v>
      </c>
    </row>
    <row r="20" spans="3:20">
      <c r="C20" s="53">
        <v>40178</v>
      </c>
      <c r="D20" s="52">
        <v>169.5</v>
      </c>
      <c r="E20" s="99">
        <f t="shared" si="0"/>
        <v>2.108433734939763E-2</v>
      </c>
      <c r="F20" s="25"/>
      <c r="G20" s="54"/>
      <c r="H20" s="25"/>
      <c r="I20" s="25"/>
      <c r="J20" s="25"/>
      <c r="T20" s="113" t="str">
        <f>IF(C20&gt;EOMONTH(DATE('Input|General'!$G$12,MONTH('Input|General'!$G$9),1),0),"Ok",IF(ISBLANK($D20),"Check","Ok"))</f>
        <v>Ok</v>
      </c>
    </row>
    <row r="21" spans="3:20">
      <c r="C21" s="53">
        <v>40268</v>
      </c>
      <c r="D21" s="52">
        <v>171</v>
      </c>
      <c r="E21" s="99">
        <f t="shared" si="0"/>
        <v>2.8880866425992746E-2</v>
      </c>
      <c r="F21" s="52">
        <v>95.2</v>
      </c>
      <c r="G21" s="54"/>
      <c r="H21" s="170"/>
      <c r="I21" s="25"/>
      <c r="J21" s="25"/>
      <c r="T21" s="113" t="str">
        <f>IF(C21&gt;EOMONTH(DATE('Input|General'!$G$12,MONTH('Input|General'!$G$9),1),0),"Ok",IF(ISBLANK($F21),"Check","Ok"))</f>
        <v>Ok</v>
      </c>
    </row>
    <row r="22" spans="3:20">
      <c r="C22" s="53">
        <v>40359</v>
      </c>
      <c r="D22" s="52">
        <v>172.1</v>
      </c>
      <c r="E22" s="99">
        <f t="shared" si="0"/>
        <v>3.0538922155688653E-2</v>
      </c>
      <c r="F22" s="52">
        <v>95.8</v>
      </c>
      <c r="G22" s="54"/>
      <c r="H22" s="170"/>
      <c r="I22" s="25"/>
      <c r="J22" s="25"/>
      <c r="T22" s="113" t="str">
        <f>IF(C22&gt;EOMONTH(DATE('Input|General'!$G$12,MONTH('Input|General'!$G$9),1),0),"Ok",IF(ISBLANK($F22),"Check","Ok"))</f>
        <v>Ok</v>
      </c>
    </row>
    <row r="23" spans="3:20">
      <c r="C23" s="53">
        <v>40451</v>
      </c>
      <c r="D23" s="52">
        <v>173.3</v>
      </c>
      <c r="E23" s="99">
        <f t="shared" si="0"/>
        <v>2.7876631079478242E-2</v>
      </c>
      <c r="F23" s="52">
        <v>96.5</v>
      </c>
      <c r="G23" s="54"/>
      <c r="H23" s="170"/>
      <c r="I23" s="25"/>
      <c r="J23" s="25"/>
      <c r="T23" s="113" t="str">
        <f>IF(C23&gt;EOMONTH(DATE('Input|General'!$G$12,MONTH('Input|General'!$G$9),1),0),"Ok",IF(ISBLANK($F23),"Check","Ok"))</f>
        <v>Ok</v>
      </c>
    </row>
    <row r="24" spans="3:20">
      <c r="C24" s="53">
        <v>40543</v>
      </c>
      <c r="D24" s="52">
        <v>174</v>
      </c>
      <c r="E24" s="99">
        <f t="shared" si="0"/>
        <v>2.6548672566371723E-2</v>
      </c>
      <c r="F24" s="52">
        <v>96.9</v>
      </c>
      <c r="G24" s="54"/>
      <c r="H24" s="170"/>
      <c r="I24" s="25"/>
      <c r="J24" s="25"/>
      <c r="T24" s="113" t="str">
        <f>IF(C24&gt;EOMONTH(DATE('Input|General'!$G$12,MONTH('Input|General'!$G$9),1),0),"Ok",IF(ISBLANK($F24),"Check","Ok"))</f>
        <v>Ok</v>
      </c>
    </row>
    <row r="25" spans="3:20">
      <c r="C25" s="53">
        <v>40633</v>
      </c>
      <c r="D25" s="52">
        <v>176.7</v>
      </c>
      <c r="E25" s="99">
        <f t="shared" si="0"/>
        <v>3.3333333333333215E-2</v>
      </c>
      <c r="F25" s="52">
        <v>98.3</v>
      </c>
      <c r="G25" s="99">
        <f>IF(ISBLANK(F25),"",F25/F21-1)</f>
        <v>3.2563025210083918E-2</v>
      </c>
      <c r="H25" s="170"/>
      <c r="I25" s="25"/>
      <c r="J25" s="25"/>
      <c r="T25" s="113" t="str">
        <f>IF(C25&gt;EOMONTH(DATE('Input|General'!$G$12,MONTH('Input|General'!$G$9),1),0),"Ok",IF(ISBLANK($F25),"Check","Ok"))</f>
        <v>Ok</v>
      </c>
    </row>
    <row r="26" spans="3:20">
      <c r="C26" s="53">
        <v>40724</v>
      </c>
      <c r="D26" s="52">
        <v>178.3</v>
      </c>
      <c r="E26" s="99">
        <f t="shared" si="0"/>
        <v>3.6025566531086683E-2</v>
      </c>
      <c r="F26" s="52">
        <v>99.2</v>
      </c>
      <c r="G26" s="99">
        <f t="shared" ref="G26:G64" si="1">IF(ISBLANK(F26),"",F26/F22-1)</f>
        <v>3.5490605427975108E-2</v>
      </c>
      <c r="H26" s="170"/>
      <c r="I26" s="25"/>
      <c r="J26" s="25"/>
      <c r="T26" s="113" t="str">
        <f>IF(C26&gt;EOMONTH(DATE('Input|General'!$G$12,MONTH('Input|General'!$G$9),1),0),"Ok",IF(ISBLANK($F26),"Check","Ok"))</f>
        <v>Ok</v>
      </c>
    </row>
    <row r="27" spans="3:20">
      <c r="C27" s="53">
        <v>40816</v>
      </c>
      <c r="D27" s="52">
        <v>179.4</v>
      </c>
      <c r="E27" s="99">
        <f t="shared" si="0"/>
        <v>3.5199076745527913E-2</v>
      </c>
      <c r="F27" s="52">
        <v>99.8</v>
      </c>
      <c r="G27" s="99">
        <f t="shared" si="1"/>
        <v>3.4196891191709877E-2</v>
      </c>
      <c r="H27" s="170"/>
      <c r="I27" s="25"/>
      <c r="J27" s="25"/>
      <c r="T27" s="113" t="str">
        <f>IF(C27&gt;EOMONTH(DATE('Input|General'!$G$12,MONTH('Input|General'!$G$9),1),0),"Ok",IF(ISBLANK($F27),"Check","Ok"))</f>
        <v>Ok</v>
      </c>
    </row>
    <row r="28" spans="3:20">
      <c r="C28" s="53">
        <v>40908</v>
      </c>
      <c r="D28" s="52">
        <v>179.4</v>
      </c>
      <c r="E28" s="99">
        <f t="shared" si="0"/>
        <v>3.1034482758620641E-2</v>
      </c>
      <c r="F28" s="52">
        <v>99.8</v>
      </c>
      <c r="G28" s="99">
        <f t="shared" si="1"/>
        <v>2.9927760577915352E-2</v>
      </c>
      <c r="H28" s="170"/>
      <c r="I28" s="25"/>
      <c r="J28" s="25"/>
      <c r="T28" s="113" t="str">
        <f>IF(C28&gt;EOMONTH(DATE('Input|General'!$G$12,MONTH('Input|General'!$G$9),1),0),"Ok",IF(ISBLANK($F28),"Check","Ok"))</f>
        <v>Ok</v>
      </c>
    </row>
    <row r="29" spans="3:20">
      <c r="C29" s="53">
        <v>40999</v>
      </c>
      <c r="D29" s="52">
        <v>179.5</v>
      </c>
      <c r="E29" s="99">
        <f t="shared" si="0"/>
        <v>1.5846066779853007E-2</v>
      </c>
      <c r="F29" s="52">
        <v>99.9</v>
      </c>
      <c r="G29" s="99">
        <f t="shared" si="1"/>
        <v>1.6276703967446737E-2</v>
      </c>
      <c r="H29" s="170"/>
      <c r="I29" s="25"/>
      <c r="J29" s="25"/>
      <c r="T29" s="113" t="str">
        <f>IF(C29&gt;EOMONTH(DATE('Input|General'!$G$12,MONTH('Input|General'!$G$9),1),0),"Ok",IF(ISBLANK($F29),"Check","Ok"))</f>
        <v>Ok</v>
      </c>
    </row>
    <row r="30" spans="3:20">
      <c r="C30" s="53">
        <v>41090</v>
      </c>
      <c r="D30" s="25"/>
      <c r="E30" s="25"/>
      <c r="F30" s="52">
        <v>100.4</v>
      </c>
      <c r="G30" s="99">
        <f t="shared" si="1"/>
        <v>1.2096774193548487E-2</v>
      </c>
      <c r="H30" s="170"/>
      <c r="I30" s="25"/>
      <c r="J30" s="25"/>
      <c r="T30" s="113" t="str">
        <f>IF(C30&gt;EOMONTH(DATE('Input|General'!$G$12,MONTH('Input|General'!$G$9),1),0),"Ok",IF(ISBLANK($F30),"Check","Ok"))</f>
        <v>Ok</v>
      </c>
    </row>
    <row r="31" spans="3:20">
      <c r="C31" s="53">
        <v>41182</v>
      </c>
      <c r="D31" s="25"/>
      <c r="E31" s="25"/>
      <c r="F31" s="52">
        <v>101.8</v>
      </c>
      <c r="G31" s="99">
        <f t="shared" si="1"/>
        <v>2.0040080160320661E-2</v>
      </c>
      <c r="H31" s="170"/>
      <c r="I31" s="25"/>
      <c r="J31" s="25"/>
      <c r="T31" s="113" t="str">
        <f>IF(C31&gt;EOMONTH(DATE('Input|General'!$G$12,MONTH('Input|General'!$G$9),1),0),"Ok",IF(ISBLANK($F31),"Check","Ok"))</f>
        <v>Ok</v>
      </c>
    </row>
    <row r="32" spans="3:20">
      <c r="C32" s="53">
        <v>41274</v>
      </c>
      <c r="D32" s="25"/>
      <c r="E32" s="25"/>
      <c r="F32" s="52">
        <v>102</v>
      </c>
      <c r="G32" s="99">
        <f t="shared" si="1"/>
        <v>2.2044088176352838E-2</v>
      </c>
      <c r="H32" s="170"/>
      <c r="I32" s="25"/>
      <c r="J32" s="25"/>
      <c r="T32" s="113" t="str">
        <f>IF(C32&gt;EOMONTH(DATE('Input|General'!$G$12,MONTH('Input|General'!$G$9),1),0),"Ok",IF(ISBLANK($F32),"Check","Ok"))</f>
        <v>Ok</v>
      </c>
    </row>
    <row r="33" spans="3:20">
      <c r="C33" s="53">
        <v>41364</v>
      </c>
      <c r="D33" s="25"/>
      <c r="E33" s="25"/>
      <c r="F33" s="52">
        <v>102.4</v>
      </c>
      <c r="G33" s="99">
        <f t="shared" si="1"/>
        <v>2.5025025025025016E-2</v>
      </c>
      <c r="H33" s="170"/>
      <c r="I33" s="25"/>
      <c r="J33" s="25"/>
      <c r="T33" s="113" t="str">
        <f>IF(C33&gt;EOMONTH(DATE('Input|General'!$G$12,MONTH('Input|General'!$G$9),1),0),"Ok",IF(ISBLANK($F33),"Check","Ok"))</f>
        <v>Ok</v>
      </c>
    </row>
    <row r="34" spans="3:20">
      <c r="C34" s="53">
        <v>41455</v>
      </c>
      <c r="D34" s="25"/>
      <c r="E34" s="25"/>
      <c r="F34" s="52">
        <v>102.8</v>
      </c>
      <c r="G34" s="99">
        <f t="shared" si="1"/>
        <v>2.3904382470119501E-2</v>
      </c>
      <c r="H34" s="170"/>
      <c r="I34" s="25"/>
      <c r="J34" s="25"/>
      <c r="T34" s="113" t="str">
        <f>IF(C34&gt;EOMONTH(DATE('Input|General'!$G$12,MONTH('Input|General'!$G$9),1),0),"Ok",IF(ISBLANK($F34),"Check","Ok"))</f>
        <v>Ok</v>
      </c>
    </row>
    <row r="35" spans="3:20">
      <c r="C35" s="53">
        <v>41547</v>
      </c>
      <c r="D35" s="25"/>
      <c r="E35" s="25"/>
      <c r="F35" s="52">
        <v>104</v>
      </c>
      <c r="G35" s="99">
        <f t="shared" si="1"/>
        <v>2.16110019646365E-2</v>
      </c>
      <c r="H35" s="170"/>
      <c r="I35" s="25"/>
      <c r="J35" s="25"/>
      <c r="T35" s="113" t="str">
        <f>IF(C35&gt;EOMONTH(DATE('Input|General'!$G$12,MONTH('Input|General'!$G$9),1),0),"Ok",IF(ISBLANK($F35),"Check","Ok"))</f>
        <v>Ok</v>
      </c>
    </row>
    <row r="36" spans="3:20">
      <c r="C36" s="53">
        <v>41639</v>
      </c>
      <c r="D36" s="25"/>
      <c r="E36" s="25"/>
      <c r="F36" s="52">
        <v>104.8</v>
      </c>
      <c r="G36" s="99">
        <f t="shared" si="1"/>
        <v>2.7450980392156765E-2</v>
      </c>
      <c r="H36" s="170"/>
      <c r="I36" s="25"/>
      <c r="J36" s="25"/>
      <c r="T36" s="113" t="str">
        <f>IF(C36&gt;EOMONTH(DATE('Input|General'!$G$12,MONTH('Input|General'!$G$9),1),0),"Ok",IF(ISBLANK($F36),"Check","Ok"))</f>
        <v>Ok</v>
      </c>
    </row>
    <row r="37" spans="3:20">
      <c r="C37" s="53">
        <v>41729</v>
      </c>
      <c r="D37" s="25"/>
      <c r="E37" s="25"/>
      <c r="F37" s="52">
        <v>105.4</v>
      </c>
      <c r="G37" s="99">
        <f t="shared" si="1"/>
        <v>2.9296875E-2</v>
      </c>
      <c r="H37" s="170"/>
      <c r="I37" s="25"/>
      <c r="J37" s="25"/>
      <c r="T37" s="113" t="str">
        <f>IF(C37&gt;EOMONTH(DATE('Input|General'!$G$12,MONTH('Input|General'!$G$9),1),0),"Ok",IF(ISBLANK($F37),"Check","Ok"))</f>
        <v>Ok</v>
      </c>
    </row>
    <row r="38" spans="3:20">
      <c r="C38" s="53">
        <v>41820</v>
      </c>
      <c r="D38" s="25"/>
      <c r="E38" s="25"/>
      <c r="F38" s="52">
        <v>105.9</v>
      </c>
      <c r="G38" s="99">
        <f t="shared" si="1"/>
        <v>3.0155642023346418E-2</v>
      </c>
      <c r="H38" s="170"/>
      <c r="I38" s="25"/>
      <c r="J38" s="25"/>
      <c r="T38" s="113" t="str">
        <f>IF(C38&gt;EOMONTH(DATE('Input|General'!$G$12,MONTH('Input|General'!$G$9),1),0),"Ok",IF(ISBLANK($F38),"Check","Ok"))</f>
        <v>Ok</v>
      </c>
    </row>
    <row r="39" spans="3:20">
      <c r="C39" s="53">
        <v>41912</v>
      </c>
      <c r="D39" s="25"/>
      <c r="E39" s="25"/>
      <c r="F39" s="52">
        <v>106.4</v>
      </c>
      <c r="G39" s="99">
        <f t="shared" si="1"/>
        <v>2.3076923076923217E-2</v>
      </c>
      <c r="H39" s="170"/>
      <c r="I39" s="25"/>
      <c r="J39" s="25"/>
      <c r="T39" s="113" t="str">
        <f>IF(C39&gt;EOMONTH(DATE('Input|General'!$G$12,MONTH('Input|General'!$G$9),1),0),"Ok",IF(ISBLANK($F39),"Check","Ok"))</f>
        <v>Ok</v>
      </c>
    </row>
    <row r="40" spans="3:20">
      <c r="C40" s="53">
        <v>42004</v>
      </c>
      <c r="D40" s="25"/>
      <c r="E40" s="25"/>
      <c r="F40" s="52">
        <v>106.6</v>
      </c>
      <c r="G40" s="99">
        <f t="shared" si="1"/>
        <v>1.7175572519083859E-2</v>
      </c>
      <c r="H40" s="170"/>
      <c r="I40" s="25"/>
      <c r="J40" s="25"/>
      <c r="T40" s="113" t="str">
        <f>IF(C40&gt;EOMONTH(DATE('Input|General'!$G$12,MONTH('Input|General'!$G$9),1),0),"Ok",IF(ISBLANK($F40),"Check","Ok"))</f>
        <v>Ok</v>
      </c>
    </row>
    <row r="41" spans="3:20">
      <c r="C41" s="53">
        <v>42094</v>
      </c>
      <c r="D41" s="25"/>
      <c r="E41" s="25"/>
      <c r="F41" s="52">
        <v>106.8</v>
      </c>
      <c r="G41" s="99">
        <f t="shared" si="1"/>
        <v>1.3282732447817747E-2</v>
      </c>
      <c r="H41" s="170"/>
      <c r="I41" s="25"/>
      <c r="J41" s="25"/>
      <c r="T41" s="113" t="str">
        <f>IF(C41&gt;EOMONTH(DATE('Input|General'!$G$12,MONTH('Input|General'!$G$9),1),0),"Ok",IF(ISBLANK($F41),"Check","Ok"))</f>
        <v>Ok</v>
      </c>
    </row>
    <row r="42" spans="3:20">
      <c r="C42" s="53">
        <v>42185</v>
      </c>
      <c r="D42" s="25"/>
      <c r="E42" s="25"/>
      <c r="F42" s="52">
        <v>107.5</v>
      </c>
      <c r="G42" s="99">
        <f t="shared" si="1"/>
        <v>1.5108593012275628E-2</v>
      </c>
      <c r="H42" s="170"/>
      <c r="I42" s="25"/>
      <c r="J42" s="25"/>
      <c r="T42" s="113" t="str">
        <f>IF(C42&gt;EOMONTH(DATE('Input|General'!$G$12,MONTH('Input|General'!$G$9),1),0),"Ok",IF(ISBLANK($F42),"Check","Ok"))</f>
        <v>Ok</v>
      </c>
    </row>
    <row r="43" spans="3:20">
      <c r="C43" s="53">
        <v>42277</v>
      </c>
      <c r="D43" s="25"/>
      <c r="E43" s="25"/>
      <c r="F43" s="52">
        <v>108</v>
      </c>
      <c r="G43" s="99">
        <f t="shared" si="1"/>
        <v>1.5037593984962294E-2</v>
      </c>
      <c r="H43" s="170"/>
      <c r="I43" s="25"/>
      <c r="J43" s="25"/>
      <c r="T43" s="113" t="str">
        <f>IF(C43&gt;EOMONTH(DATE('Input|General'!$G$12,MONTH('Input|General'!$G$9),1),0),"Ok",IF(ISBLANK($F43),"Check","Ok"))</f>
        <v>Ok</v>
      </c>
    </row>
    <row r="44" spans="3:20">
      <c r="C44" s="53">
        <v>42369</v>
      </c>
      <c r="D44" s="25"/>
      <c r="E44" s="25"/>
      <c r="F44" s="52">
        <v>108.4</v>
      </c>
      <c r="G44" s="99">
        <f t="shared" si="1"/>
        <v>1.6885553470919357E-2</v>
      </c>
      <c r="H44" s="170"/>
      <c r="I44" s="25"/>
      <c r="J44" s="25"/>
      <c r="T44" s="113" t="str">
        <f>IF(C44&gt;EOMONTH(DATE('Input|General'!$G$12,MONTH('Input|General'!$G$9),1),0),"Ok",IF(ISBLANK($F44),"Check","Ok"))</f>
        <v>Ok</v>
      </c>
    </row>
    <row r="45" spans="3:20">
      <c r="C45" s="53">
        <v>42460</v>
      </c>
      <c r="D45" s="25"/>
      <c r="E45" s="25"/>
      <c r="F45" s="52">
        <v>108.2</v>
      </c>
      <c r="G45" s="99">
        <f t="shared" si="1"/>
        <v>1.3108614232209881E-2</v>
      </c>
      <c r="H45" s="170"/>
      <c r="I45" s="25"/>
      <c r="J45" s="25"/>
      <c r="T45" s="113" t="str">
        <f>IF(C45&gt;EOMONTH(DATE('Input|General'!$G$12,MONTH('Input|General'!$G$9),1),0),"Ok",IF(ISBLANK($F45),"Check","Ok"))</f>
        <v>Ok</v>
      </c>
    </row>
    <row r="46" spans="3:20">
      <c r="C46" s="53">
        <v>42551</v>
      </c>
      <c r="D46" s="25"/>
      <c r="E46" s="25"/>
      <c r="F46" s="52">
        <v>108.6</v>
      </c>
      <c r="G46" s="99">
        <f t="shared" si="1"/>
        <v>1.0232558139534831E-2</v>
      </c>
      <c r="H46" s="170"/>
      <c r="I46" s="25"/>
      <c r="J46" s="25"/>
      <c r="T46" s="113" t="str">
        <f>IF(C46&gt;EOMONTH(DATE('Input|General'!$G$12,MONTH('Input|General'!$G$9),1),0),"Ok",IF(ISBLANK($F46),"Check","Ok"))</f>
        <v>Ok</v>
      </c>
    </row>
    <row r="47" spans="3:20">
      <c r="C47" s="53">
        <v>42643</v>
      </c>
      <c r="D47" s="25"/>
      <c r="E47" s="25"/>
      <c r="F47" s="52">
        <v>109.4</v>
      </c>
      <c r="G47" s="99">
        <f t="shared" si="1"/>
        <v>1.2962962962963065E-2</v>
      </c>
      <c r="H47" s="170"/>
      <c r="I47" s="25"/>
      <c r="J47" s="25"/>
      <c r="T47" s="113" t="str">
        <f>IF(C47&gt;EOMONTH(DATE('Input|General'!$G$12,MONTH('Input|General'!$G$9),1),0),"Ok",IF(ISBLANK($F47),"Check","Ok"))</f>
        <v>Ok</v>
      </c>
    </row>
    <row r="48" spans="3:20">
      <c r="C48" s="53">
        <v>42735</v>
      </c>
      <c r="D48" s="25"/>
      <c r="E48" s="25"/>
      <c r="F48" s="52">
        <v>110</v>
      </c>
      <c r="G48" s="99">
        <f t="shared" si="1"/>
        <v>1.4760147601476037E-2</v>
      </c>
      <c r="H48" s="170"/>
      <c r="I48" s="25"/>
      <c r="J48" s="25"/>
      <c r="T48" s="113" t="str">
        <f>IF(C48&gt;EOMONTH(DATE('Input|General'!$G$12,MONTH('Input|General'!$G$9),1),0),"Ok",IF(ISBLANK($F48),"Check","Ok"))</f>
        <v>Ok</v>
      </c>
    </row>
    <row r="49" spans="3:20">
      <c r="C49" s="53">
        <v>42825</v>
      </c>
      <c r="D49" s="25"/>
      <c r="E49" s="25"/>
      <c r="F49" s="52">
        <v>110.5</v>
      </c>
      <c r="G49" s="99">
        <f t="shared" si="1"/>
        <v>2.1256931608133023E-2</v>
      </c>
      <c r="H49" s="170"/>
      <c r="I49" s="25"/>
      <c r="J49" s="25"/>
      <c r="T49" s="113" t="str">
        <f>IF(C49&gt;EOMONTH(DATE('Input|General'!$G$12,MONTH('Input|General'!$G$9),1),0),"Ok",IF(ISBLANK($F49),"Check","Ok"))</f>
        <v>Ok</v>
      </c>
    </row>
    <row r="50" spans="3:20">
      <c r="C50" s="53">
        <v>42916</v>
      </c>
      <c r="D50" s="25"/>
      <c r="E50" s="25"/>
      <c r="F50" s="52">
        <v>110.7</v>
      </c>
      <c r="G50" s="99">
        <f t="shared" si="1"/>
        <v>1.9337016574585641E-2</v>
      </c>
      <c r="H50" s="171"/>
      <c r="I50" s="25"/>
      <c r="J50" s="25"/>
      <c r="T50" s="113" t="str">
        <f>IF(C50&gt;EOMONTH(DATE('Input|General'!$G$12,MONTH('Input|General'!$G$9),1),0),"Ok",IF(ISBLANK($F50),"Check","Ok"))</f>
        <v>Ok</v>
      </c>
    </row>
    <row r="51" spans="3:20">
      <c r="C51" s="53">
        <v>43008</v>
      </c>
      <c r="D51" s="25"/>
      <c r="E51" s="25"/>
      <c r="F51" s="52">
        <v>111.4</v>
      </c>
      <c r="G51" s="99">
        <f t="shared" si="1"/>
        <v>1.8281535648994485E-2</v>
      </c>
      <c r="H51" s="170"/>
      <c r="I51" s="25"/>
      <c r="J51" s="25"/>
      <c r="T51" s="113" t="str">
        <f>IF(C51&gt;EOMONTH(DATE('Input|General'!$G$12,MONTH('Input|General'!$G$9),1),0),"Ok",IF(ISBLANK($F51),"Check","Ok"))</f>
        <v>Ok</v>
      </c>
    </row>
    <row r="52" spans="3:20">
      <c r="C52" s="53">
        <v>43100</v>
      </c>
      <c r="D52" s="25"/>
      <c r="E52" s="25"/>
      <c r="F52" s="52">
        <v>112.1</v>
      </c>
      <c r="G52" s="99">
        <f t="shared" si="1"/>
        <v>1.9090909090909047E-2</v>
      </c>
      <c r="H52" s="170"/>
      <c r="I52" s="25"/>
      <c r="J52" s="25"/>
      <c r="T52" s="113" t="str">
        <f>IF(C52&gt;EOMONTH(DATE('Input|General'!$G$12,MONTH('Input|General'!$G$9),1),0),"Ok",IF(ISBLANK($F52),"Check","Ok"))</f>
        <v>Ok</v>
      </c>
    </row>
    <row r="53" spans="3:20">
      <c r="C53" s="53">
        <v>43190</v>
      </c>
      <c r="D53" s="25"/>
      <c r="E53" s="25"/>
      <c r="F53" s="52">
        <v>112.6</v>
      </c>
      <c r="G53" s="99">
        <f t="shared" si="1"/>
        <v>1.9004524886877761E-2</v>
      </c>
      <c r="H53" s="170"/>
      <c r="I53" s="25"/>
      <c r="J53" s="25"/>
      <c r="T53" s="113" t="str">
        <f>IF(C53&gt;EOMONTH(DATE('Input|General'!$G$12,MONTH('Input|General'!$G$9),1),0),"Ok",IF(ISBLANK($F53),"Check","Ok"))</f>
        <v>Ok</v>
      </c>
    </row>
    <row r="54" spans="3:20">
      <c r="C54" s="53">
        <v>43281</v>
      </c>
      <c r="D54" s="25"/>
      <c r="E54" s="25"/>
      <c r="F54" s="52">
        <v>113</v>
      </c>
      <c r="G54" s="99">
        <f t="shared" si="1"/>
        <v>2.0776874435411097E-2</v>
      </c>
      <c r="H54" s="170"/>
      <c r="I54" s="25"/>
      <c r="J54" s="25"/>
      <c r="T54" s="113" t="str">
        <f>IF(C54&gt;EOMONTH(DATE('Input|General'!$G$12,MONTH('Input|General'!$G$9),1),0),"Ok",IF(ISBLANK($F54),"Check","Ok"))</f>
        <v>Ok</v>
      </c>
    </row>
    <row r="55" spans="3:20">
      <c r="C55" s="53">
        <v>43373</v>
      </c>
      <c r="D55" s="25"/>
      <c r="E55" s="25"/>
      <c r="F55" s="208">
        <v>113.5</v>
      </c>
      <c r="G55" s="99">
        <f t="shared" si="1"/>
        <v>1.8850987432674993E-2</v>
      </c>
      <c r="H55" s="209"/>
      <c r="I55" s="206"/>
      <c r="J55" s="206"/>
      <c r="K55" s="206"/>
      <c r="L55" s="206"/>
      <c r="M55" s="206"/>
      <c r="T55" s="113" t="str">
        <f>IF(C55&gt;EOMONTH(DATE('Input|General'!$G$12,MONTH('Input|General'!$G$9),1),0),"Ok",IF(ISBLANK($F55),"Check","Ok"))</f>
        <v>Ok</v>
      </c>
    </row>
    <row r="56" spans="3:20">
      <c r="C56" s="53">
        <v>43465</v>
      </c>
      <c r="D56" s="25"/>
      <c r="E56" s="25"/>
      <c r="F56" s="208">
        <v>114.1</v>
      </c>
      <c r="G56" s="99">
        <f t="shared" si="1"/>
        <v>1.7841213202497874E-2</v>
      </c>
      <c r="H56" s="209"/>
      <c r="I56" s="206"/>
      <c r="J56" s="206"/>
      <c r="K56" s="206"/>
      <c r="L56" s="206"/>
      <c r="M56" s="206"/>
      <c r="T56" s="113" t="str">
        <f>IF(C56&gt;EOMONTH(DATE('Input|General'!$G$12,MONTH('Input|General'!$G$9),1),0),"Ok",IF(ISBLANK($F56),"Check","Ok"))</f>
        <v>Ok</v>
      </c>
    </row>
    <row r="57" spans="3:20">
      <c r="C57" s="53">
        <v>43555</v>
      </c>
      <c r="D57" s="25"/>
      <c r="E57" s="25"/>
      <c r="F57" s="52">
        <f>AVERAGE(F56,F58)</f>
        <v>114.68</v>
      </c>
      <c r="G57" s="99">
        <f t="shared" si="1"/>
        <v>1.8472468916518769E-2</v>
      </c>
      <c r="H57" s="196" t="s">
        <v>184</v>
      </c>
      <c r="I57" s="25"/>
      <c r="J57" s="25"/>
      <c r="T57" s="113" t="str">
        <f>IF(C57&gt;EOMONTH(DATE('Input|General'!$G$12,MONTH('Input|General'!$G$9),1),0),"Ok",IF(ISBLANK($F57),"Check","Ok"))</f>
        <v>Ok</v>
      </c>
    </row>
    <row r="58" spans="3:20">
      <c r="C58" s="53">
        <v>43646</v>
      </c>
      <c r="D58" s="25"/>
      <c r="E58" s="203"/>
      <c r="F58" s="52">
        <f>F54*1.02</f>
        <v>115.26</v>
      </c>
      <c r="G58" s="99">
        <f t="shared" si="1"/>
        <v>2.0000000000000018E-2</v>
      </c>
      <c r="H58" s="170" t="s">
        <v>186</v>
      </c>
      <c r="I58" s="25"/>
      <c r="J58" s="25"/>
      <c r="T58" s="113" t="str">
        <f>IF(C58&gt;EOMONTH(DATE('Input|General'!$G$12,MONTH('Input|General'!$G$9),1),0),"Ok",IF(ISBLANK($F58),"Check","Ok"))</f>
        <v>Ok</v>
      </c>
    </row>
    <row r="59" spans="3:20">
      <c r="C59" s="53">
        <v>43738</v>
      </c>
      <c r="D59" s="25"/>
      <c r="E59" s="25"/>
      <c r="F59" s="52">
        <f>AVERAGE(F58,F60)</f>
        <v>115.96362500000001</v>
      </c>
      <c r="G59" s="99">
        <f t="shared" si="1"/>
        <v>2.170594713656393E-2</v>
      </c>
      <c r="H59" s="196" t="s">
        <v>184</v>
      </c>
      <c r="I59" s="25"/>
      <c r="J59" s="25"/>
      <c r="T59" s="113" t="str">
        <f>IF(C59&gt;EOMONTH(DATE('Input|General'!$G$12,MONTH('Input|General'!$G$9),1),0),"Ok",IF(ISBLANK($F59),"Check","Ok"))</f>
        <v>Ok</v>
      </c>
    </row>
    <row r="60" spans="3:20">
      <c r="C60" s="53">
        <v>43830</v>
      </c>
      <c r="D60" s="25"/>
      <c r="E60" s="25"/>
      <c r="F60" s="52">
        <f>F56*1.0225</f>
        <v>116.66725</v>
      </c>
      <c r="G60" s="99">
        <f t="shared" si="1"/>
        <v>2.2499999999999964E-2</v>
      </c>
      <c r="H60" s="170" t="s">
        <v>186</v>
      </c>
      <c r="I60" s="25"/>
      <c r="J60" s="25"/>
      <c r="T60" s="113" t="str">
        <f>IF(C60&gt;EOMONTH(DATE('Input|General'!$G$12,MONTH('Input|General'!$G$9),1),0),"Ok",IF(ISBLANK($F60),"Check","Ok"))</f>
        <v>Ok</v>
      </c>
    </row>
    <row r="61" spans="3:20">
      <c r="C61" s="53">
        <v>43921</v>
      </c>
      <c r="D61" s="25"/>
      <c r="E61" s="25"/>
      <c r="F61" s="52">
        <f>AVERAGE(F60,F62)</f>
        <v>117.2603</v>
      </c>
      <c r="G61" s="99">
        <f t="shared" si="1"/>
        <v>2.2499999999999964E-2</v>
      </c>
      <c r="H61" s="196" t="s">
        <v>184</v>
      </c>
      <c r="I61" s="25"/>
      <c r="J61" s="25"/>
      <c r="T61" s="113" t="str">
        <f>IF(C61&gt;EOMONTH(DATE('Input|General'!$G$12,MONTH('Input|General'!$G$9),1),0),"Ok",IF(ISBLANK($F61),"Check","Ok"))</f>
        <v>Ok</v>
      </c>
    </row>
    <row r="62" spans="3:20">
      <c r="C62" s="53">
        <v>44012</v>
      </c>
      <c r="D62" s="25"/>
      <c r="E62" s="25"/>
      <c r="F62" s="52">
        <f>F58*1.0225</f>
        <v>117.85335000000001</v>
      </c>
      <c r="G62" s="99">
        <f t="shared" si="1"/>
        <v>2.2499999999999964E-2</v>
      </c>
      <c r="H62" s="170" t="s">
        <v>186</v>
      </c>
      <c r="I62" s="25"/>
      <c r="J62" s="25"/>
      <c r="T62" s="113" t="str">
        <f>IF(C62&gt;EOMONTH(DATE('Input|General'!$G$12,MONTH('Input|General'!$G$9),1),0),"Ok",IF(ISBLANK($F62),"Check","Ok"))</f>
        <v>Ok</v>
      </c>
    </row>
    <row r="63" spans="3:20">
      <c r="C63" s="53">
        <v>44104</v>
      </c>
      <c r="D63" s="25"/>
      <c r="E63" s="25"/>
      <c r="F63" s="52"/>
      <c r="G63" s="99" t="str">
        <f t="shared" si="1"/>
        <v/>
      </c>
      <c r="H63" s="170"/>
      <c r="I63" s="25"/>
      <c r="J63" s="25"/>
      <c r="T63" s="113" t="str">
        <f>IF(C63&gt;EOMONTH(DATE('Input|General'!$G$12,MONTH('Input|General'!$G$9),1),0),"Ok",IF(ISBLANK($F63),"Check","Ok"))</f>
        <v>Ok</v>
      </c>
    </row>
    <row r="64" spans="3:20">
      <c r="C64" s="53">
        <v>44196</v>
      </c>
      <c r="D64" s="25"/>
      <c r="E64" s="25"/>
      <c r="F64" s="52"/>
      <c r="G64" s="99" t="str">
        <f t="shared" si="1"/>
        <v/>
      </c>
      <c r="H64" s="170"/>
      <c r="I64" s="25"/>
      <c r="J64" s="25"/>
      <c r="T64" s="113" t="str">
        <f>IF(C64&gt;EOMONTH(DATE('Input|General'!$G$12,MONTH('Input|General'!$G$9),1),0),"Ok",IF(ISBLANK($F64),"Check","Ok"))</f>
        <v>Ok</v>
      </c>
    </row>
    <row r="65" spans="1:24">
      <c r="F65" s="25"/>
      <c r="G65" s="25"/>
      <c r="H65" s="25"/>
      <c r="I65" s="25"/>
      <c r="J65" s="25"/>
      <c r="T65" s="114"/>
    </row>
    <row r="66" spans="1:24" s="85" customFormat="1" ht="12.75">
      <c r="A66" s="79"/>
      <c r="B66" s="80" t="s">
        <v>21</v>
      </c>
      <c r="C66" s="79"/>
      <c r="D66" s="79"/>
      <c r="E66" s="79"/>
      <c r="F66" s="79"/>
      <c r="G66" s="81"/>
      <c r="H66" s="81"/>
      <c r="I66" s="81"/>
      <c r="J66" s="81"/>
      <c r="K66" s="82"/>
      <c r="L66" s="83"/>
      <c r="M66" s="82"/>
      <c r="N66" s="83"/>
      <c r="O66" s="82"/>
      <c r="P66" s="82"/>
      <c r="Q66" s="82"/>
      <c r="R66" s="82"/>
      <c r="S66" s="82"/>
      <c r="T66" s="82"/>
      <c r="U66" s="82"/>
      <c r="V66" s="82"/>
      <c r="W66" s="83"/>
      <c r="X66" s="83"/>
    </row>
    <row r="67" spans="1:24" hidden="1">
      <c r="D67" s="25"/>
      <c r="E67" s="25"/>
      <c r="F67" s="25"/>
      <c r="G67" s="25"/>
      <c r="H67" s="25"/>
      <c r="I67" s="25"/>
      <c r="J67" s="25"/>
    </row>
    <row r="68" spans="1:24" hidden="1">
      <c r="D68" s="25"/>
      <c r="E68" s="25"/>
      <c r="F68" s="25"/>
      <c r="G68" s="25"/>
      <c r="H68" s="25"/>
      <c r="I68" s="25"/>
      <c r="J68" s="25"/>
    </row>
    <row r="69" spans="1:24" s="26" customFormat="1" hidden="1"/>
    <row r="70" spans="1:24" s="26" customFormat="1" hidden="1"/>
    <row r="71" spans="1:24" s="26" customFormat="1" hidden="1"/>
    <row r="72" spans="1:24" s="26" customFormat="1" hidden="1"/>
    <row r="73" spans="1:24" s="26" customFormat="1" hidden="1"/>
    <row r="74" spans="1:24" s="26" customFormat="1" hidden="1"/>
    <row r="75" spans="1:24" s="26" customFormat="1" hidden="1"/>
    <row r="76" spans="1:24" s="26" customFormat="1" hidden="1"/>
  </sheetData>
  <conditionalFormatting sqref="X14:X50 T65 X63:X65">
    <cfRule type="cellIs" dxfId="190" priority="11" operator="equal">
      <formula>"Check"</formula>
    </cfRule>
    <cfRule type="cellIs" dxfId="189" priority="12" operator="equal">
      <formula>"Ok"</formula>
    </cfRule>
  </conditionalFormatting>
  <conditionalFormatting sqref="W1">
    <cfRule type="cellIs" dxfId="188" priority="7" operator="equal">
      <formula>"Check"</formula>
    </cfRule>
    <cfRule type="cellIs" dxfId="187" priority="8" operator="equal">
      <formula>"Ok"</formula>
    </cfRule>
  </conditionalFormatting>
  <conditionalFormatting sqref="T1">
    <cfRule type="cellIs" dxfId="186" priority="5" operator="equal">
      <formula>"Check"</formula>
    </cfRule>
    <cfRule type="cellIs" dxfId="185" priority="6" operator="equal">
      <formula>"Ok"</formula>
    </cfRule>
  </conditionalFormatting>
  <conditionalFormatting sqref="X51:X57">
    <cfRule type="cellIs" dxfId="184" priority="3" operator="equal">
      <formula>"Check"</formula>
    </cfRule>
    <cfRule type="cellIs" dxfId="183" priority="4" operator="equal">
      <formula>"Ok"</formula>
    </cfRule>
  </conditionalFormatting>
  <conditionalFormatting sqref="X58:X62 T9:T64">
    <cfRule type="cellIs" dxfId="182" priority="1" operator="equal">
      <formula>"Check"</formula>
    </cfRule>
    <cfRule type="cellIs" dxfId="181" priority="2" operator="equal">
      <formula>"Ok"</formula>
    </cfRule>
  </conditionalFormatting>
  <dataValidations count="2">
    <dataValidation type="list" allowBlank="1" showInputMessage="1" showErrorMessage="1" sqref="G65">
      <formula1>"Real 2010,Real 2011,Real 2012,Real 2013,Real 2014,Real 2015,Nominal"</formula1>
    </dataValidation>
    <dataValidation type="list" allowBlank="1" showInputMessage="1" showErrorMessage="1" sqref="J12:J65">
      <formula1>#REF!</formula1>
    </dataValidation>
  </dataValidations>
  <hyperlinks>
    <hyperlink ref="K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rgb="FFFFFF99"/>
  </sheetPr>
  <dimension ref="A1:W69"/>
  <sheetViews>
    <sheetView showGridLines="0" workbookViewId="0">
      <selection activeCell="R46" sqref="R46"/>
    </sheetView>
  </sheetViews>
  <sheetFormatPr defaultColWidth="0" defaultRowHeight="11.25" zeroHeight="1"/>
  <cols>
    <col min="1" max="2" width="1.6640625" style="85" customWidth="1"/>
    <col min="3" max="3" width="49.83203125" style="85" bestFit="1" customWidth="1"/>
    <col min="4" max="6" width="13.33203125" style="85" customWidth="1"/>
    <col min="7" max="9" width="3.33203125" style="85" customWidth="1"/>
    <col min="10" max="23" width="10.83203125" style="85" customWidth="1"/>
    <col min="24" max="16384" width="9.33203125" style="85" hidden="1"/>
  </cols>
  <sheetData>
    <row r="1" spans="1:23" ht="15.75">
      <c r="A1" s="58"/>
      <c r="B1" s="59"/>
      <c r="C1" s="59" t="str">
        <f>Index!$B$1</f>
        <v>AER opex model</v>
      </c>
      <c r="D1" s="59"/>
      <c r="E1" s="59"/>
      <c r="F1" s="60"/>
      <c r="G1" s="60"/>
      <c r="H1" s="60"/>
      <c r="I1" s="60"/>
      <c r="J1" s="33" t="s">
        <v>2</v>
      </c>
      <c r="K1" s="58"/>
      <c r="L1" s="61" t="s">
        <v>3</v>
      </c>
      <c r="M1" s="62" t="s">
        <v>4</v>
      </c>
      <c r="N1" s="63" t="s">
        <v>5</v>
      </c>
      <c r="O1" s="64" t="s">
        <v>6</v>
      </c>
      <c r="P1" s="58"/>
      <c r="Q1" s="58"/>
      <c r="R1" s="61" t="s">
        <v>86</v>
      </c>
      <c r="S1" s="65" t="str">
        <f>IF(COUNTA($W$37:$W$262)=COUNTIF($W$37:$W$262,"OK"),"OK","Check")</f>
        <v>OK</v>
      </c>
      <c r="T1" s="58"/>
      <c r="U1" s="169" t="s">
        <v>24</v>
      </c>
      <c r="V1" s="65" t="str">
        <f>'Check|List'!$S$1</f>
        <v>Ok</v>
      </c>
      <c r="W1" s="58"/>
    </row>
    <row r="2" spans="1:23" ht="13.5" thickBot="1">
      <c r="A2" s="66"/>
      <c r="B2" s="67"/>
      <c r="C2" s="67" t="str">
        <f>Index!$C$9</f>
        <v>Input | Reported opex</v>
      </c>
      <c r="D2" s="67"/>
      <c r="E2" s="67"/>
      <c r="F2" s="68"/>
      <c r="G2" s="68"/>
      <c r="H2" s="68"/>
      <c r="I2" s="68"/>
      <c r="J2" s="66"/>
      <c r="K2" s="66"/>
      <c r="L2" s="66"/>
      <c r="M2" s="66"/>
      <c r="N2" s="66"/>
      <c r="O2" s="66"/>
      <c r="P2" s="66"/>
      <c r="Q2" s="66"/>
      <c r="R2" s="66"/>
      <c r="S2" s="66"/>
      <c r="T2" s="66"/>
      <c r="U2" s="66"/>
      <c r="V2" s="66"/>
      <c r="W2" s="66"/>
    </row>
    <row r="3" spans="1:23">
      <c r="A3" s="115"/>
      <c r="B3" s="115"/>
      <c r="C3" s="116"/>
      <c r="D3" s="117"/>
      <c r="E3" s="117"/>
      <c r="F3" s="117"/>
      <c r="G3" s="117"/>
      <c r="H3" s="117"/>
      <c r="I3" s="117"/>
      <c r="J3" s="140" t="s">
        <v>121</v>
      </c>
      <c r="K3" s="139"/>
      <c r="L3" s="139"/>
      <c r="M3" s="139"/>
      <c r="N3" s="139"/>
      <c r="O3" s="139"/>
      <c r="P3" s="139"/>
      <c r="Q3" s="139"/>
      <c r="R3" s="139"/>
      <c r="S3" s="139"/>
      <c r="T3" s="118"/>
      <c r="U3" s="118"/>
      <c r="V3" s="118"/>
      <c r="W3" s="118"/>
    </row>
    <row r="4" spans="1:23">
      <c r="A4" s="72"/>
      <c r="B4" s="72"/>
      <c r="C4" s="72"/>
      <c r="D4" s="73" t="s">
        <v>7</v>
      </c>
      <c r="E4" s="73" t="s">
        <v>8</v>
      </c>
      <c r="F4" s="74" t="s">
        <v>22</v>
      </c>
      <c r="G4" s="75"/>
      <c r="H4" s="75"/>
      <c r="I4" s="75"/>
      <c r="J4" s="138">
        <f>DATE(PPFirstYear,MONTH('Input|General'!$G$9),1)</f>
        <v>42156</v>
      </c>
      <c r="K4" s="138">
        <f>DATE(PPFirstYear+1,MONTH('Input|General'!$G$9),1)</f>
        <v>42522</v>
      </c>
      <c r="L4" s="138">
        <f>DATE(PPFirstYear+2,MONTH('Input|General'!$G$9),1)</f>
        <v>42887</v>
      </c>
      <c r="M4" s="138">
        <f>DATE(PPFirstYear+3,MONTH('Input|General'!$G$9),1)</f>
        <v>43252</v>
      </c>
      <c r="N4" s="138">
        <f>DATE(PPFirstYear+4,MONTH('Input|General'!$G$9),1)</f>
        <v>43617</v>
      </c>
      <c r="O4" s="138">
        <f>DATE(PPFirstYear+5,MONTH('Input|General'!$G$9),1)</f>
        <v>43983</v>
      </c>
      <c r="P4" s="138">
        <f>DATE(PPFirstYear+6,MONTH('Input|General'!$G$9),1)</f>
        <v>44348</v>
      </c>
      <c r="Q4" s="138">
        <f>DATE(PPFirstYear+7,MONTH('Input|General'!$G$9),1)</f>
        <v>44713</v>
      </c>
      <c r="R4" s="138">
        <f>DATE(PPFirstYear+8,MONTH('Input|General'!$G$9),1)</f>
        <v>45078</v>
      </c>
      <c r="S4" s="138">
        <f>DATE(PPFirstYear+9,MONTH('Input|General'!$G$9),1)</f>
        <v>45444</v>
      </c>
      <c r="T4" s="76"/>
      <c r="U4" s="76"/>
      <c r="V4" s="77"/>
      <c r="W4" s="77"/>
    </row>
    <row r="5" spans="1:23">
      <c r="A5" s="23"/>
      <c r="B5" s="23"/>
      <c r="C5" s="23"/>
      <c r="D5" s="24"/>
      <c r="E5" s="24"/>
      <c r="F5" s="24"/>
      <c r="G5" s="24"/>
      <c r="H5" s="24"/>
      <c r="I5" s="24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</row>
    <row r="6" spans="1:23">
      <c r="A6" s="23"/>
      <c r="B6" s="23"/>
      <c r="C6" s="23"/>
      <c r="D6" s="24"/>
      <c r="E6" s="24"/>
      <c r="F6" s="24"/>
      <c r="G6" s="24"/>
      <c r="H6" s="24"/>
      <c r="I6" s="24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/>
    </row>
    <row r="7" spans="1:23">
      <c r="A7" s="23"/>
      <c r="B7" s="23"/>
      <c r="C7" s="23"/>
      <c r="D7" s="24"/>
      <c r="E7" s="24"/>
      <c r="F7" s="24"/>
      <c r="G7" s="24"/>
      <c r="H7" s="24"/>
      <c r="I7" s="24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/>
    </row>
    <row r="8" spans="1:23" ht="12.75">
      <c r="A8" s="79"/>
      <c r="B8" s="80" t="s">
        <v>45</v>
      </c>
      <c r="C8" s="79"/>
      <c r="D8" s="79"/>
      <c r="E8" s="79"/>
      <c r="F8" s="81"/>
      <c r="G8" s="81"/>
      <c r="H8" s="81"/>
      <c r="I8" s="81"/>
      <c r="J8" s="82"/>
      <c r="K8" s="83"/>
      <c r="L8" s="82"/>
      <c r="M8" s="83"/>
      <c r="N8" s="82"/>
      <c r="O8" s="82"/>
      <c r="P8" s="82"/>
      <c r="Q8" s="82"/>
      <c r="R8" s="82"/>
      <c r="S8" s="82"/>
      <c r="T8" s="82"/>
      <c r="U8" s="82"/>
      <c r="V8" s="83"/>
      <c r="W8" s="83"/>
    </row>
    <row r="9" spans="1:23">
      <c r="A9" s="25"/>
      <c r="B9" s="25"/>
      <c r="C9" s="25"/>
      <c r="D9" s="26"/>
      <c r="E9" s="26"/>
      <c r="F9" s="26"/>
      <c r="G9" s="28"/>
      <c r="H9" s="28"/>
      <c r="I9" s="26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  <c r="U9" s="25"/>
      <c r="V9" s="25"/>
      <c r="W9" s="25"/>
    </row>
    <row r="10" spans="1:23">
      <c r="A10" s="25"/>
      <c r="B10" s="25"/>
      <c r="C10" s="56" t="s">
        <v>80</v>
      </c>
      <c r="D10" s="28" t="s">
        <v>7</v>
      </c>
      <c r="E10" s="28" t="s">
        <v>8</v>
      </c>
      <c r="F10" s="28" t="s">
        <v>22</v>
      </c>
      <c r="G10" s="28"/>
      <c r="H10" s="28"/>
      <c r="I10" s="26"/>
      <c r="J10" s="141">
        <f t="shared" ref="J10:S10" si="0">IF(YEAR(J$4)&lt;=PPLastYear,J$4,"")</f>
        <v>42156</v>
      </c>
      <c r="K10" s="141">
        <f t="shared" si="0"/>
        <v>42522</v>
      </c>
      <c r="L10" s="141">
        <f t="shared" si="0"/>
        <v>42887</v>
      </c>
      <c r="M10" s="141">
        <f t="shared" si="0"/>
        <v>43252</v>
      </c>
      <c r="N10" s="141">
        <f t="shared" si="0"/>
        <v>43617</v>
      </c>
      <c r="O10" s="141" t="str">
        <f t="shared" si="0"/>
        <v/>
      </c>
      <c r="P10" s="141" t="str">
        <f t="shared" si="0"/>
        <v/>
      </c>
      <c r="Q10" s="141" t="str">
        <f t="shared" si="0"/>
        <v/>
      </c>
      <c r="R10" s="141" t="str">
        <f t="shared" si="0"/>
        <v/>
      </c>
      <c r="S10" s="141" t="str">
        <f t="shared" si="0"/>
        <v/>
      </c>
      <c r="T10" s="119" t="s">
        <v>57</v>
      </c>
      <c r="U10" s="120"/>
      <c r="V10" s="120"/>
      <c r="W10" s="25"/>
    </row>
    <row r="11" spans="1:23">
      <c r="A11" s="25"/>
      <c r="B11" s="25"/>
      <c r="C11" s="93"/>
      <c r="D11" s="26"/>
      <c r="E11" s="26"/>
      <c r="F11" s="26"/>
      <c r="G11" s="28"/>
      <c r="H11" s="28"/>
      <c r="I11" s="26"/>
      <c r="J11" s="20"/>
      <c r="K11" s="20"/>
      <c r="L11" s="20"/>
      <c r="M11" s="20"/>
      <c r="N11" s="20"/>
      <c r="O11" s="25"/>
      <c r="P11" s="25"/>
      <c r="Q11" s="25"/>
      <c r="R11" s="25"/>
      <c r="S11" s="25"/>
      <c r="T11" s="25"/>
      <c r="U11" s="25"/>
      <c r="V11" s="25"/>
      <c r="W11" s="25"/>
    </row>
    <row r="12" spans="1:23">
      <c r="A12" s="25"/>
      <c r="B12" s="25"/>
      <c r="C12" s="93"/>
      <c r="D12" s="26"/>
      <c r="E12" s="92"/>
      <c r="F12" s="26"/>
      <c r="G12" s="28"/>
      <c r="H12" s="28"/>
      <c r="I12" s="26"/>
      <c r="J12" s="20"/>
      <c r="K12" s="20"/>
      <c r="L12" s="20"/>
      <c r="M12" s="20"/>
      <c r="N12" s="20"/>
      <c r="O12" s="25"/>
      <c r="P12" s="25"/>
      <c r="Q12" s="25"/>
      <c r="R12" s="25"/>
      <c r="S12" s="25"/>
      <c r="T12" s="25"/>
      <c r="U12" s="25"/>
      <c r="V12" s="25"/>
      <c r="W12" s="25"/>
    </row>
    <row r="13" spans="1:23">
      <c r="A13" s="25"/>
      <c r="B13" s="25"/>
      <c r="C13" s="50" t="s">
        <v>77</v>
      </c>
      <c r="D13" s="26" t="s">
        <v>73</v>
      </c>
      <c r="E13" s="153" t="s">
        <v>15</v>
      </c>
      <c r="F13" s="153">
        <v>41791</v>
      </c>
      <c r="G13" s="28"/>
      <c r="H13" s="28"/>
      <c r="I13" s="26"/>
      <c r="J13" s="146"/>
      <c r="K13" s="146"/>
      <c r="L13" s="146"/>
      <c r="M13" s="146"/>
      <c r="N13" s="146"/>
      <c r="O13" s="134"/>
      <c r="P13" s="134"/>
      <c r="Q13" s="134"/>
      <c r="R13" s="134"/>
      <c r="S13" s="134"/>
      <c r="T13" s="25"/>
      <c r="U13" s="25"/>
      <c r="V13" s="25"/>
      <c r="W13" s="25"/>
    </row>
    <row r="14" spans="1:23">
      <c r="A14" s="25"/>
      <c r="B14" s="25"/>
      <c r="C14" s="93"/>
      <c r="D14" s="26"/>
      <c r="E14" s="26"/>
      <c r="F14" s="26"/>
      <c r="G14" s="28"/>
      <c r="H14" s="28"/>
      <c r="I14" s="26"/>
      <c r="J14" s="20"/>
      <c r="K14" s="20"/>
      <c r="L14" s="20"/>
      <c r="M14" s="20"/>
      <c r="N14" s="20"/>
      <c r="O14" s="25"/>
      <c r="P14" s="25"/>
      <c r="Q14" s="25"/>
      <c r="R14" s="25"/>
      <c r="S14" s="25"/>
      <c r="T14" s="25"/>
      <c r="U14" s="25"/>
      <c r="V14" s="25"/>
      <c r="W14" s="25"/>
    </row>
    <row r="15" spans="1:23">
      <c r="A15" s="25"/>
      <c r="B15" s="25"/>
      <c r="C15" s="121" t="s">
        <v>77</v>
      </c>
      <c r="D15" s="122" t="str">
        <f>D13</f>
        <v>AER</v>
      </c>
      <c r="E15" s="185" t="str">
        <f>E13</f>
        <v>$millions</v>
      </c>
      <c r="F15" s="185">
        <f>F13</f>
        <v>41791</v>
      </c>
      <c r="G15" s="28"/>
      <c r="H15" s="28"/>
      <c r="I15" s="26"/>
      <c r="J15" s="111">
        <f>J13</f>
        <v>0</v>
      </c>
      <c r="K15" s="111">
        <f t="shared" ref="K15:S15" si="1">K13</f>
        <v>0</v>
      </c>
      <c r="L15" s="111">
        <f t="shared" si="1"/>
        <v>0</v>
      </c>
      <c r="M15" s="111">
        <f t="shared" si="1"/>
        <v>0</v>
      </c>
      <c r="N15" s="111">
        <f t="shared" si="1"/>
        <v>0</v>
      </c>
      <c r="O15" s="111">
        <f t="shared" si="1"/>
        <v>0</v>
      </c>
      <c r="P15" s="111">
        <f t="shared" si="1"/>
        <v>0</v>
      </c>
      <c r="Q15" s="111">
        <f t="shared" si="1"/>
        <v>0</v>
      </c>
      <c r="R15" s="111">
        <f t="shared" si="1"/>
        <v>0</v>
      </c>
      <c r="S15" s="111">
        <f t="shared" si="1"/>
        <v>0</v>
      </c>
      <c r="T15" s="25"/>
      <c r="U15" s="25"/>
      <c r="V15" s="25"/>
      <c r="W15" s="25"/>
    </row>
    <row r="16" spans="1:23">
      <c r="A16" s="25"/>
      <c r="B16" s="25"/>
      <c r="C16" s="93"/>
      <c r="D16" s="26"/>
      <c r="E16" s="26"/>
      <c r="F16" s="26"/>
      <c r="G16" s="28"/>
      <c r="H16" s="28"/>
      <c r="I16" s="26"/>
      <c r="J16" s="20"/>
      <c r="K16" s="20"/>
      <c r="L16" s="20"/>
      <c r="M16" s="20"/>
      <c r="N16" s="20"/>
      <c r="O16" s="25"/>
      <c r="P16" s="25"/>
      <c r="Q16" s="25"/>
      <c r="R16" s="25"/>
      <c r="S16" s="25"/>
      <c r="T16" s="25"/>
      <c r="U16" s="25"/>
      <c r="V16" s="25"/>
      <c r="W16" s="25"/>
    </row>
    <row r="17" spans="1:23">
      <c r="A17" s="25"/>
      <c r="B17" s="25"/>
      <c r="C17" s="56" t="s">
        <v>161</v>
      </c>
      <c r="D17" s="26"/>
      <c r="E17" s="26"/>
      <c r="F17" s="26"/>
      <c r="G17" s="28"/>
      <c r="H17" s="28"/>
      <c r="I17" s="26"/>
      <c r="J17" s="20"/>
      <c r="K17" s="20"/>
      <c r="L17" s="20"/>
      <c r="M17" s="20"/>
      <c r="N17" s="20"/>
      <c r="O17" s="25"/>
      <c r="P17" s="25"/>
      <c r="Q17" s="25"/>
      <c r="R17" s="25"/>
      <c r="S17" s="25"/>
      <c r="T17" s="25"/>
      <c r="U17" s="25"/>
      <c r="V17" s="25"/>
      <c r="W17" s="25"/>
    </row>
    <row r="18" spans="1:23">
      <c r="A18" s="25"/>
      <c r="B18" s="25"/>
      <c r="C18" s="93"/>
      <c r="D18" s="26"/>
      <c r="E18" s="26"/>
      <c r="F18" s="26"/>
      <c r="G18" s="28"/>
      <c r="H18" s="28"/>
      <c r="I18" s="26"/>
      <c r="J18" s="20"/>
      <c r="K18" s="20"/>
      <c r="L18" s="20"/>
      <c r="M18" s="20"/>
      <c r="N18" s="20"/>
      <c r="O18" s="25"/>
      <c r="P18" s="25"/>
      <c r="Q18" s="25"/>
      <c r="R18" s="25"/>
      <c r="S18" s="25"/>
      <c r="T18" s="25"/>
      <c r="U18" s="25"/>
      <c r="V18" s="25"/>
      <c r="W18" s="25"/>
    </row>
    <row r="19" spans="1:23">
      <c r="A19" s="25"/>
      <c r="B19" s="25"/>
      <c r="C19" s="50" t="s">
        <v>110</v>
      </c>
      <c r="D19" s="26" t="s">
        <v>73</v>
      </c>
      <c r="E19" s="26" t="str">
        <f>$E$29</f>
        <v>$millions</v>
      </c>
      <c r="F19" s="143">
        <f t="shared" ref="F19:F27" si="2">$F$15</f>
        <v>41791</v>
      </c>
      <c r="G19" s="28"/>
      <c r="H19" s="28"/>
      <c r="I19" s="26"/>
      <c r="J19" s="146"/>
      <c r="K19" s="146"/>
      <c r="L19" s="146"/>
      <c r="M19" s="146"/>
      <c r="N19" s="146"/>
      <c r="O19" s="134"/>
      <c r="P19" s="134"/>
      <c r="Q19" s="134"/>
      <c r="R19" s="134"/>
      <c r="S19" s="134"/>
      <c r="T19" s="25"/>
      <c r="U19" s="25"/>
      <c r="V19" s="25"/>
      <c r="W19" s="25"/>
    </row>
    <row r="20" spans="1:23">
      <c r="A20" s="25"/>
      <c r="B20" s="25"/>
      <c r="C20" s="50" t="s">
        <v>162</v>
      </c>
      <c r="D20" s="26" t="s">
        <v>73</v>
      </c>
      <c r="E20" s="26" t="str">
        <f t="shared" ref="E20:E27" si="3">$E$15</f>
        <v>$millions</v>
      </c>
      <c r="F20" s="143">
        <f t="shared" si="2"/>
        <v>41791</v>
      </c>
      <c r="G20" s="28"/>
      <c r="H20" s="28"/>
      <c r="I20" s="26"/>
      <c r="J20" s="146"/>
      <c r="K20" s="146"/>
      <c r="L20" s="146"/>
      <c r="M20" s="146"/>
      <c r="N20" s="146"/>
      <c r="O20" s="134"/>
      <c r="P20" s="134"/>
      <c r="Q20" s="134"/>
      <c r="R20" s="134"/>
      <c r="S20" s="134"/>
      <c r="T20" s="25"/>
      <c r="U20" s="25"/>
      <c r="V20" s="25"/>
      <c r="W20" s="25"/>
    </row>
    <row r="21" spans="1:23">
      <c r="A21" s="25"/>
      <c r="B21" s="25"/>
      <c r="C21" s="50"/>
      <c r="D21" s="26" t="s">
        <v>73</v>
      </c>
      <c r="E21" s="26" t="str">
        <f t="shared" si="3"/>
        <v>$millions</v>
      </c>
      <c r="F21" s="143">
        <f t="shared" si="2"/>
        <v>41791</v>
      </c>
      <c r="G21" s="28"/>
      <c r="H21" s="28"/>
      <c r="I21" s="26"/>
      <c r="J21" s="146"/>
      <c r="K21" s="146"/>
      <c r="L21" s="146"/>
      <c r="M21" s="146"/>
      <c r="N21" s="146"/>
      <c r="O21" s="134"/>
      <c r="P21" s="134"/>
      <c r="Q21" s="134"/>
      <c r="R21" s="134"/>
      <c r="S21" s="134"/>
      <c r="T21" s="25"/>
      <c r="U21" s="25"/>
      <c r="V21" s="25"/>
      <c r="W21" s="25"/>
    </row>
    <row r="22" spans="1:23">
      <c r="A22" s="25"/>
      <c r="B22" s="25"/>
      <c r="C22" s="50"/>
      <c r="D22" s="26" t="s">
        <v>73</v>
      </c>
      <c r="E22" s="26" t="str">
        <f t="shared" si="3"/>
        <v>$millions</v>
      </c>
      <c r="F22" s="143">
        <f t="shared" si="2"/>
        <v>41791</v>
      </c>
      <c r="G22" s="28"/>
      <c r="H22" s="28"/>
      <c r="I22" s="26"/>
      <c r="J22" s="146"/>
      <c r="K22" s="146"/>
      <c r="L22" s="146"/>
      <c r="M22" s="146"/>
      <c r="N22" s="146"/>
      <c r="O22" s="134"/>
      <c r="P22" s="134"/>
      <c r="Q22" s="134"/>
      <c r="R22" s="134"/>
      <c r="S22" s="134"/>
      <c r="T22" s="25"/>
      <c r="U22" s="25"/>
      <c r="V22" s="25"/>
      <c r="W22" s="25"/>
    </row>
    <row r="23" spans="1:23">
      <c r="A23" s="25"/>
      <c r="B23" s="25"/>
      <c r="C23" s="50"/>
      <c r="D23" s="26" t="s">
        <v>73</v>
      </c>
      <c r="E23" s="26" t="str">
        <f t="shared" si="3"/>
        <v>$millions</v>
      </c>
      <c r="F23" s="143">
        <f t="shared" si="2"/>
        <v>41791</v>
      </c>
      <c r="G23" s="28"/>
      <c r="H23" s="28"/>
      <c r="I23" s="26"/>
      <c r="J23" s="146"/>
      <c r="K23" s="146"/>
      <c r="L23" s="146"/>
      <c r="M23" s="146"/>
      <c r="N23" s="146"/>
      <c r="O23" s="134"/>
      <c r="P23" s="134"/>
      <c r="Q23" s="134"/>
      <c r="R23" s="134"/>
      <c r="S23" s="134"/>
      <c r="T23" s="25"/>
      <c r="U23" s="25"/>
      <c r="V23" s="25"/>
      <c r="W23" s="25"/>
    </row>
    <row r="24" spans="1:23">
      <c r="A24" s="25"/>
      <c r="B24" s="25"/>
      <c r="C24" s="50"/>
      <c r="D24" s="26" t="s">
        <v>73</v>
      </c>
      <c r="E24" s="26" t="str">
        <f t="shared" si="3"/>
        <v>$millions</v>
      </c>
      <c r="F24" s="143">
        <f t="shared" si="2"/>
        <v>41791</v>
      </c>
      <c r="G24" s="28"/>
      <c r="H24" s="28"/>
      <c r="I24" s="26"/>
      <c r="J24" s="146"/>
      <c r="K24" s="146"/>
      <c r="L24" s="146"/>
      <c r="M24" s="146"/>
      <c r="N24" s="146"/>
      <c r="O24" s="134"/>
      <c r="P24" s="134"/>
      <c r="Q24" s="134"/>
      <c r="R24" s="134"/>
      <c r="S24" s="134"/>
      <c r="T24" s="25"/>
      <c r="U24" s="25"/>
      <c r="V24" s="25"/>
      <c r="W24" s="25"/>
    </row>
    <row r="25" spans="1:23">
      <c r="A25" s="25"/>
      <c r="B25" s="25"/>
      <c r="C25" s="50"/>
      <c r="D25" s="26" t="s">
        <v>73</v>
      </c>
      <c r="E25" s="26" t="str">
        <f t="shared" si="3"/>
        <v>$millions</v>
      </c>
      <c r="F25" s="143">
        <f t="shared" si="2"/>
        <v>41791</v>
      </c>
      <c r="G25" s="28"/>
      <c r="H25" s="28"/>
      <c r="I25" s="26"/>
      <c r="J25" s="146"/>
      <c r="K25" s="146"/>
      <c r="L25" s="146"/>
      <c r="M25" s="146"/>
      <c r="N25" s="146"/>
      <c r="O25" s="134"/>
      <c r="P25" s="134"/>
      <c r="Q25" s="134"/>
      <c r="R25" s="134"/>
      <c r="S25" s="134"/>
      <c r="T25" s="25"/>
      <c r="U25" s="25"/>
      <c r="V25" s="25"/>
      <c r="W25" s="25"/>
    </row>
    <row r="26" spans="1:23">
      <c r="A26" s="25"/>
      <c r="B26" s="25"/>
      <c r="C26" s="50"/>
      <c r="D26" s="26" t="s">
        <v>73</v>
      </c>
      <c r="E26" s="26" t="str">
        <f t="shared" si="3"/>
        <v>$millions</v>
      </c>
      <c r="F26" s="143">
        <f t="shared" si="2"/>
        <v>41791</v>
      </c>
      <c r="G26" s="28"/>
      <c r="H26" s="28"/>
      <c r="I26" s="26"/>
      <c r="J26" s="146"/>
      <c r="K26" s="146"/>
      <c r="L26" s="146"/>
      <c r="M26" s="146"/>
      <c r="N26" s="146"/>
      <c r="O26" s="134"/>
      <c r="P26" s="134"/>
      <c r="Q26" s="134"/>
      <c r="R26" s="134"/>
      <c r="S26" s="134"/>
      <c r="T26" s="25"/>
      <c r="U26" s="25"/>
      <c r="V26" s="25"/>
      <c r="W26" s="25"/>
    </row>
    <row r="27" spans="1:23">
      <c r="A27" s="25"/>
      <c r="B27" s="25"/>
      <c r="C27" s="50"/>
      <c r="D27" s="26" t="s">
        <v>73</v>
      </c>
      <c r="E27" s="26" t="str">
        <f t="shared" si="3"/>
        <v>$millions</v>
      </c>
      <c r="F27" s="143">
        <f t="shared" si="2"/>
        <v>41791</v>
      </c>
      <c r="G27" s="28"/>
      <c r="H27" s="28"/>
      <c r="I27" s="26"/>
      <c r="J27" s="146"/>
      <c r="K27" s="146"/>
      <c r="L27" s="146"/>
      <c r="M27" s="146"/>
      <c r="N27" s="146"/>
      <c r="O27" s="134"/>
      <c r="P27" s="134"/>
      <c r="Q27" s="134"/>
      <c r="R27" s="134"/>
      <c r="S27" s="134"/>
      <c r="T27" s="25"/>
      <c r="U27" s="25"/>
      <c r="V27" s="25"/>
      <c r="W27" s="25"/>
    </row>
    <row r="28" spans="1:23">
      <c r="A28" s="25"/>
      <c r="B28" s="25"/>
      <c r="C28" s="93"/>
      <c r="D28" s="26"/>
      <c r="E28" s="26"/>
      <c r="F28" s="26"/>
      <c r="G28" s="28"/>
      <c r="H28" s="28"/>
      <c r="I28" s="26"/>
      <c r="J28" s="20"/>
      <c r="K28" s="20"/>
      <c r="L28" s="20"/>
      <c r="M28" s="20"/>
      <c r="N28" s="20"/>
      <c r="O28" s="20"/>
      <c r="P28" s="20"/>
      <c r="Q28" s="20"/>
      <c r="R28" s="20"/>
      <c r="S28" s="20"/>
      <c r="T28" s="25"/>
      <c r="U28" s="25"/>
      <c r="V28" s="25"/>
      <c r="W28" s="25"/>
    </row>
    <row r="29" spans="1:23">
      <c r="A29" s="25"/>
      <c r="B29" s="25"/>
      <c r="C29" s="121" t="s">
        <v>159</v>
      </c>
      <c r="D29" s="122" t="s">
        <v>30</v>
      </c>
      <c r="E29" s="112" t="s">
        <v>15</v>
      </c>
      <c r="F29" s="144">
        <f>F27</f>
        <v>41791</v>
      </c>
      <c r="G29" s="28"/>
      <c r="H29" s="28"/>
      <c r="I29" s="26"/>
      <c r="J29" s="111">
        <f>SUM(J19:J27)</f>
        <v>0</v>
      </c>
      <c r="K29" s="111">
        <f t="shared" ref="K29:S29" si="4">SUM(K19:K27)</f>
        <v>0</v>
      </c>
      <c r="L29" s="111">
        <f t="shared" si="4"/>
        <v>0</v>
      </c>
      <c r="M29" s="111">
        <f t="shared" si="4"/>
        <v>0</v>
      </c>
      <c r="N29" s="111">
        <f t="shared" si="4"/>
        <v>0</v>
      </c>
      <c r="O29" s="111">
        <f t="shared" si="4"/>
        <v>0</v>
      </c>
      <c r="P29" s="111">
        <f t="shared" si="4"/>
        <v>0</v>
      </c>
      <c r="Q29" s="111">
        <f t="shared" si="4"/>
        <v>0</v>
      </c>
      <c r="R29" s="111">
        <f t="shared" si="4"/>
        <v>0</v>
      </c>
      <c r="S29" s="111">
        <f t="shared" si="4"/>
        <v>0</v>
      </c>
      <c r="T29" s="25"/>
      <c r="U29" s="25"/>
      <c r="V29" s="25"/>
      <c r="W29" s="25"/>
    </row>
    <row r="30" spans="1:23">
      <c r="A30" s="25"/>
      <c r="B30" s="25"/>
      <c r="C30" s="25"/>
      <c r="D30" s="26"/>
      <c r="E30" s="26"/>
      <c r="F30" s="26"/>
      <c r="G30" s="28"/>
      <c r="H30" s="28"/>
      <c r="I30" s="26"/>
      <c r="J30" s="25"/>
      <c r="K30" s="25"/>
      <c r="L30" s="25"/>
      <c r="M30" s="25"/>
      <c r="N30" s="25"/>
      <c r="O30" s="25"/>
      <c r="P30" s="25"/>
      <c r="Q30" s="25"/>
      <c r="R30" s="25"/>
      <c r="S30" s="25"/>
      <c r="T30" s="25"/>
      <c r="U30" s="25"/>
      <c r="V30" s="25"/>
      <c r="W30" s="25"/>
    </row>
    <row r="31" spans="1:23" ht="12.75">
      <c r="A31" s="79"/>
      <c r="B31" s="80" t="s">
        <v>61</v>
      </c>
      <c r="C31" s="79"/>
      <c r="D31" s="79"/>
      <c r="E31" s="79"/>
      <c r="F31" s="81"/>
      <c r="G31" s="81"/>
      <c r="H31" s="81"/>
      <c r="I31" s="81"/>
      <c r="J31" s="82"/>
      <c r="K31" s="83"/>
      <c r="L31" s="82"/>
      <c r="M31" s="83"/>
      <c r="N31" s="82"/>
      <c r="O31" s="82"/>
      <c r="P31" s="82"/>
      <c r="Q31" s="82"/>
      <c r="R31" s="82"/>
      <c r="S31" s="82"/>
      <c r="T31" s="82"/>
      <c r="U31" s="82"/>
      <c r="V31" s="83"/>
      <c r="W31" s="83"/>
    </row>
    <row r="32" spans="1:23">
      <c r="A32" s="25"/>
      <c r="B32" s="25"/>
      <c r="C32" s="25"/>
      <c r="D32" s="26"/>
      <c r="E32" s="26"/>
      <c r="F32" s="26"/>
      <c r="G32" s="26"/>
      <c r="H32" s="26"/>
      <c r="I32" s="26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</row>
    <row r="33" spans="1:23">
      <c r="A33" s="25"/>
      <c r="B33" s="25"/>
      <c r="C33" s="25"/>
      <c r="D33" s="26"/>
      <c r="E33" s="26"/>
      <c r="F33" s="26"/>
      <c r="G33" s="26"/>
      <c r="H33" s="26"/>
      <c r="I33" s="26"/>
      <c r="J33" s="146" t="s">
        <v>23</v>
      </c>
      <c r="K33" s="146" t="s">
        <v>23</v>
      </c>
      <c r="L33" s="146" t="s">
        <v>23</v>
      </c>
      <c r="M33" s="146" t="s">
        <v>23</v>
      </c>
      <c r="N33" s="146"/>
      <c r="O33" s="146"/>
      <c r="P33" s="146"/>
      <c r="Q33" s="146"/>
      <c r="R33" s="146"/>
      <c r="S33" s="146"/>
      <c r="T33" s="25"/>
      <c r="U33" s="25"/>
      <c r="V33" s="25"/>
      <c r="W33" s="25"/>
    </row>
    <row r="34" spans="1:23">
      <c r="A34" s="25"/>
      <c r="B34" s="25"/>
      <c r="C34" s="56" t="s">
        <v>80</v>
      </c>
      <c r="D34" s="28" t="s">
        <v>7</v>
      </c>
      <c r="E34" s="28" t="s">
        <v>8</v>
      </c>
      <c r="F34" s="28" t="s">
        <v>22</v>
      </c>
      <c r="G34" s="28"/>
      <c r="H34" s="28"/>
      <c r="I34" s="28"/>
      <c r="J34" s="141">
        <f t="shared" ref="J34:S34" si="5">IF(YEAR(J$4)&lt;=PPLastYear,J$4,"")</f>
        <v>42156</v>
      </c>
      <c r="K34" s="141">
        <f t="shared" si="5"/>
        <v>42522</v>
      </c>
      <c r="L34" s="141">
        <f t="shared" si="5"/>
        <v>42887</v>
      </c>
      <c r="M34" s="141">
        <f t="shared" si="5"/>
        <v>43252</v>
      </c>
      <c r="N34" s="141">
        <f t="shared" si="5"/>
        <v>43617</v>
      </c>
      <c r="O34" s="141" t="str">
        <f t="shared" si="5"/>
        <v/>
      </c>
      <c r="P34" s="141" t="str">
        <f t="shared" si="5"/>
        <v/>
      </c>
      <c r="Q34" s="141" t="str">
        <f t="shared" si="5"/>
        <v/>
      </c>
      <c r="R34" s="141" t="str">
        <f t="shared" si="5"/>
        <v/>
      </c>
      <c r="S34" s="141" t="str">
        <f t="shared" si="5"/>
        <v/>
      </c>
      <c r="T34" s="119" t="s">
        <v>57</v>
      </c>
      <c r="U34" s="120"/>
      <c r="V34" s="120"/>
      <c r="W34" s="25"/>
    </row>
    <row r="35" spans="1:23">
      <c r="A35" s="25"/>
      <c r="B35" s="25"/>
      <c r="C35" s="93"/>
      <c r="D35" s="26"/>
      <c r="E35" s="26"/>
      <c r="F35" s="26"/>
      <c r="G35" s="28"/>
      <c r="H35" s="28"/>
      <c r="I35" s="26"/>
      <c r="J35" s="25"/>
      <c r="K35" s="25"/>
      <c r="L35" s="25"/>
      <c r="M35" s="25"/>
      <c r="N35" s="25"/>
      <c r="O35" s="25"/>
      <c r="P35" s="25"/>
      <c r="Q35" s="25"/>
      <c r="R35" s="25"/>
      <c r="S35" s="25"/>
      <c r="T35" s="25"/>
      <c r="U35" s="25"/>
      <c r="V35" s="25"/>
      <c r="W35" s="25"/>
    </row>
    <row r="36" spans="1:23">
      <c r="A36" s="25"/>
      <c r="B36" s="25"/>
      <c r="C36" s="93"/>
      <c r="D36" s="26"/>
      <c r="E36" s="26"/>
      <c r="F36" s="26"/>
      <c r="G36" s="28"/>
      <c r="H36" s="28"/>
      <c r="I36" s="26"/>
      <c r="J36" s="25"/>
      <c r="K36" s="25"/>
      <c r="L36" s="25"/>
      <c r="M36" s="25"/>
      <c r="N36" s="25"/>
      <c r="O36" s="25"/>
      <c r="P36" s="25"/>
      <c r="Q36" s="25"/>
      <c r="R36" s="25"/>
      <c r="S36" s="25"/>
      <c r="T36" s="25"/>
      <c r="U36" s="25"/>
      <c r="V36" s="25"/>
      <c r="W36" s="25"/>
    </row>
    <row r="37" spans="1:23">
      <c r="A37" s="25"/>
      <c r="B37" s="25"/>
      <c r="C37" s="50" t="s">
        <v>77</v>
      </c>
      <c r="D37" s="26" t="s">
        <v>79</v>
      </c>
      <c r="E37" s="26" t="str">
        <f t="shared" ref="E37:E42" si="6">$E$53</f>
        <v>$millions</v>
      </c>
      <c r="F37" s="143" t="str">
        <f t="shared" ref="F37:F42" si="7">$F$53</f>
        <v>nominal</v>
      </c>
      <c r="G37" s="28"/>
      <c r="H37" s="28"/>
      <c r="I37" s="26"/>
      <c r="J37" s="146"/>
      <c r="K37" s="146"/>
      <c r="L37" s="146">
        <v>4.6100000000000003</v>
      </c>
      <c r="M37" s="146">
        <v>5.3460663127106507</v>
      </c>
      <c r="N37" s="146"/>
      <c r="O37" s="134"/>
      <c r="P37" s="134"/>
      <c r="Q37" s="134"/>
      <c r="R37" s="134"/>
      <c r="S37" s="134"/>
      <c r="T37" s="25"/>
      <c r="U37" s="25"/>
      <c r="V37" s="25"/>
      <c r="W37" s="25"/>
    </row>
    <row r="38" spans="1:23">
      <c r="A38" s="25"/>
      <c r="B38" s="25"/>
      <c r="C38" s="50"/>
      <c r="D38" s="26" t="s">
        <v>79</v>
      </c>
      <c r="E38" s="26" t="str">
        <f t="shared" si="6"/>
        <v>$millions</v>
      </c>
      <c r="F38" s="143" t="str">
        <f t="shared" si="7"/>
        <v>nominal</v>
      </c>
      <c r="G38" s="28"/>
      <c r="H38" s="28"/>
      <c r="I38" s="26"/>
      <c r="J38" s="146"/>
      <c r="K38" s="146"/>
      <c r="L38" s="146"/>
      <c r="M38" s="146"/>
      <c r="N38" s="146"/>
      <c r="O38" s="134"/>
      <c r="P38" s="134"/>
      <c r="Q38" s="134"/>
      <c r="R38" s="134"/>
      <c r="S38" s="134"/>
      <c r="T38" s="25"/>
      <c r="U38" s="25"/>
      <c r="V38" s="25"/>
      <c r="W38" s="25"/>
    </row>
    <row r="39" spans="1:23">
      <c r="A39" s="25"/>
      <c r="B39" s="25"/>
      <c r="C39" s="50"/>
      <c r="D39" s="26" t="s">
        <v>79</v>
      </c>
      <c r="E39" s="26" t="str">
        <f t="shared" si="6"/>
        <v>$millions</v>
      </c>
      <c r="F39" s="143" t="str">
        <f t="shared" si="7"/>
        <v>nominal</v>
      </c>
      <c r="G39" s="28"/>
      <c r="H39" s="28"/>
      <c r="I39" s="26"/>
      <c r="J39" s="146"/>
      <c r="K39" s="146"/>
      <c r="L39" s="146"/>
      <c r="M39" s="146"/>
      <c r="N39" s="146"/>
      <c r="O39" s="134"/>
      <c r="P39" s="134"/>
      <c r="Q39" s="134"/>
      <c r="R39" s="134"/>
      <c r="S39" s="134"/>
      <c r="T39" s="25"/>
      <c r="U39" s="25"/>
      <c r="V39" s="25"/>
      <c r="W39" s="25"/>
    </row>
    <row r="40" spans="1:23">
      <c r="A40" s="25"/>
      <c r="B40" s="25"/>
      <c r="C40" s="50"/>
      <c r="D40" s="26" t="s">
        <v>79</v>
      </c>
      <c r="E40" s="26" t="str">
        <f t="shared" si="6"/>
        <v>$millions</v>
      </c>
      <c r="F40" s="143" t="str">
        <f t="shared" si="7"/>
        <v>nominal</v>
      </c>
      <c r="G40" s="28"/>
      <c r="H40" s="28"/>
      <c r="I40" s="26"/>
      <c r="J40" s="146"/>
      <c r="K40" s="146"/>
      <c r="L40" s="146"/>
      <c r="M40" s="146"/>
      <c r="N40" s="146"/>
      <c r="O40" s="134"/>
      <c r="P40" s="134"/>
      <c r="Q40" s="134"/>
      <c r="R40" s="134"/>
      <c r="S40" s="134"/>
      <c r="T40" s="25"/>
      <c r="U40" s="25"/>
      <c r="V40" s="25"/>
      <c r="W40" s="25"/>
    </row>
    <row r="41" spans="1:23">
      <c r="A41" s="25"/>
      <c r="B41" s="25"/>
      <c r="C41" s="50"/>
      <c r="D41" s="26" t="s">
        <v>79</v>
      </c>
      <c r="E41" s="26" t="str">
        <f t="shared" si="6"/>
        <v>$millions</v>
      </c>
      <c r="F41" s="143" t="str">
        <f t="shared" si="7"/>
        <v>nominal</v>
      </c>
      <c r="G41" s="28"/>
      <c r="H41" s="28"/>
      <c r="I41" s="26"/>
      <c r="J41" s="146"/>
      <c r="K41" s="146"/>
      <c r="L41" s="146"/>
      <c r="M41" s="146"/>
      <c r="N41" s="146"/>
      <c r="O41" s="134"/>
      <c r="P41" s="134"/>
      <c r="Q41" s="134"/>
      <c r="R41" s="134"/>
      <c r="S41" s="134"/>
      <c r="T41" s="25"/>
      <c r="U41" s="25"/>
      <c r="V41" s="25"/>
      <c r="W41" s="25"/>
    </row>
    <row r="42" spans="1:23">
      <c r="A42" s="25"/>
      <c r="B42" s="25"/>
      <c r="C42" s="50" t="s">
        <v>115</v>
      </c>
      <c r="D42" s="26" t="s">
        <v>79</v>
      </c>
      <c r="E42" s="26" t="str">
        <f t="shared" si="6"/>
        <v>$millions</v>
      </c>
      <c r="F42" s="143" t="str">
        <f t="shared" si="7"/>
        <v>nominal</v>
      </c>
      <c r="G42" s="28"/>
      <c r="H42" s="28"/>
      <c r="I42" s="26"/>
      <c r="J42" s="146"/>
      <c r="K42" s="146"/>
      <c r="L42" s="146"/>
      <c r="M42" s="201"/>
      <c r="N42" s="146"/>
      <c r="O42" s="134"/>
      <c r="P42" s="134"/>
      <c r="Q42" s="134"/>
      <c r="R42" s="134"/>
      <c r="S42" s="134"/>
      <c r="T42" s="25"/>
      <c r="U42" s="25"/>
      <c r="V42" s="25"/>
      <c r="W42" s="25"/>
    </row>
    <row r="43" spans="1:23">
      <c r="A43" s="25"/>
      <c r="B43" s="25"/>
      <c r="C43" s="93"/>
      <c r="D43" s="26"/>
      <c r="E43" s="26"/>
      <c r="F43" s="26"/>
      <c r="G43" s="28"/>
      <c r="H43" s="28"/>
      <c r="I43" s="26"/>
      <c r="J43" s="25"/>
      <c r="K43" s="25"/>
      <c r="L43" s="25"/>
      <c r="M43" s="25"/>
      <c r="N43" s="123"/>
      <c r="O43" s="25"/>
      <c r="P43" s="25"/>
      <c r="Q43" s="25"/>
      <c r="R43" s="25"/>
      <c r="S43" s="25"/>
      <c r="T43" s="25"/>
      <c r="U43" s="25"/>
      <c r="V43" s="25"/>
      <c r="W43" s="25"/>
    </row>
    <row r="44" spans="1:23">
      <c r="A44" s="25"/>
      <c r="B44" s="25"/>
      <c r="C44" s="121" t="s">
        <v>77</v>
      </c>
      <c r="D44" s="122" t="s">
        <v>30</v>
      </c>
      <c r="E44" s="172" t="str">
        <f>$E$53</f>
        <v>$millions</v>
      </c>
      <c r="F44" s="173" t="str">
        <f>$F$53</f>
        <v>nominal</v>
      </c>
      <c r="G44" s="28"/>
      <c r="H44" s="28"/>
      <c r="I44" s="26"/>
      <c r="J44" s="111">
        <f>SUM(J37:J42)</f>
        <v>0</v>
      </c>
      <c r="K44" s="111">
        <f t="shared" ref="K44:S44" si="8">SUM(K37:K42)</f>
        <v>0</v>
      </c>
      <c r="L44" s="111">
        <f t="shared" si="8"/>
        <v>4.6100000000000003</v>
      </c>
      <c r="M44" s="111">
        <f t="shared" si="8"/>
        <v>5.3460663127106507</v>
      </c>
      <c r="N44" s="111">
        <f t="shared" si="8"/>
        <v>0</v>
      </c>
      <c r="O44" s="111">
        <f t="shared" si="8"/>
        <v>0</v>
      </c>
      <c r="P44" s="111">
        <f t="shared" si="8"/>
        <v>0</v>
      </c>
      <c r="Q44" s="111">
        <f t="shared" si="8"/>
        <v>0</v>
      </c>
      <c r="R44" s="111">
        <f t="shared" si="8"/>
        <v>0</v>
      </c>
      <c r="S44" s="111">
        <f t="shared" si="8"/>
        <v>0</v>
      </c>
      <c r="T44" s="25"/>
      <c r="U44" s="25"/>
      <c r="V44" s="25"/>
      <c r="W44" s="25"/>
    </row>
    <row r="45" spans="1:23">
      <c r="A45" s="25"/>
      <c r="B45" s="25"/>
      <c r="C45" s="25"/>
      <c r="D45" s="26"/>
      <c r="E45" s="26"/>
      <c r="F45" s="26"/>
      <c r="G45" s="26"/>
      <c r="H45" s="26"/>
      <c r="I45" s="26"/>
      <c r="J45" s="147"/>
      <c r="K45" s="147"/>
      <c r="L45" s="147"/>
      <c r="M45" s="147"/>
      <c r="N45" s="147"/>
      <c r="O45" s="25"/>
      <c r="P45" s="25"/>
      <c r="Q45" s="25"/>
      <c r="R45" s="25"/>
      <c r="S45" s="25"/>
      <c r="T45" s="25"/>
      <c r="U45" s="25"/>
      <c r="V45" s="25"/>
      <c r="W45" s="25"/>
    </row>
    <row r="46" spans="1:23">
      <c r="A46" s="25"/>
      <c r="B46" s="25"/>
      <c r="C46" s="56" t="s">
        <v>116</v>
      </c>
      <c r="D46" s="26"/>
      <c r="E46" s="26"/>
      <c r="F46" s="26"/>
      <c r="G46" s="26"/>
      <c r="H46" s="26"/>
      <c r="I46" s="26"/>
      <c r="J46" s="147"/>
      <c r="K46" s="147"/>
      <c r="L46" s="147"/>
      <c r="M46" s="147"/>
      <c r="N46" s="147"/>
      <c r="O46" s="25"/>
      <c r="P46" s="25"/>
      <c r="Q46" s="25"/>
      <c r="R46" s="25"/>
      <c r="S46" s="25"/>
      <c r="T46" s="25"/>
      <c r="U46" s="25"/>
      <c r="V46" s="25"/>
      <c r="W46" s="25"/>
    </row>
    <row r="47" spans="1:23">
      <c r="A47" s="25"/>
      <c r="B47" s="25"/>
      <c r="C47" s="25"/>
      <c r="D47" s="26"/>
      <c r="E47" s="26"/>
      <c r="F47" s="26"/>
      <c r="G47" s="26"/>
      <c r="H47" s="26"/>
      <c r="I47" s="26"/>
      <c r="J47" s="147"/>
      <c r="K47" s="147"/>
      <c r="L47" s="147"/>
      <c r="M47" s="147"/>
      <c r="N47" s="147"/>
      <c r="O47" s="25"/>
      <c r="P47" s="25"/>
      <c r="Q47" s="25"/>
      <c r="R47" s="25"/>
      <c r="S47" s="25"/>
      <c r="T47" s="25"/>
      <c r="U47" s="25"/>
      <c r="V47" s="25"/>
      <c r="W47" s="25"/>
    </row>
    <row r="48" spans="1:23">
      <c r="A48" s="25"/>
      <c r="B48" s="25"/>
      <c r="C48" s="50" t="s">
        <v>110</v>
      </c>
      <c r="D48" s="26" t="s">
        <v>79</v>
      </c>
      <c r="E48" s="26" t="str">
        <f>$E$53</f>
        <v>$millions</v>
      </c>
      <c r="F48" s="143" t="str">
        <f>$F$53</f>
        <v>nominal</v>
      </c>
      <c r="G48" s="28"/>
      <c r="H48" s="28"/>
      <c r="I48" s="26"/>
      <c r="J48" s="146"/>
      <c r="K48" s="146"/>
      <c r="L48" s="146"/>
      <c r="M48" s="193"/>
      <c r="N48" s="146"/>
      <c r="O48" s="134"/>
      <c r="P48" s="134"/>
      <c r="Q48" s="134"/>
      <c r="R48" s="134"/>
      <c r="S48" s="134"/>
      <c r="T48" s="25"/>
      <c r="U48" s="25"/>
      <c r="V48" s="25"/>
      <c r="W48" s="25"/>
    </row>
    <row r="49" spans="1:23">
      <c r="A49" s="25"/>
      <c r="B49" s="25"/>
      <c r="C49" s="50" t="s">
        <v>162</v>
      </c>
      <c r="D49" s="26" t="s">
        <v>79</v>
      </c>
      <c r="E49" s="26" t="str">
        <f>$E$53</f>
        <v>$millions</v>
      </c>
      <c r="F49" s="143" t="str">
        <f>$F$53</f>
        <v>nominal</v>
      </c>
      <c r="G49" s="28"/>
      <c r="H49" s="28"/>
      <c r="I49" s="26"/>
      <c r="J49" s="146"/>
      <c r="K49" s="146"/>
      <c r="L49" s="146"/>
      <c r="M49" s="146"/>
      <c r="N49" s="146"/>
      <c r="O49" s="134"/>
      <c r="P49" s="134"/>
      <c r="Q49" s="134"/>
      <c r="R49" s="134"/>
      <c r="S49" s="134"/>
      <c r="T49" s="25"/>
      <c r="U49" s="25"/>
      <c r="V49" s="25"/>
      <c r="W49" s="25"/>
    </row>
    <row r="50" spans="1:23">
      <c r="A50" s="25"/>
      <c r="B50" s="25"/>
      <c r="C50" s="50" t="s">
        <v>168</v>
      </c>
      <c r="D50" s="26" t="s">
        <v>79</v>
      </c>
      <c r="E50" s="26" t="str">
        <f>$E$53</f>
        <v>$millions</v>
      </c>
      <c r="F50" s="143" t="str">
        <f>$F$53</f>
        <v>nominal</v>
      </c>
      <c r="G50" s="28"/>
      <c r="H50" s="28"/>
      <c r="I50" s="26"/>
      <c r="J50" s="146"/>
      <c r="K50" s="146"/>
      <c r="L50" s="146"/>
      <c r="M50" s="201"/>
      <c r="N50" s="146"/>
      <c r="O50" s="134"/>
      <c r="P50" s="134"/>
      <c r="Q50" s="134"/>
      <c r="R50" s="134"/>
      <c r="S50" s="134"/>
      <c r="T50" s="25"/>
      <c r="U50" s="25"/>
      <c r="V50" s="25"/>
      <c r="W50" s="25"/>
    </row>
    <row r="51" spans="1:23">
      <c r="A51" s="25"/>
      <c r="B51" s="25"/>
      <c r="C51" s="50"/>
      <c r="D51" s="26" t="s">
        <v>79</v>
      </c>
      <c r="E51" s="26" t="str">
        <f>$E$53</f>
        <v>$millions</v>
      </c>
      <c r="F51" s="143" t="str">
        <f>$F$53</f>
        <v>nominal</v>
      </c>
      <c r="G51" s="28"/>
      <c r="H51" s="28"/>
      <c r="I51" s="26"/>
      <c r="J51" s="146"/>
      <c r="K51" s="146"/>
      <c r="L51" s="146"/>
      <c r="M51" s="146"/>
      <c r="N51" s="146"/>
      <c r="O51" s="134"/>
      <c r="P51" s="134"/>
      <c r="Q51" s="134"/>
      <c r="R51" s="134"/>
      <c r="S51" s="134"/>
      <c r="T51" s="25"/>
      <c r="U51" s="25"/>
      <c r="V51" s="25"/>
      <c r="W51" s="25"/>
    </row>
    <row r="52" spans="1:23">
      <c r="A52" s="25"/>
      <c r="B52" s="25"/>
      <c r="C52" s="93"/>
      <c r="D52" s="26"/>
      <c r="E52" s="26"/>
      <c r="F52" s="26"/>
      <c r="G52" s="28"/>
      <c r="H52" s="28"/>
      <c r="I52" s="26"/>
      <c r="J52" s="25"/>
      <c r="K52" s="25"/>
      <c r="L52" s="25"/>
      <c r="M52" s="25"/>
      <c r="N52" s="123"/>
      <c r="O52" s="25"/>
      <c r="P52" s="25"/>
      <c r="Q52" s="25"/>
      <c r="R52" s="25"/>
      <c r="S52" s="25"/>
      <c r="T52" s="25"/>
      <c r="U52" s="25"/>
      <c r="V52" s="25"/>
      <c r="W52" s="25"/>
    </row>
    <row r="53" spans="1:23">
      <c r="A53" s="25"/>
      <c r="B53" s="25"/>
      <c r="C53" s="121" t="s">
        <v>159</v>
      </c>
      <c r="D53" s="122" t="s">
        <v>30</v>
      </c>
      <c r="E53" s="112" t="s">
        <v>15</v>
      </c>
      <c r="F53" s="144" t="s">
        <v>105</v>
      </c>
      <c r="G53" s="28"/>
      <c r="H53" s="28"/>
      <c r="I53" s="26"/>
      <c r="J53" s="168">
        <f>SUM(J48:J51)</f>
        <v>0</v>
      </c>
      <c r="K53" s="168">
        <f t="shared" ref="K53:S53" si="9">SUM(K48:K51)</f>
        <v>0</v>
      </c>
      <c r="L53" s="168">
        <f t="shared" si="9"/>
        <v>0</v>
      </c>
      <c r="M53" s="168">
        <f t="shared" si="9"/>
        <v>0</v>
      </c>
      <c r="N53" s="168">
        <f t="shared" si="9"/>
        <v>0</v>
      </c>
      <c r="O53" s="168">
        <f t="shared" si="9"/>
        <v>0</v>
      </c>
      <c r="P53" s="168">
        <f t="shared" si="9"/>
        <v>0</v>
      </c>
      <c r="Q53" s="168">
        <f t="shared" si="9"/>
        <v>0</v>
      </c>
      <c r="R53" s="168">
        <f t="shared" si="9"/>
        <v>0</v>
      </c>
      <c r="S53" s="168">
        <f t="shared" si="9"/>
        <v>0</v>
      </c>
      <c r="T53" s="25"/>
      <c r="U53" s="25"/>
      <c r="V53" s="25"/>
      <c r="W53" s="25"/>
    </row>
    <row r="54" spans="1:23">
      <c r="A54" s="25"/>
      <c r="B54" s="25"/>
      <c r="C54" s="25"/>
      <c r="D54" s="26"/>
      <c r="E54" s="26"/>
      <c r="F54" s="26"/>
      <c r="G54" s="28"/>
      <c r="H54" s="28"/>
      <c r="I54" s="26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  <c r="U54" s="25"/>
      <c r="V54" s="25"/>
      <c r="W54" s="25"/>
    </row>
    <row r="55" spans="1:23" ht="12.75">
      <c r="A55" s="79"/>
      <c r="B55" s="80" t="s">
        <v>117</v>
      </c>
      <c r="C55" s="79"/>
      <c r="D55" s="79"/>
      <c r="E55" s="79"/>
      <c r="F55" s="81"/>
      <c r="G55" s="81"/>
      <c r="H55" s="81"/>
      <c r="I55" s="81"/>
      <c r="J55" s="82"/>
      <c r="K55" s="83"/>
      <c r="L55" s="82"/>
      <c r="M55" s="83"/>
      <c r="N55" s="82"/>
      <c r="O55" s="82"/>
      <c r="P55" s="82"/>
      <c r="Q55" s="82"/>
      <c r="R55" s="82"/>
      <c r="S55" s="82"/>
      <c r="T55" s="82"/>
      <c r="U55" s="82"/>
      <c r="V55" s="83"/>
      <c r="W55" s="83"/>
    </row>
    <row r="56" spans="1:23">
      <c r="A56" s="25"/>
      <c r="B56" s="25"/>
      <c r="C56" s="25"/>
      <c r="D56" s="26"/>
      <c r="E56" s="26"/>
      <c r="F56" s="26"/>
      <c r="G56" s="26"/>
      <c r="H56" s="26"/>
      <c r="I56" s="26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  <c r="U56" s="25"/>
      <c r="V56" s="25"/>
      <c r="W56" s="25"/>
    </row>
    <row r="57" spans="1:23">
      <c r="A57" s="25"/>
      <c r="B57" s="25"/>
      <c r="C57" s="56" t="s">
        <v>118</v>
      </c>
      <c r="D57" s="28" t="s">
        <v>7</v>
      </c>
      <c r="E57" s="28" t="s">
        <v>8</v>
      </c>
      <c r="F57" s="28" t="s">
        <v>22</v>
      </c>
      <c r="G57" s="28"/>
      <c r="H57" s="28"/>
      <c r="I57" s="28"/>
      <c r="J57" s="141" t="str">
        <f t="shared" ref="J57:S57" si="10">IF(YEAR(J$4)=BaseYear,J$4,"")</f>
        <v/>
      </c>
      <c r="K57" s="141" t="str">
        <f t="shared" si="10"/>
        <v/>
      </c>
      <c r="L57" s="141" t="str">
        <f t="shared" si="10"/>
        <v/>
      </c>
      <c r="M57" s="141">
        <f t="shared" si="10"/>
        <v>43252</v>
      </c>
      <c r="N57" s="141" t="str">
        <f t="shared" si="10"/>
        <v/>
      </c>
      <c r="O57" s="141" t="str">
        <f t="shared" si="10"/>
        <v/>
      </c>
      <c r="P57" s="141" t="str">
        <f t="shared" si="10"/>
        <v/>
      </c>
      <c r="Q57" s="141" t="str">
        <f t="shared" si="10"/>
        <v/>
      </c>
      <c r="R57" s="141" t="str">
        <f t="shared" si="10"/>
        <v/>
      </c>
      <c r="S57" s="141" t="str">
        <f t="shared" si="10"/>
        <v/>
      </c>
      <c r="T57" s="25"/>
      <c r="U57" s="25"/>
      <c r="V57" s="25"/>
      <c r="W57" s="25"/>
    </row>
    <row r="58" spans="1:23">
      <c r="A58" s="25"/>
      <c r="B58" s="25"/>
      <c r="C58" s="56"/>
      <c r="D58" s="28"/>
      <c r="E58" s="28"/>
      <c r="F58" s="28"/>
      <c r="G58" s="28"/>
      <c r="H58" s="28"/>
      <c r="I58" s="28"/>
      <c r="J58" s="145"/>
      <c r="K58" s="145"/>
      <c r="L58" s="145"/>
      <c r="M58" s="145"/>
      <c r="N58" s="145"/>
      <c r="O58" s="145"/>
      <c r="P58" s="145"/>
      <c r="Q58" s="145"/>
      <c r="R58" s="145"/>
      <c r="S58" s="145"/>
      <c r="T58" s="25"/>
      <c r="U58" s="25"/>
      <c r="V58" s="25"/>
      <c r="W58" s="25"/>
    </row>
    <row r="59" spans="1:23">
      <c r="A59" s="25"/>
      <c r="B59" s="25"/>
      <c r="C59" s="50" t="s">
        <v>178</v>
      </c>
      <c r="D59" s="26" t="s">
        <v>34</v>
      </c>
      <c r="E59" s="26" t="str">
        <f>$E$53</f>
        <v>$millions</v>
      </c>
      <c r="F59" s="153">
        <v>43252</v>
      </c>
      <c r="G59" s="28"/>
      <c r="H59" s="28"/>
      <c r="I59" s="28"/>
      <c r="J59" s="146"/>
      <c r="K59" s="146"/>
      <c r="L59" s="146"/>
      <c r="M59" s="146"/>
      <c r="N59" s="146"/>
      <c r="O59" s="146"/>
      <c r="P59" s="146"/>
      <c r="Q59" s="146"/>
      <c r="R59" s="146"/>
      <c r="S59" s="146"/>
      <c r="T59" s="106"/>
      <c r="U59" s="124"/>
      <c r="V59" s="124"/>
      <c r="W59" s="123"/>
    </row>
    <row r="60" spans="1:23">
      <c r="A60" s="25"/>
      <c r="B60" s="25"/>
      <c r="C60" s="50" t="s">
        <v>169</v>
      </c>
      <c r="D60" s="26" t="s">
        <v>34</v>
      </c>
      <c r="E60" s="26" t="str">
        <f t="shared" ref="E60:E65" si="11">$E$53</f>
        <v>$millions</v>
      </c>
      <c r="F60" s="153">
        <v>43252</v>
      </c>
      <c r="G60" s="28"/>
      <c r="H60" s="28"/>
      <c r="I60" s="28"/>
      <c r="J60" s="146"/>
      <c r="K60" s="146"/>
      <c r="L60" s="146"/>
      <c r="M60" s="146">
        <v>-2.9669174570597361E-2</v>
      </c>
      <c r="N60" s="146"/>
      <c r="O60" s="146"/>
      <c r="P60" s="146"/>
      <c r="Q60" s="146"/>
      <c r="R60" s="146"/>
      <c r="S60" s="146"/>
      <c r="T60" s="106"/>
      <c r="U60" s="124"/>
      <c r="V60" s="124"/>
      <c r="W60" s="25"/>
    </row>
    <row r="61" spans="1:23">
      <c r="A61" s="25"/>
      <c r="B61" s="25"/>
      <c r="C61" s="50" t="s">
        <v>170</v>
      </c>
      <c r="D61" s="26" t="s">
        <v>34</v>
      </c>
      <c r="E61" s="26" t="str">
        <f t="shared" si="11"/>
        <v>$millions</v>
      </c>
      <c r="F61" s="153">
        <v>43252</v>
      </c>
      <c r="G61" s="28"/>
      <c r="H61" s="28"/>
      <c r="I61" s="28"/>
      <c r="J61" s="146"/>
      <c r="K61" s="146"/>
      <c r="L61" s="146"/>
      <c r="M61" s="146"/>
      <c r="N61" s="146"/>
      <c r="O61" s="146"/>
      <c r="P61" s="146"/>
      <c r="Q61" s="146"/>
      <c r="R61" s="146"/>
      <c r="S61" s="146"/>
      <c r="T61" s="106"/>
      <c r="U61" s="124"/>
      <c r="V61" s="124"/>
      <c r="W61" s="25"/>
    </row>
    <row r="62" spans="1:23">
      <c r="A62" s="25"/>
      <c r="B62" s="25"/>
      <c r="C62" s="50" t="s">
        <v>171</v>
      </c>
      <c r="D62" s="26" t="s">
        <v>34</v>
      </c>
      <c r="E62" s="26" t="str">
        <f t="shared" si="11"/>
        <v>$millions</v>
      </c>
      <c r="F62" s="153">
        <v>43252</v>
      </c>
      <c r="G62" s="28"/>
      <c r="H62" s="28"/>
      <c r="I62" s="28"/>
      <c r="J62" s="146"/>
      <c r="K62" s="146"/>
      <c r="L62" s="146"/>
      <c r="M62" s="146"/>
      <c r="N62" s="146"/>
      <c r="O62" s="146"/>
      <c r="P62" s="146"/>
      <c r="Q62" s="146"/>
      <c r="R62" s="146"/>
      <c r="S62" s="146"/>
      <c r="T62" s="106"/>
      <c r="U62" s="124"/>
      <c r="V62" s="124"/>
      <c r="W62" s="25"/>
    </row>
    <row r="63" spans="1:23">
      <c r="A63" s="25"/>
      <c r="B63" s="25"/>
      <c r="C63" s="50" t="s">
        <v>177</v>
      </c>
      <c r="D63" s="26" t="s">
        <v>34</v>
      </c>
      <c r="E63" s="26" t="str">
        <f t="shared" si="11"/>
        <v>$millions</v>
      </c>
      <c r="F63" s="153">
        <v>43252</v>
      </c>
      <c r="G63" s="28"/>
      <c r="H63" s="28"/>
      <c r="I63" s="28"/>
      <c r="J63" s="146"/>
      <c r="K63" s="146"/>
      <c r="L63" s="146"/>
      <c r="M63" s="146"/>
      <c r="N63" s="146"/>
      <c r="O63" s="146"/>
      <c r="P63" s="146"/>
      <c r="Q63" s="146"/>
      <c r="R63" s="146"/>
      <c r="S63" s="146"/>
      <c r="T63" s="106"/>
      <c r="U63" s="124"/>
      <c r="V63" s="124"/>
      <c r="W63" s="25"/>
    </row>
    <row r="64" spans="1:23" s="84" customFormat="1">
      <c r="A64" s="179"/>
      <c r="B64" s="179"/>
      <c r="C64" s="180"/>
      <c r="D64" s="87"/>
      <c r="E64" s="87"/>
      <c r="F64" s="181"/>
      <c r="G64" s="182"/>
      <c r="H64" s="182"/>
      <c r="I64" s="182"/>
      <c r="J64" s="183"/>
      <c r="K64" s="183"/>
      <c r="L64" s="183"/>
      <c r="M64" s="183"/>
      <c r="N64" s="183"/>
      <c r="O64" s="183"/>
      <c r="P64" s="183"/>
      <c r="Q64" s="183"/>
      <c r="R64" s="183"/>
      <c r="S64" s="183"/>
      <c r="T64" s="86"/>
      <c r="U64" s="147"/>
      <c r="V64" s="147"/>
      <c r="W64" s="179"/>
    </row>
    <row r="65" spans="1:23">
      <c r="A65" s="25"/>
      <c r="B65" s="25"/>
      <c r="C65" s="50" t="s">
        <v>160</v>
      </c>
      <c r="D65" s="26" t="s">
        <v>34</v>
      </c>
      <c r="E65" s="26" t="str">
        <f t="shared" si="11"/>
        <v>$millions</v>
      </c>
      <c r="F65" s="153">
        <v>43252</v>
      </c>
      <c r="G65" s="28"/>
      <c r="H65" s="28"/>
      <c r="I65" s="28"/>
      <c r="J65" s="146"/>
      <c r="K65" s="146"/>
      <c r="L65" s="146"/>
      <c r="M65" s="146"/>
      <c r="N65" s="146"/>
      <c r="O65" s="146"/>
      <c r="P65" s="146"/>
      <c r="Q65" s="146"/>
      <c r="R65" s="146"/>
      <c r="S65" s="146"/>
      <c r="T65" s="106"/>
      <c r="U65" s="124"/>
      <c r="V65" s="124"/>
      <c r="W65" s="25"/>
    </row>
    <row r="66" spans="1:23" s="84" customFormat="1">
      <c r="A66" s="179"/>
      <c r="B66" s="179"/>
      <c r="C66" s="180"/>
      <c r="D66" s="87"/>
      <c r="E66" s="87"/>
      <c r="F66" s="181"/>
      <c r="G66" s="182"/>
      <c r="H66" s="182"/>
      <c r="I66" s="182"/>
      <c r="J66" s="183"/>
      <c r="K66" s="183"/>
      <c r="L66" s="183"/>
      <c r="M66" s="183"/>
      <c r="N66" s="183"/>
      <c r="O66" s="183"/>
      <c r="P66" s="183"/>
      <c r="Q66" s="183"/>
      <c r="R66" s="183"/>
      <c r="S66" s="183"/>
      <c r="T66" s="86"/>
      <c r="U66" s="147"/>
      <c r="V66" s="147"/>
      <c r="W66" s="179"/>
    </row>
    <row r="67" spans="1:23">
      <c r="A67" s="25"/>
      <c r="B67" s="25"/>
      <c r="C67" s="50" t="s">
        <v>93</v>
      </c>
      <c r="D67" s="26" t="s">
        <v>34</v>
      </c>
      <c r="E67" s="26" t="s">
        <v>31</v>
      </c>
      <c r="F67" s="28"/>
      <c r="G67" s="28"/>
      <c r="H67" s="28"/>
      <c r="I67" s="28"/>
      <c r="J67" s="184"/>
      <c r="K67" s="184"/>
      <c r="L67" s="184"/>
      <c r="M67" s="184">
        <v>0</v>
      </c>
      <c r="N67" s="184"/>
      <c r="O67" s="184"/>
      <c r="P67" s="184"/>
      <c r="Q67" s="184"/>
      <c r="R67" s="184"/>
      <c r="S67" s="184"/>
      <c r="T67" s="106"/>
      <c r="U67" s="124"/>
      <c r="V67" s="124"/>
      <c r="W67" s="25"/>
    </row>
    <row r="68" spans="1:23">
      <c r="A68" s="25"/>
      <c r="B68" s="25"/>
      <c r="C68" s="93"/>
      <c r="D68" s="26"/>
      <c r="E68" s="26"/>
      <c r="F68" s="26"/>
      <c r="G68" s="28"/>
      <c r="H68" s="28"/>
      <c r="I68" s="26"/>
      <c r="J68" s="25"/>
      <c r="K68" s="25"/>
      <c r="L68" s="25"/>
      <c r="M68" s="25"/>
      <c r="N68" s="25"/>
      <c r="O68" s="25"/>
      <c r="P68" s="25"/>
      <c r="Q68" s="25"/>
      <c r="R68" s="25"/>
      <c r="S68" s="25"/>
      <c r="T68" s="25"/>
      <c r="U68" s="25"/>
      <c r="V68" s="25"/>
      <c r="W68" s="25"/>
    </row>
    <row r="69" spans="1:23" ht="12.75">
      <c r="A69" s="79"/>
      <c r="B69" s="80" t="s">
        <v>21</v>
      </c>
      <c r="C69" s="79"/>
      <c r="D69" s="79"/>
      <c r="E69" s="79"/>
      <c r="F69" s="81"/>
      <c r="G69" s="81"/>
      <c r="H69" s="81"/>
      <c r="I69" s="81"/>
      <c r="J69" s="82"/>
      <c r="K69" s="83"/>
      <c r="L69" s="82"/>
      <c r="M69" s="83"/>
      <c r="N69" s="82"/>
      <c r="O69" s="82"/>
      <c r="P69" s="82"/>
      <c r="Q69" s="82"/>
      <c r="R69" s="82"/>
      <c r="S69" s="82"/>
      <c r="T69" s="82"/>
      <c r="U69" s="82"/>
      <c r="V69" s="83"/>
      <c r="W69" s="83"/>
    </row>
  </sheetData>
  <conditionalFormatting sqref="W37:W42 W48:W51">
    <cfRule type="cellIs" dxfId="180" priority="36" operator="equal">
      <formula>"Check"</formula>
    </cfRule>
    <cfRule type="cellIs" dxfId="179" priority="37" operator="equal">
      <formula>"Ok"</formula>
    </cfRule>
  </conditionalFormatting>
  <conditionalFormatting sqref="W53">
    <cfRule type="cellIs" dxfId="178" priority="34" operator="equal">
      <formula>"Check"</formula>
    </cfRule>
    <cfRule type="cellIs" dxfId="177" priority="35" operator="equal">
      <formula>"Ok"</formula>
    </cfRule>
  </conditionalFormatting>
  <conditionalFormatting sqref="W15">
    <cfRule type="cellIs" dxfId="176" priority="32" operator="equal">
      <formula>"Check"</formula>
    </cfRule>
    <cfRule type="cellIs" dxfId="175" priority="33" operator="equal">
      <formula>"Ok"</formula>
    </cfRule>
  </conditionalFormatting>
  <conditionalFormatting sqref="V1">
    <cfRule type="cellIs" dxfId="174" priority="30" operator="equal">
      <formula>"Check"</formula>
    </cfRule>
    <cfRule type="cellIs" dxfId="173" priority="31" operator="equal">
      <formula>"Ok"</formula>
    </cfRule>
  </conditionalFormatting>
  <conditionalFormatting sqref="S1">
    <cfRule type="cellIs" dxfId="172" priority="28" operator="equal">
      <formula>"Check"</formula>
    </cfRule>
    <cfRule type="cellIs" dxfId="171" priority="29" operator="equal">
      <formula>"Ok"</formula>
    </cfRule>
  </conditionalFormatting>
  <conditionalFormatting sqref="J15:S15">
    <cfRule type="cellIs" dxfId="170" priority="27" operator="equal">
      <formula>0</formula>
    </cfRule>
  </conditionalFormatting>
  <conditionalFormatting sqref="J53:S53">
    <cfRule type="cellIs" dxfId="169" priority="26" operator="equal">
      <formula>0</formula>
    </cfRule>
  </conditionalFormatting>
  <conditionalFormatting sqref="W45:W47">
    <cfRule type="cellIs" dxfId="168" priority="24" operator="equal">
      <formula>"Check"</formula>
    </cfRule>
    <cfRule type="cellIs" dxfId="167" priority="25" operator="equal">
      <formula>"Ok"</formula>
    </cfRule>
  </conditionalFormatting>
  <conditionalFormatting sqref="J38:S42 N37:S37 J49:S49 J33:S33 J48:L48 N48:S48 J51:S51 J50:K50 N50:S50">
    <cfRule type="expression" dxfId="166" priority="22">
      <formula>J$34=J$4</formula>
    </cfRule>
  </conditionalFormatting>
  <conditionalFormatting sqref="O13:S13 J20:S27 O19:S19">
    <cfRule type="expression" dxfId="165" priority="21">
      <formula>J$10=J$4</formula>
    </cfRule>
  </conditionalFormatting>
  <conditionalFormatting sqref="J37:K37">
    <cfRule type="expression" dxfId="164" priority="18">
      <formula>J$10=J$4</formula>
    </cfRule>
  </conditionalFormatting>
  <conditionalFormatting sqref="W44">
    <cfRule type="cellIs" dxfId="163" priority="16" operator="equal">
      <formula>"Check"</formula>
    </cfRule>
    <cfRule type="cellIs" dxfId="162" priority="17" operator="equal">
      <formula>"Ok"</formula>
    </cfRule>
  </conditionalFormatting>
  <conditionalFormatting sqref="J44:S44">
    <cfRule type="cellIs" dxfId="161" priority="14" operator="equal">
      <formula>0</formula>
    </cfRule>
  </conditionalFormatting>
  <conditionalFormatting sqref="J59:S59 J65:S65 J67:M67 J61:S63 J60:M60 O60:S60 O67:S67">
    <cfRule type="expression" dxfId="160" priority="13">
      <formula>J$57=J$4</formula>
    </cfRule>
  </conditionalFormatting>
  <conditionalFormatting sqref="W29">
    <cfRule type="cellIs" dxfId="159" priority="9" operator="equal">
      <formula>"Check"</formula>
    </cfRule>
    <cfRule type="cellIs" dxfId="158" priority="10" operator="equal">
      <formula>"Ok"</formula>
    </cfRule>
  </conditionalFormatting>
  <conditionalFormatting sqref="J29:S29">
    <cfRule type="cellIs" dxfId="157" priority="8" operator="equal">
      <formula>0</formula>
    </cfRule>
  </conditionalFormatting>
  <conditionalFormatting sqref="J13:N13">
    <cfRule type="expression" dxfId="156" priority="7">
      <formula>J$10=J$4</formula>
    </cfRule>
  </conditionalFormatting>
  <conditionalFormatting sqref="J19:N19">
    <cfRule type="expression" dxfId="155" priority="6">
      <formula>J$10=J$4</formula>
    </cfRule>
  </conditionalFormatting>
  <conditionalFormatting sqref="L37">
    <cfRule type="expression" dxfId="154" priority="5">
      <formula>L$10=L$4</formula>
    </cfRule>
  </conditionalFormatting>
  <conditionalFormatting sqref="N60">
    <cfRule type="expression" dxfId="153" priority="4">
      <formula>N$57=N$4</formula>
    </cfRule>
  </conditionalFormatting>
  <conditionalFormatting sqref="N67">
    <cfRule type="expression" dxfId="152" priority="3">
      <formula>N$57=N$4</formula>
    </cfRule>
  </conditionalFormatting>
  <conditionalFormatting sqref="M37">
    <cfRule type="expression" dxfId="151" priority="2">
      <formula>M$34=M$4</formula>
    </cfRule>
  </conditionalFormatting>
  <conditionalFormatting sqref="L50:M50">
    <cfRule type="expression" dxfId="150" priority="1">
      <formula>L$34=L$4</formula>
    </cfRule>
  </conditionalFormatting>
  <dataValidations count="1">
    <dataValidation type="list" allowBlank="1" showInputMessage="1" showErrorMessage="1" sqref="J33:S33">
      <formula1>"Actual,Estimate"</formula1>
    </dataValidation>
  </dataValidations>
  <hyperlinks>
    <hyperlink ref="U1" location="'Check|List'!A1" display="Overall Check:"/>
  </hyperlink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'Lookup|Tables'!$H$41:$H$60</xm:f>
          </x14:formula1>
          <xm:sqref>F15 F29 F13 F59:F66</xm:sqref>
        </x14:dataValidation>
        <x14:dataValidation type="list" allowBlank="1" showInputMessage="1" showErrorMessage="1">
          <x14:formula1>
            <xm:f>'Lookup|Tables'!$G$10:$G$12</xm:f>
          </x14:formula1>
          <xm:sqref>E13 E29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rgb="FFFFFF99"/>
  </sheetPr>
  <dimension ref="A1:AX170"/>
  <sheetViews>
    <sheetView showGridLines="0" topLeftCell="A76" workbookViewId="0">
      <selection activeCell="AA61" sqref="AA61"/>
    </sheetView>
  </sheetViews>
  <sheetFormatPr defaultColWidth="0" defaultRowHeight="11.25" zeroHeight="1" outlineLevelRow="1"/>
  <cols>
    <col min="1" max="2" width="1.5" style="25" customWidth="1"/>
    <col min="3" max="3" width="57.5" style="25" bestFit="1" customWidth="1"/>
    <col min="4" max="4" width="27.6640625" style="26" customWidth="1"/>
    <col min="5" max="5" width="15.83203125" style="26" customWidth="1"/>
    <col min="6" max="6" width="10.6640625" style="26" customWidth="1"/>
    <col min="7" max="9" width="3.33203125" style="26" customWidth="1"/>
    <col min="10" max="10" width="10.83203125" style="26" customWidth="1"/>
    <col min="11" max="23" width="10.83203125" style="25" customWidth="1"/>
    <col min="24" max="50" width="10.5" style="25" customWidth="1"/>
    <col min="51" max="16384" width="10.5" style="25" hidden="1"/>
  </cols>
  <sheetData>
    <row r="1" spans="1:23" s="58" customFormat="1" ht="15.75">
      <c r="B1" s="59" t="str">
        <f>Index!$B$1</f>
        <v>AER opex model</v>
      </c>
      <c r="C1" s="59"/>
      <c r="D1" s="59"/>
      <c r="E1" s="59"/>
      <c r="F1" s="60"/>
      <c r="G1" s="60"/>
      <c r="H1" s="60"/>
      <c r="I1" s="60"/>
      <c r="J1" s="60"/>
      <c r="K1" s="33" t="s">
        <v>2</v>
      </c>
      <c r="M1" s="61" t="s">
        <v>3</v>
      </c>
      <c r="N1" s="62" t="s">
        <v>4</v>
      </c>
      <c r="O1" s="63" t="s">
        <v>5</v>
      </c>
      <c r="P1" s="64" t="s">
        <v>6</v>
      </c>
      <c r="S1" s="61" t="s">
        <v>86</v>
      </c>
      <c r="T1" s="65" t="str">
        <f>IF(COUNTIF(W5:W107,"Check")=0,"Ok","Check")</f>
        <v>Ok</v>
      </c>
      <c r="V1" s="169" t="s">
        <v>24</v>
      </c>
      <c r="W1" s="65" t="str">
        <f>'Check|List'!$S$1</f>
        <v>Ok</v>
      </c>
    </row>
    <row r="2" spans="1:23" s="66" customFormat="1" ht="13.5" thickBot="1">
      <c r="B2" s="67" t="str">
        <f>Index!$C$10</f>
        <v>Input | Rate of change</v>
      </c>
      <c r="C2" s="67"/>
      <c r="D2" s="67"/>
      <c r="E2" s="67"/>
      <c r="F2" s="68"/>
      <c r="G2" s="68"/>
      <c r="H2" s="68"/>
      <c r="I2" s="68"/>
      <c r="J2" s="68"/>
    </row>
    <row r="3" spans="1:23" s="69" customFormat="1">
      <c r="C3" s="70"/>
      <c r="D3" s="164"/>
      <c r="E3" s="164"/>
      <c r="F3" s="164"/>
      <c r="G3" s="164"/>
      <c r="H3" s="164"/>
      <c r="I3" s="164"/>
      <c r="J3" s="140" t="s">
        <v>121</v>
      </c>
      <c r="K3" s="210"/>
      <c r="L3" s="210"/>
      <c r="M3" s="210"/>
      <c r="N3" s="164"/>
      <c r="O3" s="210"/>
      <c r="P3" s="210"/>
      <c r="Q3" s="210"/>
      <c r="R3" s="210"/>
      <c r="S3" s="210"/>
      <c r="T3" s="210"/>
      <c r="U3" s="211" t="s">
        <v>196</v>
      </c>
      <c r="V3" s="211"/>
      <c r="W3" s="211"/>
    </row>
    <row r="4" spans="1:23" s="78" customFormat="1" ht="10.5">
      <c r="A4" s="72"/>
      <c r="B4" s="72"/>
      <c r="C4" s="72"/>
      <c r="D4" s="73" t="s">
        <v>7</v>
      </c>
      <c r="E4" s="73" t="s">
        <v>8</v>
      </c>
      <c r="F4" s="74" t="s">
        <v>22</v>
      </c>
      <c r="G4" s="75"/>
      <c r="H4" s="75"/>
      <c r="I4" s="75"/>
      <c r="J4" s="138">
        <f>DATE(PPFirstYear-1,MONTH('Input|General'!$G$9),1)</f>
        <v>41791</v>
      </c>
      <c r="K4" s="138">
        <f>DATE(PPFirstYear,MONTH('Input|General'!$G$9),1)</f>
        <v>42156</v>
      </c>
      <c r="L4" s="138">
        <f>DATE(PPFirstYear+1,MONTH('Input|General'!$G$9),1)</f>
        <v>42522</v>
      </c>
      <c r="M4" s="138">
        <f>DATE(PPFirstYear+2,MONTH('Input|General'!$G$9),1)</f>
        <v>42887</v>
      </c>
      <c r="N4" s="138">
        <f>DATE(PPFirstYear+3,MONTH('Input|General'!$G$9),1)</f>
        <v>43252</v>
      </c>
      <c r="O4" s="138">
        <f>DATE(PPFirstYear+4,MONTH('Input|General'!$G$9),1)</f>
        <v>43617</v>
      </c>
      <c r="P4" s="138">
        <f>DATE(PPFirstYear+5,MONTH('Input|General'!$G$9),1)</f>
        <v>43983</v>
      </c>
      <c r="Q4" s="138">
        <f>DATE(PPFirstYear+6,MONTH('Input|General'!$G$9),1)</f>
        <v>44348</v>
      </c>
      <c r="R4" s="138">
        <f>DATE(PPFirstYear+7,MONTH('Input|General'!$G$9),1)</f>
        <v>44713</v>
      </c>
      <c r="S4" s="138">
        <f>DATE(PPFirstYear+8,MONTH('Input|General'!$G$9),1)</f>
        <v>45078</v>
      </c>
      <c r="T4" s="138">
        <f>DATE(PPFirstYear+9,MONTH('Input|General'!$G$9),1)</f>
        <v>45444</v>
      </c>
      <c r="U4" s="76"/>
      <c r="V4" s="76"/>
      <c r="W4" s="77"/>
    </row>
    <row r="5" spans="1:23" s="23" customFormat="1" ht="3" customHeight="1">
      <c r="D5" s="24"/>
      <c r="E5" s="24"/>
      <c r="F5" s="24"/>
      <c r="G5" s="24"/>
      <c r="H5" s="24"/>
      <c r="I5" s="24"/>
      <c r="J5" s="24"/>
    </row>
    <row r="6" spans="1:23" s="23" customFormat="1" ht="9" customHeight="1">
      <c r="D6" s="24"/>
      <c r="E6" s="24"/>
      <c r="F6" s="24"/>
      <c r="G6" s="24"/>
      <c r="H6" s="24"/>
      <c r="I6" s="24"/>
      <c r="J6" s="24"/>
    </row>
    <row r="7" spans="1:23" s="23" customFormat="1" ht="3" customHeight="1">
      <c r="D7" s="24"/>
      <c r="E7" s="24"/>
      <c r="F7" s="24"/>
      <c r="G7" s="24"/>
      <c r="H7" s="24"/>
      <c r="I7" s="24"/>
      <c r="J7" s="24"/>
    </row>
    <row r="8" spans="1:23" s="85" customFormat="1" ht="12.75">
      <c r="A8" s="79"/>
      <c r="B8" s="80" t="s">
        <v>35</v>
      </c>
      <c r="C8" s="79"/>
      <c r="D8" s="79"/>
      <c r="E8" s="79"/>
      <c r="F8" s="81"/>
      <c r="G8" s="81"/>
      <c r="H8" s="81"/>
      <c r="I8" s="81"/>
      <c r="J8" s="81"/>
      <c r="K8" s="82"/>
      <c r="L8" s="83"/>
      <c r="M8" s="82"/>
      <c r="N8" s="83"/>
      <c r="O8" s="82"/>
      <c r="P8" s="82"/>
      <c r="Q8" s="82"/>
      <c r="R8" s="82"/>
      <c r="S8" s="82"/>
      <c r="T8" s="82"/>
      <c r="U8" s="82"/>
      <c r="V8" s="82"/>
      <c r="W8" s="83"/>
    </row>
    <row r="9" spans="1:23" ht="11.25" customHeight="1" outlineLevel="1"/>
    <row r="10" spans="1:23" ht="11.25" customHeight="1" outlineLevel="1">
      <c r="C10" s="56" t="s">
        <v>33</v>
      </c>
      <c r="J10" s="141">
        <f t="shared" ref="J10:T10" si="0">IF(YEAR(J$4)&lt;=PPLastYear,J$4,"")</f>
        <v>41791</v>
      </c>
      <c r="K10" s="141">
        <f t="shared" si="0"/>
        <v>42156</v>
      </c>
      <c r="L10" s="141">
        <f t="shared" si="0"/>
        <v>42522</v>
      </c>
      <c r="M10" s="141">
        <f t="shared" si="0"/>
        <v>42887</v>
      </c>
      <c r="N10" s="141">
        <f t="shared" si="0"/>
        <v>43252</v>
      </c>
      <c r="O10" s="141">
        <f t="shared" si="0"/>
        <v>43617</v>
      </c>
      <c r="P10" s="141" t="str">
        <f t="shared" si="0"/>
        <v/>
      </c>
      <c r="Q10" s="141" t="str">
        <f t="shared" si="0"/>
        <v/>
      </c>
      <c r="R10" s="141" t="str">
        <f t="shared" si="0"/>
        <v/>
      </c>
      <c r="S10" s="141" t="str">
        <f t="shared" si="0"/>
        <v/>
      </c>
      <c r="T10" s="141" t="str">
        <f t="shared" si="0"/>
        <v/>
      </c>
    </row>
    <row r="11" spans="1:23" ht="11.25" customHeight="1" outlineLevel="1">
      <c r="C11" s="56"/>
      <c r="J11" s="25"/>
      <c r="P11" s="125"/>
      <c r="Q11" s="125"/>
      <c r="R11" s="125"/>
      <c r="S11" s="125"/>
      <c r="T11" s="125"/>
      <c r="U11" s="102"/>
      <c r="V11" s="102"/>
      <c r="W11" s="102"/>
    </row>
    <row r="12" spans="1:23" ht="11.25" customHeight="1" outlineLevel="1">
      <c r="C12" s="93" t="s">
        <v>33</v>
      </c>
      <c r="D12" s="126" t="s">
        <v>103</v>
      </c>
      <c r="E12" s="26" t="str">
        <f>percent</f>
        <v>Per cent</v>
      </c>
      <c r="J12" s="125">
        <f>IF(J10=J4,LOOKUP(EOMONTH(J4,0),'Input|Inflation'!$C$9:$C$64,'Input|Inflation'!$G$9:$G$64),"")</f>
        <v>3.0155642023346418E-2</v>
      </c>
      <c r="K12" s="125">
        <f>IF(K10=K4,LOOKUP(EOMONTH(K4,0),'Input|Inflation'!$C$9:$C$64,'Input|Inflation'!$G$9:$G$64),"")</f>
        <v>1.5108593012275628E-2</v>
      </c>
      <c r="L12" s="125">
        <f>IF(L10=L4,LOOKUP(EOMONTH(L4,0),'Input|Inflation'!$C$9:$C$64,'Input|Inflation'!$G$9:$G$64),"")</f>
        <v>1.0232558139534831E-2</v>
      </c>
      <c r="M12" s="125">
        <f>IF(M10=M4,LOOKUP(EOMONTH(M4,0),'Input|Inflation'!$C$9:$C$64,'Input|Inflation'!$G$9:$G$64),"")</f>
        <v>1.9337016574585641E-2</v>
      </c>
      <c r="N12" s="125">
        <f>IF(N10=N4,LOOKUP(EOMONTH(N4,0),'Input|Inflation'!$C$9:$C$64,'Input|Inflation'!$G$9:$G$64),"")</f>
        <v>2.0776874435411097E-2</v>
      </c>
      <c r="O12" s="125">
        <f>IF(O10=O4,LOOKUP(EOMONTH(O4,0),'Input|Inflation'!$C$9:$C$64,'Input|Inflation'!$G$9:$G$64),"")</f>
        <v>2.0000000000000018E-2</v>
      </c>
      <c r="P12" s="125"/>
      <c r="Q12" s="125" t="str">
        <f>IF(Q10=Q4,LOOKUP(EOMONTH(Q4,0),'Input|Inflation'!$C$9:$C$64,'Input|Inflation'!$G$9:$G$64),"")</f>
        <v/>
      </c>
      <c r="R12" s="125" t="str">
        <f>IF(R10=R4,LOOKUP(EOMONTH(R4,0),'Input|Inflation'!$C$9:$C$64,'Input|Inflation'!$G$9:$G$64),"")</f>
        <v/>
      </c>
      <c r="S12" s="125" t="str">
        <f>IF(S10=S4,LOOKUP(EOMONTH(S4,0),'Input|Inflation'!$C$9:$C$64,'Input|Inflation'!$G$9:$G$64),"")</f>
        <v/>
      </c>
      <c r="T12" s="125" t="str">
        <f>IF(T10=T4,LOOKUP(EOMONTH(T4,0),'Input|Inflation'!$C$9:$C$64,'Input|Inflation'!$G$9:$G$64),"")</f>
        <v/>
      </c>
      <c r="U12" s="127"/>
    </row>
    <row r="13" spans="1:23" ht="11.25" customHeight="1" outlineLevel="1">
      <c r="D13" s="25"/>
      <c r="E13" s="25"/>
      <c r="F13" s="25"/>
      <c r="G13" s="25"/>
      <c r="H13" s="25"/>
      <c r="I13" s="25"/>
      <c r="J13" s="25"/>
    </row>
    <row r="14" spans="1:23" ht="11.25" customHeight="1" outlineLevel="1">
      <c r="C14" s="56" t="s">
        <v>104</v>
      </c>
      <c r="I14" s="25"/>
      <c r="J14" s="141">
        <f t="shared" ref="J14:T14" si="1">IF(YEAR(J$4)&lt;=PPLastYear,J$4,"")</f>
        <v>41791</v>
      </c>
      <c r="K14" s="141">
        <f t="shared" si="1"/>
        <v>42156</v>
      </c>
      <c r="L14" s="141">
        <f t="shared" si="1"/>
        <v>42522</v>
      </c>
      <c r="M14" s="141">
        <f t="shared" si="1"/>
        <v>42887</v>
      </c>
      <c r="N14" s="141">
        <f t="shared" si="1"/>
        <v>43252</v>
      </c>
      <c r="O14" s="141">
        <f t="shared" si="1"/>
        <v>43617</v>
      </c>
      <c r="P14" s="141" t="str">
        <f t="shared" si="1"/>
        <v/>
      </c>
      <c r="Q14" s="141" t="str">
        <f t="shared" si="1"/>
        <v/>
      </c>
      <c r="R14" s="141" t="str">
        <f t="shared" si="1"/>
        <v/>
      </c>
      <c r="S14" s="141" t="str">
        <f t="shared" si="1"/>
        <v/>
      </c>
      <c r="T14" s="141" t="str">
        <f t="shared" si="1"/>
        <v/>
      </c>
    </row>
    <row r="15" spans="1:23" ht="11.25" customHeight="1" outlineLevel="1">
      <c r="C15" s="56"/>
      <c r="I15" s="25"/>
      <c r="J15" s="102"/>
      <c r="K15" s="102"/>
      <c r="L15" s="102"/>
      <c r="M15" s="102"/>
      <c r="N15" s="102"/>
      <c r="O15" s="102"/>
      <c r="P15" s="22"/>
      <c r="Q15" s="22"/>
      <c r="R15" s="22"/>
      <c r="S15" s="22"/>
      <c r="T15" s="22"/>
    </row>
    <row r="16" spans="1:23" ht="11.25" customHeight="1" outlineLevel="1">
      <c r="C16" s="148">
        <f t="array" ref="C16:C21">TRANSPOSE(J10:O10)</f>
        <v>41791</v>
      </c>
      <c r="D16" s="126" t="str">
        <f t="shared" ref="D16:D21" si="2">IF(ISNONTEXT($C16),"calculated","")</f>
        <v>calculated</v>
      </c>
      <c r="E16" s="26" t="str">
        <f t="shared" ref="E16:E21" si="3">IF(ISNONTEXT($C16),"index","")</f>
        <v>index</v>
      </c>
      <c r="J16" s="19">
        <f t="shared" ref="J16:N21" si="4">IF(AND($C16&gt;J$14,ISNONTEXT($C16)),K16/(1+K$12),IF(AND($C16=J$14,J$14=J$4),1,IF(AND($C16&lt;J$14,J$14=J$4),I16*(1+J$12),0)))</f>
        <v>1</v>
      </c>
      <c r="K16" s="19">
        <f t="shared" si="4"/>
        <v>1.0151085930122756</v>
      </c>
      <c r="L16" s="19">
        <f t="shared" si="4"/>
        <v>1.0254957507082152</v>
      </c>
      <c r="M16" s="19">
        <f t="shared" si="4"/>
        <v>1.0453257790368271</v>
      </c>
      <c r="N16" s="19">
        <f t="shared" si="4"/>
        <v>1.0670443814919734</v>
      </c>
      <c r="O16" s="19">
        <f t="shared" ref="O16:O21" si="5">IF(AND($C16&gt;O$14,ISNONTEXT($C16)),P16/(1+O$12),IF(AND($C16=O$14,O$14=O$4),1,IF(AND($C16&lt;O$14,O$14=O$4),N16*(1+O$12),0)))</f>
        <v>1.088385269121813</v>
      </c>
      <c r="P16" s="190"/>
      <c r="Q16" s="190"/>
      <c r="R16" s="190"/>
      <c r="S16" s="190"/>
      <c r="T16" s="190"/>
    </row>
    <row r="17" spans="1:23" ht="11.25" customHeight="1" outlineLevel="1">
      <c r="C17" s="148">
        <v>42156</v>
      </c>
      <c r="D17" s="126" t="str">
        <f t="shared" si="2"/>
        <v>calculated</v>
      </c>
      <c r="E17" s="26" t="str">
        <f t="shared" si="3"/>
        <v>index</v>
      </c>
      <c r="I17" s="19"/>
      <c r="J17" s="19">
        <f t="shared" si="4"/>
        <v>0.98511627906976751</v>
      </c>
      <c r="K17" s="19">
        <f t="shared" si="4"/>
        <v>1</v>
      </c>
      <c r="L17" s="19">
        <f t="shared" si="4"/>
        <v>1.0102325581395348</v>
      </c>
      <c r="M17" s="19">
        <f t="shared" si="4"/>
        <v>1.029767441860465</v>
      </c>
      <c r="N17" s="19">
        <f t="shared" si="4"/>
        <v>1.0511627906976744</v>
      </c>
      <c r="O17" s="19">
        <f t="shared" si="5"/>
        <v>1.072186046511628</v>
      </c>
      <c r="P17" s="190"/>
      <c r="Q17" s="190"/>
      <c r="R17" s="190"/>
      <c r="S17" s="190"/>
      <c r="T17" s="190"/>
    </row>
    <row r="18" spans="1:23" ht="11.25" customHeight="1" outlineLevel="1">
      <c r="C18" s="148">
        <v>42522</v>
      </c>
      <c r="D18" s="126" t="str">
        <f t="shared" si="2"/>
        <v>calculated</v>
      </c>
      <c r="E18" s="26" t="str">
        <f t="shared" si="3"/>
        <v>index</v>
      </c>
      <c r="I18" s="19"/>
      <c r="J18" s="19">
        <f t="shared" si="4"/>
        <v>0.97513812154696156</v>
      </c>
      <c r="K18" s="19">
        <f t="shared" si="4"/>
        <v>0.98987108655616951</v>
      </c>
      <c r="L18" s="19">
        <f t="shared" si="4"/>
        <v>1</v>
      </c>
      <c r="M18" s="19">
        <f t="shared" si="4"/>
        <v>1.0193370165745856</v>
      </c>
      <c r="N18" s="19">
        <f t="shared" si="4"/>
        <v>1.0405156537753224</v>
      </c>
      <c r="O18" s="19">
        <f t="shared" si="5"/>
        <v>1.0613259668508288</v>
      </c>
      <c r="P18" s="190"/>
      <c r="Q18" s="190"/>
      <c r="R18" s="190"/>
      <c r="S18" s="190"/>
      <c r="T18" s="190"/>
    </row>
    <row r="19" spans="1:23" ht="11.25" customHeight="1" outlineLevel="1">
      <c r="C19" s="148">
        <v>42887</v>
      </c>
      <c r="D19" s="126" t="str">
        <f t="shared" si="2"/>
        <v>calculated</v>
      </c>
      <c r="E19" s="26" t="str">
        <f t="shared" si="3"/>
        <v>index</v>
      </c>
      <c r="I19" s="19"/>
      <c r="J19" s="19">
        <f t="shared" si="4"/>
        <v>0.95663956639566416</v>
      </c>
      <c r="K19" s="19">
        <f t="shared" si="4"/>
        <v>0.97109304426377607</v>
      </c>
      <c r="L19" s="19">
        <f t="shared" si="4"/>
        <v>0.98102981029810299</v>
      </c>
      <c r="M19" s="19">
        <f t="shared" si="4"/>
        <v>1</v>
      </c>
      <c r="N19" s="19">
        <f t="shared" si="4"/>
        <v>1.0207768744354111</v>
      </c>
      <c r="O19" s="19">
        <f t="shared" si="5"/>
        <v>1.0411924119241194</v>
      </c>
      <c r="P19" s="190"/>
      <c r="Q19" s="190"/>
      <c r="R19" s="190"/>
      <c r="S19" s="190"/>
      <c r="T19" s="190"/>
    </row>
    <row r="20" spans="1:23" ht="11.25" customHeight="1" outlineLevel="1">
      <c r="C20" s="148">
        <v>43252</v>
      </c>
      <c r="D20" s="126" t="str">
        <f t="shared" si="2"/>
        <v>calculated</v>
      </c>
      <c r="E20" s="26" t="str">
        <f t="shared" si="3"/>
        <v>index</v>
      </c>
      <c r="I20" s="19"/>
      <c r="J20" s="19">
        <f t="shared" si="4"/>
        <v>0.93716814159292039</v>
      </c>
      <c r="K20" s="19">
        <f t="shared" si="4"/>
        <v>0.95132743362831851</v>
      </c>
      <c r="L20" s="19">
        <f t="shared" si="4"/>
        <v>0.96106194690265478</v>
      </c>
      <c r="M20" s="19">
        <f t="shared" si="4"/>
        <v>0.97964601769911497</v>
      </c>
      <c r="N20" s="19">
        <f t="shared" si="4"/>
        <v>1</v>
      </c>
      <c r="O20" s="19">
        <f t="shared" si="5"/>
        <v>1.02</v>
      </c>
      <c r="P20" s="190"/>
      <c r="Q20" s="190"/>
      <c r="R20" s="190"/>
      <c r="S20" s="190"/>
      <c r="T20" s="190"/>
    </row>
    <row r="21" spans="1:23" ht="11.25" customHeight="1" outlineLevel="1">
      <c r="C21" s="148">
        <v>43617</v>
      </c>
      <c r="D21" s="126" t="str">
        <f t="shared" si="2"/>
        <v>calculated</v>
      </c>
      <c r="E21" s="26" t="str">
        <f t="shared" si="3"/>
        <v>index</v>
      </c>
      <c r="I21" s="19"/>
      <c r="J21" s="19">
        <f t="shared" si="4"/>
        <v>0.91879229567933363</v>
      </c>
      <c r="K21" s="19">
        <f t="shared" si="4"/>
        <v>0.93267395453756707</v>
      </c>
      <c r="L21" s="19">
        <f t="shared" si="4"/>
        <v>0.9422175950026026</v>
      </c>
      <c r="M21" s="19">
        <f t="shared" si="4"/>
        <v>0.96043727225403419</v>
      </c>
      <c r="N21" s="19">
        <f t="shared" si="4"/>
        <v>0.98039215686274506</v>
      </c>
      <c r="O21" s="19">
        <f t="shared" si="5"/>
        <v>1</v>
      </c>
      <c r="P21" s="190"/>
      <c r="Q21" s="190"/>
      <c r="R21" s="190"/>
      <c r="S21" s="190"/>
      <c r="T21" s="190"/>
    </row>
    <row r="22" spans="1:23" ht="11.25" customHeight="1" outlineLevel="1">
      <c r="C22" s="93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</row>
    <row r="23" spans="1:23" ht="11.25" customHeight="1" outlineLevel="1">
      <c r="C23" s="56" t="s">
        <v>47</v>
      </c>
      <c r="J23" s="141">
        <f t="shared" ref="J23:T23" si="6">IF(YEAR(J$4)&lt;=PPLastYear,J$4,"")</f>
        <v>41791</v>
      </c>
      <c r="K23" s="141">
        <f t="shared" si="6"/>
        <v>42156</v>
      </c>
      <c r="L23" s="141">
        <f t="shared" si="6"/>
        <v>42522</v>
      </c>
      <c r="M23" s="141">
        <f t="shared" si="6"/>
        <v>42887</v>
      </c>
      <c r="N23" s="141">
        <f t="shared" si="6"/>
        <v>43252</v>
      </c>
      <c r="O23" s="141">
        <f t="shared" si="6"/>
        <v>43617</v>
      </c>
      <c r="P23" s="141" t="str">
        <f t="shared" si="6"/>
        <v/>
      </c>
      <c r="Q23" s="141" t="str">
        <f t="shared" si="6"/>
        <v/>
      </c>
      <c r="R23" s="141" t="str">
        <f t="shared" si="6"/>
        <v/>
      </c>
      <c r="S23" s="141" t="str">
        <f t="shared" si="6"/>
        <v/>
      </c>
      <c r="T23" s="141" t="str">
        <f t="shared" si="6"/>
        <v/>
      </c>
    </row>
    <row r="24" spans="1:23" ht="11.25" customHeight="1" outlineLevel="1">
      <c r="C24" s="93"/>
      <c r="J24" s="25"/>
      <c r="P24" s="124"/>
      <c r="Q24" s="19"/>
      <c r="R24" s="19"/>
      <c r="S24" s="19"/>
      <c r="T24" s="19"/>
    </row>
    <row r="25" spans="1:23" ht="11.25" customHeight="1" outlineLevel="1">
      <c r="C25" s="148">
        <f t="array" ref="C25:C30">TRANSPOSE(J10:O10)</f>
        <v>41791</v>
      </c>
      <c r="D25" s="126" t="str">
        <f t="shared" ref="D25:D30" si="7">IF(ISNONTEXT($C25),"calculated","")</f>
        <v>calculated</v>
      </c>
      <c r="E25" s="26" t="str">
        <f t="shared" ref="E25:E30" si="8">IF(ISNONTEXT($C25),"index","")</f>
        <v>index</v>
      </c>
      <c r="I25" s="19"/>
      <c r="J25" s="19">
        <f>IF(AND(J$23=J$4,ISNONTEXT($C25)),1/J16*(1+J$12)^0.5,0)</f>
        <v>1.0149658329339695</v>
      </c>
      <c r="K25" s="19">
        <f t="shared" ref="K25:T25" si="9">IF(AND(K$23=K$4,ISNONTEXT($C25)),1/K16*(1+K$12)^0.5,0)</f>
        <v>0.99253024088426012</v>
      </c>
      <c r="L25" s="19">
        <f t="shared" si="9"/>
        <v>0.98011450243194831</v>
      </c>
      <c r="M25" s="19">
        <f t="shared" si="9"/>
        <v>0.96584455776929623</v>
      </c>
      <c r="N25" s="19">
        <f t="shared" si="9"/>
        <v>0.94685380318889867</v>
      </c>
      <c r="O25" s="19">
        <f t="shared" si="9"/>
        <v>0.92793473275424621</v>
      </c>
      <c r="P25" s="19">
        <f t="shared" si="9"/>
        <v>0</v>
      </c>
      <c r="Q25" s="19">
        <f t="shared" si="9"/>
        <v>0</v>
      </c>
      <c r="R25" s="19">
        <f t="shared" si="9"/>
        <v>0</v>
      </c>
      <c r="S25" s="19">
        <f t="shared" si="9"/>
        <v>0</v>
      </c>
      <c r="T25" s="19">
        <f t="shared" si="9"/>
        <v>0</v>
      </c>
      <c r="U25" s="128"/>
      <c r="V25" s="128"/>
    </row>
    <row r="26" spans="1:23" ht="11.25" customHeight="1" outlineLevel="1">
      <c r="C26" s="148">
        <v>42156</v>
      </c>
      <c r="D26" s="126" t="str">
        <f t="shared" si="7"/>
        <v>calculated</v>
      </c>
      <c r="E26" s="26" t="str">
        <f t="shared" si="8"/>
        <v>index</v>
      </c>
      <c r="I26" s="19"/>
      <c r="J26" s="19">
        <f t="shared" ref="J26:T26" si="10">IF(AND(J$23=J$4,ISNONTEXT($C26)),1/J17*(1+J$12)^0.5,0)</f>
        <v>1.030300538625134</v>
      </c>
      <c r="K26" s="19">
        <f t="shared" si="10"/>
        <v>1.0075259763461564</v>
      </c>
      <c r="L26" s="19">
        <f t="shared" si="10"/>
        <v>0.99492265355462162</v>
      </c>
      <c r="M26" s="19">
        <f t="shared" si="10"/>
        <v>0.98043711010575396</v>
      </c>
      <c r="N26" s="19">
        <f t="shared" si="10"/>
        <v>0.96115943194340514</v>
      </c>
      <c r="O26" s="19">
        <f t="shared" si="10"/>
        <v>0.94195452097338483</v>
      </c>
      <c r="P26" s="19">
        <f t="shared" si="10"/>
        <v>0</v>
      </c>
      <c r="Q26" s="19">
        <f t="shared" si="10"/>
        <v>0</v>
      </c>
      <c r="R26" s="19">
        <f t="shared" si="10"/>
        <v>0</v>
      </c>
      <c r="S26" s="19">
        <f t="shared" si="10"/>
        <v>0</v>
      </c>
      <c r="T26" s="19">
        <f t="shared" si="10"/>
        <v>0</v>
      </c>
      <c r="U26" s="128"/>
      <c r="V26" s="128"/>
    </row>
    <row r="27" spans="1:23" ht="11.25" customHeight="1" outlineLevel="1">
      <c r="C27" s="148">
        <v>42522</v>
      </c>
      <c r="D27" s="126" t="str">
        <f t="shared" si="7"/>
        <v>calculated</v>
      </c>
      <c r="E27" s="26" t="str">
        <f t="shared" si="8"/>
        <v>index</v>
      </c>
      <c r="I27" s="19"/>
      <c r="J27" s="19">
        <f t="shared" ref="J27:T27" si="11">IF(AND(J$23=J$4,ISNONTEXT($C27)),1/J18*(1+J$12)^0.5,0)</f>
        <v>1.0408431487878098</v>
      </c>
      <c r="K27" s="19">
        <f t="shared" si="11"/>
        <v>1.0178355444762099</v>
      </c>
      <c r="L27" s="19">
        <f t="shared" si="11"/>
        <v>1.0051032574514596</v>
      </c>
      <c r="M27" s="19">
        <f t="shared" si="11"/>
        <v>0.99046948983706851</v>
      </c>
      <c r="N27" s="19">
        <f t="shared" si="11"/>
        <v>0.97099455171212823</v>
      </c>
      <c r="O27" s="19">
        <f t="shared" si="11"/>
        <v>0.95159312537404273</v>
      </c>
      <c r="P27" s="19">
        <f t="shared" si="11"/>
        <v>0</v>
      </c>
      <c r="Q27" s="19">
        <f t="shared" si="11"/>
        <v>0</v>
      </c>
      <c r="R27" s="19">
        <f t="shared" si="11"/>
        <v>0</v>
      </c>
      <c r="S27" s="19">
        <f t="shared" si="11"/>
        <v>0</v>
      </c>
      <c r="T27" s="19">
        <f t="shared" si="11"/>
        <v>0</v>
      </c>
      <c r="U27" s="128"/>
      <c r="V27" s="128"/>
    </row>
    <row r="28" spans="1:23" ht="11.25" customHeight="1" outlineLevel="1">
      <c r="C28" s="148">
        <v>42887</v>
      </c>
      <c r="D28" s="126" t="str">
        <f t="shared" si="7"/>
        <v>calculated</v>
      </c>
      <c r="E28" s="26" t="str">
        <f t="shared" si="8"/>
        <v>index</v>
      </c>
      <c r="I28" s="19"/>
      <c r="J28" s="19">
        <f t="shared" ref="J28:T28" si="12">IF(AND(J$23=J$4,ISNONTEXT($C28)),1/J19*(1+J$12)^0.5,0)</f>
        <v>1.0609699500074634</v>
      </c>
      <c r="K28" s="19">
        <f t="shared" si="12"/>
        <v>1.0375174472699489</v>
      </c>
      <c r="L28" s="19">
        <f t="shared" si="12"/>
        <v>1.0245389557999685</v>
      </c>
      <c r="M28" s="19">
        <f t="shared" si="12"/>
        <v>1.0096222147786693</v>
      </c>
      <c r="N28" s="19">
        <f t="shared" si="12"/>
        <v>0.98977068945241797</v>
      </c>
      <c r="O28" s="19">
        <f t="shared" si="12"/>
        <v>0.9699940974116622</v>
      </c>
      <c r="P28" s="19">
        <f t="shared" si="12"/>
        <v>0</v>
      </c>
      <c r="Q28" s="19">
        <f t="shared" si="12"/>
        <v>0</v>
      </c>
      <c r="R28" s="19">
        <f t="shared" si="12"/>
        <v>0</v>
      </c>
      <c r="S28" s="19">
        <f t="shared" si="12"/>
        <v>0</v>
      </c>
      <c r="T28" s="19">
        <f t="shared" si="12"/>
        <v>0</v>
      </c>
      <c r="U28" s="128"/>
      <c r="V28" s="128"/>
    </row>
    <row r="29" spans="1:23" ht="11.25" customHeight="1" outlineLevel="1">
      <c r="C29" s="148">
        <v>43252</v>
      </c>
      <c r="D29" s="126" t="str">
        <f t="shared" si="7"/>
        <v>calculated</v>
      </c>
      <c r="E29" s="26" t="str">
        <f t="shared" si="8"/>
        <v>index</v>
      </c>
      <c r="I29" s="19"/>
      <c r="J29" s="19">
        <f t="shared" ref="J29:T29" si="13">IF(AND(J$23=J$4,ISNONTEXT($C29)),1/J20*(1+J$12)^0.5,0)</f>
        <v>1.0830135894385131</v>
      </c>
      <c r="K29" s="19">
        <f t="shared" si="13"/>
        <v>1.0590738169964251</v>
      </c>
      <c r="L29" s="19">
        <f t="shared" si="13"/>
        <v>1.0458256730388116</v>
      </c>
      <c r="M29" s="19">
        <f t="shared" si="13"/>
        <v>1.0305990087623274</v>
      </c>
      <c r="N29" s="19">
        <f t="shared" si="13"/>
        <v>1.0103350307870211</v>
      </c>
      <c r="O29" s="19">
        <f t="shared" si="13"/>
        <v>0.99014754297667429</v>
      </c>
      <c r="P29" s="19">
        <f t="shared" si="13"/>
        <v>0</v>
      </c>
      <c r="Q29" s="19">
        <f t="shared" si="13"/>
        <v>0</v>
      </c>
      <c r="R29" s="19">
        <f t="shared" si="13"/>
        <v>0</v>
      </c>
      <c r="S29" s="19">
        <f t="shared" si="13"/>
        <v>0</v>
      </c>
      <c r="T29" s="19">
        <f t="shared" si="13"/>
        <v>0</v>
      </c>
      <c r="U29" s="128"/>
      <c r="V29" s="128"/>
    </row>
    <row r="30" spans="1:23" ht="11.25" customHeight="1" outlineLevel="1">
      <c r="C30" s="148">
        <v>43617</v>
      </c>
      <c r="D30" s="126" t="str">
        <f t="shared" si="7"/>
        <v>calculated</v>
      </c>
      <c r="E30" s="26" t="str">
        <f t="shared" si="8"/>
        <v>index</v>
      </c>
      <c r="I30" s="19"/>
      <c r="J30" s="19">
        <f t="shared" ref="J30:T30" si="14">IF(AND(J$23=J$4,ISNONTEXT($C30)),1/J21*(1+J$12)^0.5,0)</f>
        <v>1.1046738612272835</v>
      </c>
      <c r="K30" s="19">
        <f t="shared" si="14"/>
        <v>1.0802552933363536</v>
      </c>
      <c r="L30" s="19">
        <f t="shared" si="14"/>
        <v>1.0667421864995881</v>
      </c>
      <c r="M30" s="19">
        <f t="shared" si="14"/>
        <v>1.051210988937574</v>
      </c>
      <c r="N30" s="19">
        <f t="shared" si="14"/>
        <v>1.0305417314027616</v>
      </c>
      <c r="O30" s="19">
        <f t="shared" si="14"/>
        <v>1.0099504938362078</v>
      </c>
      <c r="P30" s="19">
        <f t="shared" si="14"/>
        <v>0</v>
      </c>
      <c r="Q30" s="19">
        <f t="shared" si="14"/>
        <v>0</v>
      </c>
      <c r="R30" s="19">
        <f t="shared" si="14"/>
        <v>0</v>
      </c>
      <c r="S30" s="19">
        <f t="shared" si="14"/>
        <v>0</v>
      </c>
      <c r="T30" s="19">
        <f t="shared" si="14"/>
        <v>0</v>
      </c>
      <c r="U30" s="128"/>
      <c r="V30" s="128"/>
    </row>
    <row r="31" spans="1:23">
      <c r="C31" s="93"/>
      <c r="K31" s="19"/>
      <c r="L31" s="19"/>
      <c r="M31" s="19"/>
      <c r="N31" s="19"/>
      <c r="O31" s="19"/>
      <c r="P31" s="22"/>
      <c r="Q31" s="19"/>
      <c r="R31" s="19"/>
      <c r="S31" s="19"/>
      <c r="T31" s="19"/>
    </row>
    <row r="32" spans="1:23" s="85" customFormat="1" ht="12.75">
      <c r="A32" s="79"/>
      <c r="B32" s="80" t="s">
        <v>81</v>
      </c>
      <c r="C32" s="79"/>
      <c r="D32" s="79"/>
      <c r="E32" s="79"/>
      <c r="F32" s="81"/>
      <c r="G32" s="81"/>
      <c r="H32" s="81"/>
      <c r="I32" s="81"/>
      <c r="J32" s="81"/>
      <c r="K32" s="82"/>
      <c r="L32" s="83"/>
      <c r="M32" s="82"/>
      <c r="N32" s="83"/>
      <c r="O32" s="82"/>
      <c r="P32" s="82"/>
      <c r="Q32" s="82"/>
      <c r="R32" s="82"/>
      <c r="S32" s="82"/>
      <c r="T32" s="82"/>
      <c r="U32" s="82"/>
      <c r="V32" s="82"/>
      <c r="W32" s="83"/>
    </row>
    <row r="33" spans="3:23" ht="11.25" customHeight="1" outlineLevel="1">
      <c r="K33" s="26"/>
      <c r="L33" s="26"/>
      <c r="M33" s="26"/>
      <c r="N33" s="26"/>
      <c r="O33" s="26"/>
      <c r="P33" s="26"/>
      <c r="Q33" s="26"/>
      <c r="R33" s="26"/>
      <c r="S33" s="26"/>
      <c r="T33" s="26"/>
    </row>
    <row r="34" spans="3:23" ht="11.25" customHeight="1" outlineLevel="1">
      <c r="C34" s="56" t="s">
        <v>84</v>
      </c>
      <c r="D34" s="28" t="s">
        <v>7</v>
      </c>
      <c r="E34" s="28" t="s">
        <v>8</v>
      </c>
      <c r="J34" s="145" t="str">
        <f t="shared" ref="J34:T34" si="15">IF(YEAR(J$4)&gt;BaseYear,IF(YEAR(J$4)&lt;=FPLastYear,J$4,""),"")</f>
        <v/>
      </c>
      <c r="K34" s="145" t="str">
        <f t="shared" si="15"/>
        <v/>
      </c>
      <c r="L34" s="145" t="str">
        <f t="shared" si="15"/>
        <v/>
      </c>
      <c r="M34" s="145" t="str">
        <f t="shared" si="15"/>
        <v/>
      </c>
      <c r="N34" s="145" t="str">
        <f t="shared" si="15"/>
        <v/>
      </c>
      <c r="O34" s="145">
        <f t="shared" si="15"/>
        <v>43617</v>
      </c>
      <c r="P34" s="145">
        <f t="shared" si="15"/>
        <v>43983</v>
      </c>
      <c r="Q34" s="145">
        <f t="shared" si="15"/>
        <v>44348</v>
      </c>
      <c r="R34" s="145">
        <f t="shared" si="15"/>
        <v>44713</v>
      </c>
      <c r="S34" s="145">
        <f t="shared" si="15"/>
        <v>45078</v>
      </c>
      <c r="T34" s="145">
        <f t="shared" si="15"/>
        <v>45444</v>
      </c>
    </row>
    <row r="35" spans="3:23" ht="11.25" customHeight="1" outlineLevel="1">
      <c r="J35" s="92"/>
      <c r="K35" s="124"/>
      <c r="L35" s="124"/>
      <c r="M35" s="124"/>
      <c r="N35" s="124"/>
      <c r="O35" s="124"/>
      <c r="P35" s="124"/>
      <c r="Q35" s="124"/>
      <c r="R35" s="124"/>
      <c r="S35" s="124"/>
      <c r="T35" s="124"/>
    </row>
    <row r="36" spans="3:23" ht="11.25" customHeight="1" outlineLevel="1">
      <c r="C36" s="50" t="s">
        <v>189</v>
      </c>
      <c r="D36" s="26" t="s">
        <v>190</v>
      </c>
      <c r="E36" s="26" t="str">
        <f t="shared" ref="E36:E43" si="16">percent</f>
        <v>Per cent</v>
      </c>
      <c r="J36" s="186"/>
      <c r="K36" s="134"/>
      <c r="L36" s="134"/>
      <c r="M36" s="134"/>
      <c r="N36" s="134"/>
      <c r="O36" s="204">
        <f>'[1]Growth rates'!B28</f>
        <v>3.1648595740088048E-3</v>
      </c>
      <c r="P36" s="204">
        <f>'[1]Growth rates'!C28</f>
        <v>2.7792410152414071E-3</v>
      </c>
      <c r="Q36" s="204">
        <f>'[1]Growth rates'!D28</f>
        <v>6.6874544816664105E-4</v>
      </c>
      <c r="R36" s="204">
        <f>'[1]Growth rates'!E28</f>
        <v>3.0319850496034473E-3</v>
      </c>
      <c r="S36" s="204">
        <f>'[1]Growth rates'!F28</f>
        <v>4.5089504217696863E-3</v>
      </c>
      <c r="T36" s="205">
        <f>'[1]Growth rates'!G28</f>
        <v>5.3277834336964425E-3</v>
      </c>
      <c r="U36" s="206" t="s">
        <v>195</v>
      </c>
    </row>
    <row r="37" spans="3:23" ht="11.25" customHeight="1" outlineLevel="1">
      <c r="C37" s="50" t="s">
        <v>187</v>
      </c>
      <c r="D37" s="26" t="s">
        <v>191</v>
      </c>
      <c r="E37" s="26" t="str">
        <f t="shared" si="16"/>
        <v>Per cent</v>
      </c>
      <c r="J37" s="186"/>
      <c r="K37" s="134"/>
      <c r="L37" s="134"/>
      <c r="M37" s="134"/>
      <c r="N37" s="134"/>
      <c r="O37" s="204">
        <f>'[1]Growth rates'!B29</f>
        <v>6.521219565989644E-3</v>
      </c>
      <c r="P37" s="204">
        <f>'[1]Growth rates'!C29</f>
        <v>6.7136017767417669E-3</v>
      </c>
      <c r="Q37" s="204">
        <f>'[1]Growth rates'!D29</f>
        <v>1.0747417011723583E-2</v>
      </c>
      <c r="R37" s="204">
        <f>'[1]Growth rates'!E29</f>
        <v>1.3342407326505769E-2</v>
      </c>
      <c r="S37" s="204">
        <f>'[1]Growth rates'!F29</f>
        <v>1.4938371149719689E-2</v>
      </c>
      <c r="T37" s="205">
        <f>'[1]Growth rates'!G29</f>
        <v>1.3956329567116845E-2</v>
      </c>
    </row>
    <row r="38" spans="3:23" ht="11.25" customHeight="1" outlineLevel="1">
      <c r="C38" s="50" t="s">
        <v>188</v>
      </c>
      <c r="D38" s="26" t="s">
        <v>103</v>
      </c>
      <c r="E38" s="26" t="str">
        <f t="shared" si="16"/>
        <v>Per cent</v>
      </c>
      <c r="J38" s="186"/>
      <c r="K38" s="134"/>
      <c r="L38" s="134"/>
      <c r="M38" s="134"/>
      <c r="N38" s="134"/>
      <c r="O38" s="204">
        <f>AVERAGE(O36:O37)</f>
        <v>4.8430395699992244E-3</v>
      </c>
      <c r="P38" s="204">
        <f t="shared" ref="P38:T38" si="17">AVERAGE(P36:P37)</f>
        <v>4.7464213959915874E-3</v>
      </c>
      <c r="Q38" s="204">
        <f t="shared" si="17"/>
        <v>5.7080812299451118E-3</v>
      </c>
      <c r="R38" s="204">
        <f t="shared" si="17"/>
        <v>8.1871961880546074E-3</v>
      </c>
      <c r="S38" s="204">
        <f t="shared" si="17"/>
        <v>9.7236607857446866E-3</v>
      </c>
      <c r="T38" s="204">
        <f t="shared" si="17"/>
        <v>9.6420565004066427E-3</v>
      </c>
      <c r="U38" s="206" t="s">
        <v>195</v>
      </c>
    </row>
    <row r="39" spans="3:23" ht="11.25" customHeight="1" outlineLevel="1">
      <c r="C39" s="50"/>
      <c r="E39" s="26" t="str">
        <f t="shared" si="16"/>
        <v>Per cent</v>
      </c>
      <c r="J39" s="186"/>
      <c r="K39" s="134"/>
      <c r="L39" s="134"/>
      <c r="M39" s="134"/>
      <c r="N39" s="134"/>
      <c r="O39" s="49"/>
      <c r="P39" s="49"/>
      <c r="Q39" s="49"/>
      <c r="R39" s="49"/>
      <c r="S39" s="49"/>
      <c r="T39" s="202"/>
      <c r="U39" s="129"/>
    </row>
    <row r="40" spans="3:23" ht="11.25" customHeight="1" outlineLevel="1">
      <c r="C40" s="50"/>
      <c r="E40" s="26" t="str">
        <f t="shared" si="16"/>
        <v>Per cent</v>
      </c>
      <c r="J40" s="186"/>
      <c r="K40" s="134"/>
      <c r="L40" s="134"/>
      <c r="M40" s="134"/>
      <c r="N40" s="134"/>
      <c r="O40" s="49"/>
      <c r="P40" s="49"/>
      <c r="Q40" s="49"/>
      <c r="R40" s="49"/>
      <c r="S40" s="49"/>
      <c r="T40" s="202"/>
    </row>
    <row r="41" spans="3:23" ht="11.25" customHeight="1" outlineLevel="1">
      <c r="C41" s="50"/>
      <c r="E41" s="26" t="str">
        <f t="shared" si="16"/>
        <v>Per cent</v>
      </c>
      <c r="J41" s="186"/>
      <c r="K41" s="134"/>
      <c r="L41" s="134"/>
      <c r="M41" s="134"/>
      <c r="N41" s="134"/>
      <c r="O41" s="49"/>
      <c r="P41" s="49"/>
      <c r="Q41" s="49"/>
      <c r="R41" s="49"/>
      <c r="S41" s="49"/>
      <c r="T41" s="202"/>
    </row>
    <row r="42" spans="3:23" ht="11.25" customHeight="1" outlineLevel="1">
      <c r="C42" s="50"/>
      <c r="E42" s="26" t="str">
        <f t="shared" si="16"/>
        <v>Per cent</v>
      </c>
      <c r="J42" s="186"/>
      <c r="K42" s="134"/>
      <c r="L42" s="134"/>
      <c r="M42" s="134"/>
      <c r="N42" s="134"/>
      <c r="O42" s="49"/>
      <c r="P42" s="49"/>
      <c r="Q42" s="49"/>
      <c r="R42" s="49"/>
      <c r="S42" s="49"/>
      <c r="T42" s="202"/>
    </row>
    <row r="43" spans="3:23" ht="11.25" customHeight="1" outlineLevel="1">
      <c r="C43" s="50" t="s">
        <v>85</v>
      </c>
      <c r="D43" s="26" t="s">
        <v>185</v>
      </c>
      <c r="E43" s="26" t="str">
        <f t="shared" si="16"/>
        <v>Per cent</v>
      </c>
      <c r="J43" s="186"/>
      <c r="K43" s="134"/>
      <c r="L43" s="134"/>
      <c r="M43" s="134"/>
      <c r="N43" s="134"/>
      <c r="O43" s="49">
        <v>0</v>
      </c>
      <c r="P43" s="49">
        <v>0</v>
      </c>
      <c r="Q43" s="49">
        <v>0</v>
      </c>
      <c r="R43" s="49">
        <v>0</v>
      </c>
      <c r="S43" s="49">
        <v>0</v>
      </c>
      <c r="T43" s="202">
        <v>0</v>
      </c>
    </row>
    <row r="44" spans="3:23" ht="11.25" customHeight="1" outlineLevel="1"/>
    <row r="45" spans="3:23" ht="11.25" customHeight="1" outlineLevel="1">
      <c r="C45" s="25" t="s">
        <v>40</v>
      </c>
      <c r="D45" s="26" t="s">
        <v>103</v>
      </c>
      <c r="E45" s="26" t="s">
        <v>28</v>
      </c>
      <c r="F45" s="26" t="s">
        <v>36</v>
      </c>
      <c r="J45" s="114" t="str">
        <f t="shared" ref="J45:S45" si="18">IF(J34=J4,IF(COUNTA($C36:$C43)=COUNT(J36:J43),"Ok","Check"),"")</f>
        <v/>
      </c>
      <c r="K45" s="114" t="str">
        <f t="shared" si="18"/>
        <v/>
      </c>
      <c r="L45" s="114" t="str">
        <f t="shared" si="18"/>
        <v/>
      </c>
      <c r="M45" s="114" t="str">
        <f t="shared" si="18"/>
        <v/>
      </c>
      <c r="N45" s="114" t="str">
        <f t="shared" si="18"/>
        <v/>
      </c>
      <c r="O45" s="114" t="str">
        <f t="shared" si="18"/>
        <v>Ok</v>
      </c>
      <c r="P45" s="114" t="str">
        <f t="shared" si="18"/>
        <v>Ok</v>
      </c>
      <c r="Q45" s="114" t="str">
        <f t="shared" si="18"/>
        <v>Ok</v>
      </c>
      <c r="R45" s="114" t="str">
        <f t="shared" si="18"/>
        <v>Ok</v>
      </c>
      <c r="S45" s="114" t="str">
        <f t="shared" si="18"/>
        <v>Ok</v>
      </c>
      <c r="T45" s="114" t="str">
        <f>IF(T34=T4,IF(COUNTA($C36:$C43)=COUNT(T36:T43),"Ok","Check"),"")</f>
        <v>Ok</v>
      </c>
      <c r="U45" s="21"/>
      <c r="W45" s="113" t="str">
        <f>IF(COUNTIF(J45:T45,"Check")=0,"Ok","Check")</f>
        <v>Ok</v>
      </c>
    </row>
    <row r="46" spans="3:23" ht="11.25" customHeight="1" outlineLevel="1"/>
    <row r="47" spans="3:23" ht="11.25" customHeight="1" outlineLevel="1">
      <c r="C47" s="56" t="s">
        <v>43</v>
      </c>
      <c r="D47" s="28" t="s">
        <v>7</v>
      </c>
      <c r="E47" s="28" t="s">
        <v>8</v>
      </c>
      <c r="J47" s="145" t="str">
        <f t="shared" ref="J47:T47" si="19">IF(YEAR(J$4)&gt;BaseYear,IF(YEAR(J$4)&lt;=FPLastYear,J$4,""),"")</f>
        <v/>
      </c>
      <c r="K47" s="145" t="str">
        <f t="shared" si="19"/>
        <v/>
      </c>
      <c r="L47" s="145" t="str">
        <f t="shared" si="19"/>
        <v/>
      </c>
      <c r="M47" s="145" t="str">
        <f t="shared" si="19"/>
        <v/>
      </c>
      <c r="N47" s="145" t="str">
        <f t="shared" si="19"/>
        <v/>
      </c>
      <c r="O47" s="145">
        <f t="shared" si="19"/>
        <v>43617</v>
      </c>
      <c r="P47" s="145">
        <f t="shared" si="19"/>
        <v>43983</v>
      </c>
      <c r="Q47" s="145">
        <f t="shared" si="19"/>
        <v>44348</v>
      </c>
      <c r="R47" s="145">
        <f t="shared" si="19"/>
        <v>44713</v>
      </c>
      <c r="S47" s="145">
        <f t="shared" si="19"/>
        <v>45078</v>
      </c>
      <c r="T47" s="145">
        <f t="shared" si="19"/>
        <v>45444</v>
      </c>
    </row>
    <row r="48" spans="3:23" ht="11.25" customHeight="1" outlineLevel="1"/>
    <row r="49" spans="1:23" ht="11.25" customHeight="1" outlineLevel="1">
      <c r="C49" s="130" t="str">
        <f t="shared" ref="C49:C56" si="20">C36</f>
        <v>WPI - DAE (July 2018, Table vii)</v>
      </c>
      <c r="D49" s="26" t="s">
        <v>185</v>
      </c>
      <c r="E49" s="26" t="str">
        <f t="shared" ref="E49:E56" si="21">percent</f>
        <v>Per cent</v>
      </c>
      <c r="J49" s="186"/>
      <c r="K49" s="134"/>
      <c r="L49" s="134"/>
      <c r="M49" s="134"/>
      <c r="N49" s="134"/>
      <c r="O49" s="49"/>
      <c r="P49" s="49"/>
      <c r="Q49" s="49"/>
      <c r="R49" s="49"/>
      <c r="S49" s="49"/>
      <c r="T49" s="49"/>
    </row>
    <row r="50" spans="1:23" ht="11.25" customHeight="1" outlineLevel="1">
      <c r="C50" s="130" t="str">
        <f t="shared" si="20"/>
        <v>WPI - BIS Oxford (November 2018)</v>
      </c>
      <c r="D50" s="26" t="s">
        <v>185</v>
      </c>
      <c r="E50" s="26" t="str">
        <f t="shared" si="21"/>
        <v>Per cent</v>
      </c>
      <c r="J50" s="186"/>
      <c r="K50" s="134"/>
      <c r="L50" s="134"/>
      <c r="M50" s="134"/>
      <c r="N50" s="134"/>
      <c r="O50" s="49"/>
      <c r="P50" s="49"/>
      <c r="Q50" s="49"/>
      <c r="R50" s="49"/>
      <c r="S50" s="49"/>
      <c r="T50" s="49"/>
    </row>
    <row r="51" spans="1:23" ht="11.25" customHeight="1" outlineLevel="1">
      <c r="C51" s="130" t="str">
        <f t="shared" si="20"/>
        <v xml:space="preserve">WPI - average of DAE and BIS Shrapnel </v>
      </c>
      <c r="D51" s="26" t="s">
        <v>192</v>
      </c>
      <c r="E51" s="26" t="str">
        <f t="shared" si="21"/>
        <v>Per cent</v>
      </c>
      <c r="J51" s="186"/>
      <c r="K51" s="134"/>
      <c r="L51" s="134"/>
      <c r="M51" s="134"/>
      <c r="N51" s="134"/>
      <c r="O51" s="49">
        <f>'[2]Input|Rate of change'!O51</f>
        <v>0.59699999999999998</v>
      </c>
      <c r="P51" s="49">
        <f>'[2]Input|Rate of change'!P51</f>
        <v>0.59699999999999998</v>
      </c>
      <c r="Q51" s="49">
        <f>'[2]Input|Rate of change'!Q51</f>
        <v>0.59699999999999998</v>
      </c>
      <c r="R51" s="49">
        <f>'[2]Input|Rate of change'!R51</f>
        <v>0.59699999999999998</v>
      </c>
      <c r="S51" s="49">
        <f>'[2]Input|Rate of change'!S51</f>
        <v>0.59699999999999998</v>
      </c>
      <c r="T51" s="49">
        <f>'[2]Input|Rate of change'!T51</f>
        <v>0.59699999999999998</v>
      </c>
    </row>
    <row r="52" spans="1:23" ht="11.25" customHeight="1" outlineLevel="1">
      <c r="C52" s="130">
        <f t="shared" si="20"/>
        <v>0</v>
      </c>
      <c r="E52" s="26" t="str">
        <f t="shared" si="21"/>
        <v>Per cent</v>
      </c>
      <c r="J52" s="186"/>
      <c r="K52" s="134"/>
      <c r="L52" s="134"/>
      <c r="M52" s="134"/>
      <c r="N52" s="134"/>
      <c r="O52" s="49"/>
      <c r="P52" s="49"/>
      <c r="Q52" s="49"/>
      <c r="R52" s="49"/>
      <c r="S52" s="49"/>
      <c r="T52" s="191"/>
      <c r="U52" s="129"/>
    </row>
    <row r="53" spans="1:23" ht="11.25" customHeight="1" outlineLevel="1">
      <c r="C53" s="130">
        <f t="shared" si="20"/>
        <v>0</v>
      </c>
      <c r="E53" s="26" t="str">
        <f t="shared" si="21"/>
        <v>Per cent</v>
      </c>
      <c r="J53" s="186"/>
      <c r="K53" s="134"/>
      <c r="L53" s="134"/>
      <c r="M53" s="134"/>
      <c r="N53" s="134"/>
      <c r="O53" s="49"/>
      <c r="P53" s="49"/>
      <c r="Q53" s="49"/>
      <c r="R53" s="49"/>
      <c r="S53" s="49"/>
      <c r="T53" s="191"/>
    </row>
    <row r="54" spans="1:23" ht="11.25" customHeight="1" outlineLevel="1">
      <c r="C54" s="130">
        <f t="shared" si="20"/>
        <v>0</v>
      </c>
      <c r="E54" s="26" t="str">
        <f t="shared" si="21"/>
        <v>Per cent</v>
      </c>
      <c r="J54" s="186"/>
      <c r="K54" s="134"/>
      <c r="L54" s="134"/>
      <c r="M54" s="134"/>
      <c r="N54" s="134"/>
      <c r="O54" s="49"/>
      <c r="P54" s="49"/>
      <c r="Q54" s="49"/>
      <c r="R54" s="49"/>
      <c r="S54" s="49"/>
      <c r="T54" s="191"/>
    </row>
    <row r="55" spans="1:23" ht="11.25" customHeight="1" outlineLevel="1">
      <c r="C55" s="130">
        <f t="shared" si="20"/>
        <v>0</v>
      </c>
      <c r="E55" s="26" t="str">
        <f t="shared" si="21"/>
        <v>Per cent</v>
      </c>
      <c r="J55" s="186"/>
      <c r="K55" s="134"/>
      <c r="L55" s="134"/>
      <c r="M55" s="134"/>
      <c r="N55" s="134"/>
      <c r="O55" s="49"/>
      <c r="P55" s="49"/>
      <c r="Q55" s="49"/>
      <c r="R55" s="49"/>
      <c r="S55" s="49"/>
      <c r="T55" s="191"/>
    </row>
    <row r="56" spans="1:23" ht="11.25" customHeight="1" outlineLevel="1">
      <c r="C56" s="130" t="str">
        <f t="shared" si="20"/>
        <v>CPI</v>
      </c>
      <c r="D56" s="26" t="s">
        <v>192</v>
      </c>
      <c r="E56" s="26" t="str">
        <f t="shared" si="21"/>
        <v>Per cent</v>
      </c>
      <c r="J56" s="186"/>
      <c r="K56" s="134"/>
      <c r="L56" s="134"/>
      <c r="M56" s="134"/>
      <c r="N56" s="134"/>
      <c r="O56" s="49">
        <f>'[2]Input|Rate of change'!O56</f>
        <v>0.40300000000000002</v>
      </c>
      <c r="P56" s="49">
        <f>'[2]Input|Rate of change'!P56</f>
        <v>0.40300000000000002</v>
      </c>
      <c r="Q56" s="49">
        <f>'[2]Input|Rate of change'!Q56</f>
        <v>0.40300000000000002</v>
      </c>
      <c r="R56" s="49">
        <f>'[2]Input|Rate of change'!R56</f>
        <v>0.40300000000000002</v>
      </c>
      <c r="S56" s="49">
        <f>'[2]Input|Rate of change'!S56</f>
        <v>0.40300000000000002</v>
      </c>
      <c r="T56" s="49">
        <f>'[2]Input|Rate of change'!T56</f>
        <v>0.40300000000000002</v>
      </c>
    </row>
    <row r="57" spans="1:23" ht="11.25" customHeight="1" outlineLevel="1"/>
    <row r="58" spans="1:23" outlineLevel="1">
      <c r="C58" s="25" t="s">
        <v>40</v>
      </c>
      <c r="D58" s="26" t="s">
        <v>103</v>
      </c>
      <c r="E58" s="26" t="s">
        <v>28</v>
      </c>
      <c r="F58" s="26" t="s">
        <v>36</v>
      </c>
      <c r="J58" s="114" t="str">
        <f t="shared" ref="J58:S58" si="22">IF(J47=J$4,IF(SUM(J49:J56)=1,"Ok","Check"),"")</f>
        <v/>
      </c>
      <c r="K58" s="114" t="str">
        <f t="shared" si="22"/>
        <v/>
      </c>
      <c r="L58" s="114" t="str">
        <f t="shared" si="22"/>
        <v/>
      </c>
      <c r="M58" s="114" t="str">
        <f t="shared" si="22"/>
        <v/>
      </c>
      <c r="N58" s="114" t="str">
        <f t="shared" si="22"/>
        <v/>
      </c>
      <c r="O58" s="114" t="str">
        <f t="shared" si="22"/>
        <v>Ok</v>
      </c>
      <c r="P58" s="114" t="str">
        <f t="shared" si="22"/>
        <v>Ok</v>
      </c>
      <c r="Q58" s="114" t="str">
        <f t="shared" si="22"/>
        <v>Ok</v>
      </c>
      <c r="R58" s="114" t="str">
        <f t="shared" si="22"/>
        <v>Ok</v>
      </c>
      <c r="S58" s="114" t="str">
        <f t="shared" si="22"/>
        <v>Ok</v>
      </c>
      <c r="T58" s="114" t="str">
        <f>IF(T47=T$4,IF(SUM(T49:T56)=1,"Ok","Check"),"")</f>
        <v>Ok</v>
      </c>
      <c r="U58" s="21"/>
      <c r="W58" s="113" t="str">
        <f>IF(COUNTIF(J58:T58,"Check")=0,"Ok","Check")</f>
        <v>Ok</v>
      </c>
    </row>
    <row r="59" spans="1:23"/>
    <row r="60" spans="1:23" s="85" customFormat="1" ht="12.75">
      <c r="A60" s="79"/>
      <c r="B60" s="80" t="s">
        <v>88</v>
      </c>
      <c r="C60" s="79"/>
      <c r="D60" s="79"/>
      <c r="E60" s="79"/>
      <c r="F60" s="81"/>
      <c r="G60" s="81"/>
      <c r="H60" s="81"/>
      <c r="I60" s="81"/>
      <c r="J60" s="81"/>
      <c r="K60" s="82"/>
      <c r="L60" s="83"/>
      <c r="M60" s="82"/>
      <c r="N60" s="82"/>
      <c r="O60" s="82"/>
      <c r="P60" s="82"/>
      <c r="Q60" s="82"/>
      <c r="R60" s="82"/>
      <c r="S60" s="82"/>
      <c r="T60" s="82"/>
      <c r="U60" s="82"/>
      <c r="V60" s="82"/>
      <c r="W60" s="83"/>
    </row>
    <row r="61" spans="1:23" outlineLevel="1">
      <c r="G61" s="28"/>
      <c r="H61" s="28"/>
    </row>
    <row r="62" spans="1:23" outlineLevel="1">
      <c r="C62" s="56" t="s">
        <v>89</v>
      </c>
      <c r="D62" s="28" t="s">
        <v>7</v>
      </c>
      <c r="E62" s="28" t="s">
        <v>8</v>
      </c>
      <c r="F62" s="28" t="s">
        <v>22</v>
      </c>
      <c r="G62" s="28"/>
      <c r="H62" s="28"/>
      <c r="J62" s="145" t="str">
        <f t="shared" ref="J62:T62" si="23">IF(YEAR(J$4)&gt;=BaseYear,IF(YEAR(J$4)&lt;=FPLastYear,J$4,""),"")</f>
        <v/>
      </c>
      <c r="K62" s="145" t="str">
        <f t="shared" si="23"/>
        <v/>
      </c>
      <c r="L62" s="145" t="str">
        <f t="shared" si="23"/>
        <v/>
      </c>
      <c r="M62" s="145" t="str">
        <f t="shared" si="23"/>
        <v/>
      </c>
      <c r="N62" s="145">
        <f t="shared" si="23"/>
        <v>43252</v>
      </c>
      <c r="O62" s="145">
        <f t="shared" si="23"/>
        <v>43617</v>
      </c>
      <c r="P62" s="145">
        <f t="shared" si="23"/>
        <v>43983</v>
      </c>
      <c r="Q62" s="145">
        <f t="shared" si="23"/>
        <v>44348</v>
      </c>
      <c r="R62" s="145">
        <f t="shared" si="23"/>
        <v>44713</v>
      </c>
      <c r="S62" s="145">
        <f t="shared" si="23"/>
        <v>45078</v>
      </c>
      <c r="T62" s="145">
        <f t="shared" si="23"/>
        <v>45444</v>
      </c>
    </row>
    <row r="63" spans="1:23" outlineLevel="1">
      <c r="C63" s="93"/>
      <c r="G63" s="28"/>
      <c r="H63" s="28"/>
      <c r="K63" s="20"/>
      <c r="L63" s="20"/>
      <c r="M63" s="20"/>
      <c r="N63" s="20"/>
      <c r="O63" s="20"/>
    </row>
    <row r="64" spans="1:23" outlineLevel="1">
      <c r="C64" s="50" t="s">
        <v>172</v>
      </c>
      <c r="D64" s="26" t="s">
        <v>106</v>
      </c>
      <c r="E64" s="26" t="s">
        <v>18</v>
      </c>
      <c r="F64" s="26" t="s">
        <v>36</v>
      </c>
      <c r="G64" s="28"/>
      <c r="H64" s="28"/>
      <c r="J64" s="186"/>
      <c r="K64" s="177"/>
      <c r="L64" s="177"/>
      <c r="M64" s="20"/>
      <c r="N64" s="194">
        <f>'[2]Input|Rate of change'!N64</f>
        <v>85062</v>
      </c>
      <c r="O64" s="194">
        <f>'[2]Input|Rate of change'!O64</f>
        <v>86061</v>
      </c>
      <c r="P64" s="194">
        <f>'[2]Input|Rate of change'!P64</f>
        <v>86730</v>
      </c>
      <c r="Q64" s="194">
        <f>'[2]Input|Rate of change'!Q64</f>
        <v>87506</v>
      </c>
      <c r="R64" s="194">
        <f>'[2]Input|Rate of change'!R64</f>
        <v>88580</v>
      </c>
      <c r="S64" s="194">
        <f>'[2]Input|Rate of change'!S64</f>
        <v>89260</v>
      </c>
      <c r="T64" s="194">
        <f>'[2]Input|Rate of change'!T64</f>
        <v>89947</v>
      </c>
    </row>
    <row r="65" spans="3:23" outlineLevel="1">
      <c r="C65" s="50" t="s">
        <v>173</v>
      </c>
      <c r="D65" s="26" t="s">
        <v>106</v>
      </c>
      <c r="E65" s="26" t="s">
        <v>18</v>
      </c>
      <c r="F65" s="26" t="s">
        <v>36</v>
      </c>
      <c r="G65" s="28"/>
      <c r="H65" s="28"/>
      <c r="J65" s="186"/>
      <c r="K65" s="177"/>
      <c r="L65" s="177"/>
      <c r="M65" s="20"/>
      <c r="N65" s="194">
        <f>'[2]Input|Rate of change'!N65</f>
        <v>7049</v>
      </c>
      <c r="O65" s="194">
        <f>'[2]Input|Rate of change'!O65</f>
        <v>7087.8658729814169</v>
      </c>
      <c r="P65" s="194">
        <f>'[2]Input|Rate of change'!P65</f>
        <v>7142.8432700688099</v>
      </c>
      <c r="Q65" s="194">
        <f>'[2]Input|Rate of change'!Q65</f>
        <v>7183.829570856552</v>
      </c>
      <c r="R65" s="194">
        <f>'[2]Input|Rate of change'!R65</f>
        <v>7227.7850989155995</v>
      </c>
      <c r="S65" s="194">
        <f>'[2]Input|Rate of change'!S65</f>
        <v>7271.529612689862</v>
      </c>
      <c r="T65" s="194">
        <f>'[2]Input|Rate of change'!T65</f>
        <v>7314.9005444415552</v>
      </c>
    </row>
    <row r="66" spans="3:23" outlineLevel="1">
      <c r="C66" s="50" t="s">
        <v>174</v>
      </c>
      <c r="D66" s="26" t="s">
        <v>106</v>
      </c>
      <c r="E66" s="26" t="s">
        <v>18</v>
      </c>
      <c r="F66" s="26" t="s">
        <v>36</v>
      </c>
      <c r="G66" s="28"/>
      <c r="H66" s="28"/>
      <c r="J66" s="186"/>
      <c r="K66" s="177"/>
      <c r="L66" s="177"/>
      <c r="M66" s="20"/>
      <c r="N66" s="194">
        <f>'[2]Input|Rate of change'!N66</f>
        <v>501.5</v>
      </c>
      <c r="O66" s="194">
        <f>'[2]Input|Rate of change'!O66</f>
        <v>501.5</v>
      </c>
      <c r="P66" s="194">
        <f>'[2]Input|Rate of change'!P66</f>
        <v>501.5</v>
      </c>
      <c r="Q66" s="194">
        <f>'[2]Input|Rate of change'!Q66</f>
        <v>501.5</v>
      </c>
      <c r="R66" s="194">
        <f>'[2]Input|Rate of change'!R66</f>
        <v>501.5</v>
      </c>
      <c r="S66" s="194">
        <f>'[2]Input|Rate of change'!S66</f>
        <v>501.5</v>
      </c>
      <c r="T66" s="194">
        <f>'[2]Input|Rate of change'!T66</f>
        <v>501.5</v>
      </c>
    </row>
    <row r="67" spans="3:23" outlineLevel="1">
      <c r="C67" s="50" t="s">
        <v>183</v>
      </c>
      <c r="D67" s="26" t="s">
        <v>106</v>
      </c>
      <c r="E67" s="26" t="s">
        <v>18</v>
      </c>
      <c r="F67" s="26" t="s">
        <v>36</v>
      </c>
      <c r="G67" s="28"/>
      <c r="H67" s="28"/>
      <c r="J67" s="186"/>
      <c r="K67" s="177"/>
      <c r="L67" s="177"/>
      <c r="M67" s="20"/>
      <c r="N67" s="177">
        <f>'[2]Input|Rate of change'!N67</f>
        <v>1766.9421854700092</v>
      </c>
      <c r="O67" s="177">
        <f>'[2]Input|Rate of change'!O67</f>
        <v>1738.9015120803381</v>
      </c>
      <c r="P67" s="177">
        <f>'[2]Input|Rate of change'!P67</f>
        <v>1725.6762669132052</v>
      </c>
      <c r="Q67" s="177">
        <f>'[2]Input|Rate of change'!Q67</f>
        <v>1725.7138620477367</v>
      </c>
      <c r="R67" s="177">
        <f>'[2]Input|Rate of change'!R67</f>
        <v>1726.5405788902858</v>
      </c>
      <c r="S67" s="177">
        <f>'[2]Input|Rate of change'!S67</f>
        <v>1728.0290728327891</v>
      </c>
      <c r="T67" s="177">
        <f>'[2]Input|Rate of change'!T67</f>
        <v>1731.5731117295702</v>
      </c>
    </row>
    <row r="68" spans="3:23" outlineLevel="1">
      <c r="C68" s="50"/>
      <c r="D68" s="26" t="s">
        <v>106</v>
      </c>
      <c r="E68" s="26" t="s">
        <v>18</v>
      </c>
      <c r="F68" s="26" t="s">
        <v>36</v>
      </c>
      <c r="G68" s="28"/>
      <c r="H68" s="28"/>
      <c r="J68" s="186"/>
      <c r="K68" s="177"/>
      <c r="L68" s="177"/>
      <c r="M68" s="20"/>
      <c r="N68" s="177"/>
      <c r="O68" s="178"/>
      <c r="P68" s="178"/>
      <c r="Q68" s="178"/>
      <c r="R68" s="178"/>
      <c r="S68" s="178"/>
      <c r="T68" s="178"/>
    </row>
    <row r="69" spans="3:23" outlineLevel="1">
      <c r="C69" s="50"/>
      <c r="D69" s="26" t="s">
        <v>106</v>
      </c>
      <c r="E69" s="26" t="s">
        <v>18</v>
      </c>
      <c r="F69" s="26" t="s">
        <v>36</v>
      </c>
      <c r="G69" s="28"/>
      <c r="H69" s="28"/>
      <c r="J69" s="186"/>
      <c r="K69" s="177"/>
      <c r="L69" s="177"/>
      <c r="M69" s="177"/>
      <c r="N69" s="177"/>
      <c r="O69" s="178"/>
      <c r="P69" s="178"/>
      <c r="Q69" s="178"/>
      <c r="R69" s="178"/>
      <c r="S69" s="178"/>
      <c r="T69" s="178"/>
    </row>
    <row r="70" spans="3:23" outlineLevel="1">
      <c r="C70" s="93"/>
      <c r="G70" s="28"/>
      <c r="H70" s="28"/>
      <c r="K70" s="20"/>
      <c r="L70" s="20"/>
      <c r="M70" s="20"/>
      <c r="N70" s="20"/>
      <c r="O70" s="20"/>
    </row>
    <row r="71" spans="3:23" outlineLevel="1">
      <c r="C71" s="25" t="s">
        <v>40</v>
      </c>
      <c r="D71" s="26" t="s">
        <v>103</v>
      </c>
      <c r="E71" s="26" t="s">
        <v>28</v>
      </c>
      <c r="F71" s="26" t="s">
        <v>36</v>
      </c>
      <c r="J71" s="114" t="str">
        <f t="shared" ref="J71:S71" si="24">IF(J62=J$4,IF(COUNTA($C64:$C69)=COUNT(J64:J69),"Ok","Check"),"")</f>
        <v/>
      </c>
      <c r="K71" s="114" t="str">
        <f t="shared" si="24"/>
        <v/>
      </c>
      <c r="L71" s="114" t="str">
        <f t="shared" si="24"/>
        <v/>
      </c>
      <c r="M71" s="114" t="str">
        <f t="shared" si="24"/>
        <v/>
      </c>
      <c r="N71" s="114" t="str">
        <f t="shared" si="24"/>
        <v>Ok</v>
      </c>
      <c r="O71" s="114" t="str">
        <f t="shared" si="24"/>
        <v>Ok</v>
      </c>
      <c r="P71" s="114" t="str">
        <f t="shared" si="24"/>
        <v>Ok</v>
      </c>
      <c r="Q71" s="114" t="str">
        <f t="shared" si="24"/>
        <v>Ok</v>
      </c>
      <c r="R71" s="114" t="str">
        <f t="shared" si="24"/>
        <v>Ok</v>
      </c>
      <c r="S71" s="114" t="str">
        <f t="shared" si="24"/>
        <v>Ok</v>
      </c>
      <c r="T71" s="114" t="str">
        <f>IF(T62=T$4,IF(COUNTA($C64:$C69)=COUNT(T64:T69),"Ok","Check"),"")</f>
        <v>Ok</v>
      </c>
      <c r="U71" s="21"/>
      <c r="W71" s="113" t="str">
        <f>IF(COUNTIF(J71:T71,"Check")=0,"Ok","Check")</f>
        <v>Ok</v>
      </c>
    </row>
    <row r="72" spans="3:23" outlineLevel="1">
      <c r="C72" s="93"/>
      <c r="G72" s="28"/>
      <c r="H72" s="28"/>
      <c r="K72" s="20"/>
      <c r="L72" s="20"/>
      <c r="M72" s="20"/>
      <c r="N72" s="20"/>
      <c r="O72" s="20"/>
    </row>
    <row r="73" spans="3:23" outlineLevel="1">
      <c r="C73" s="56" t="s">
        <v>92</v>
      </c>
      <c r="D73" s="28" t="s">
        <v>7</v>
      </c>
      <c r="E73" s="28" t="s">
        <v>8</v>
      </c>
      <c r="F73" s="28" t="s">
        <v>22</v>
      </c>
      <c r="G73" s="28"/>
      <c r="H73" s="28"/>
      <c r="J73" s="145" t="str">
        <f t="shared" ref="J73:T73" si="25">IF(YEAR(J$4)&gt;BaseYear,IF(YEAR(J$4)&lt;=FPLastYear,J$4,""),"")</f>
        <v/>
      </c>
      <c r="K73" s="145" t="str">
        <f t="shared" si="25"/>
        <v/>
      </c>
      <c r="L73" s="145" t="str">
        <f t="shared" si="25"/>
        <v/>
      </c>
      <c r="M73" s="145" t="str">
        <f t="shared" si="25"/>
        <v/>
      </c>
      <c r="N73" s="145" t="str">
        <f t="shared" si="25"/>
        <v/>
      </c>
      <c r="O73" s="145">
        <f t="shared" si="25"/>
        <v>43617</v>
      </c>
      <c r="P73" s="145">
        <f t="shared" si="25"/>
        <v>43983</v>
      </c>
      <c r="Q73" s="145">
        <f t="shared" si="25"/>
        <v>44348</v>
      </c>
      <c r="R73" s="145">
        <f t="shared" si="25"/>
        <v>44713</v>
      </c>
      <c r="S73" s="145">
        <f t="shared" si="25"/>
        <v>45078</v>
      </c>
      <c r="T73" s="145">
        <f t="shared" si="25"/>
        <v>45444</v>
      </c>
      <c r="U73" s="25" t="str">
        <f>IF(RIGHT(U$4,2)&gt;=RIGHT('Input|General'!$G$13,2),IF(RIGHT(U$4,2)&lt;='Input|General'!$G$14,'Input|Reported opex'!T$4,""),"")</f>
        <v/>
      </c>
    </row>
    <row r="74" spans="3:23" outlineLevel="1">
      <c r="C74" s="93"/>
      <c r="G74" s="28"/>
      <c r="H74" s="28"/>
      <c r="K74" s="20"/>
      <c r="L74" s="20"/>
      <c r="M74" s="20"/>
      <c r="N74" s="20"/>
      <c r="O74" s="20"/>
    </row>
    <row r="75" spans="3:23" outlineLevel="1">
      <c r="C75" s="130" t="str">
        <f t="shared" ref="C75:C80" si="26">C64</f>
        <v>Customer numbers (#)</v>
      </c>
      <c r="D75" s="26" t="s">
        <v>103</v>
      </c>
      <c r="E75" s="26" t="s">
        <v>18</v>
      </c>
      <c r="F75" s="26" t="s">
        <v>36</v>
      </c>
      <c r="G75" s="28"/>
      <c r="H75" s="28"/>
      <c r="J75" s="99" t="str">
        <f>IF(ISBLANK(I64),"",IF(ISBLANK(J64),"",LN(J64)-LN(I64)))</f>
        <v/>
      </c>
      <c r="K75" s="99" t="str">
        <f>IF(ISBLANK(J64),"",IF(ISBLANK(K64),"",LN(K64)-LN(J64)))</f>
        <v/>
      </c>
      <c r="L75" s="99" t="str">
        <f>IF(ISBLANK(K64),"",IF(ISBLANK(L64),"",LN(L64)-LN(K64)))</f>
        <v/>
      </c>
      <c r="M75" s="99" t="str">
        <f>IF(ISBLANK(L64),"",IF(ISBLANK(M64),"",LN(M64)-LN(L64)))</f>
        <v/>
      </c>
      <c r="N75" s="99" t="str">
        <f>IF(ISBLANK(M64),"",IF(ISBLANK(N64),"",LN(N64)-LN(M64)))</f>
        <v/>
      </c>
      <c r="O75" s="99">
        <f t="shared" ref="O75:T75" si="27">IF(ISBLANK(N64),"",IF(ISBLANK(O64),"",LN(O64)-LN(N64)))</f>
        <v>1.1675944779533154E-2</v>
      </c>
      <c r="P75" s="99">
        <f t="shared" si="27"/>
        <v>7.7434975532817418E-3</v>
      </c>
      <c r="Q75" s="99">
        <f t="shared" si="27"/>
        <v>8.9075177448627585E-3</v>
      </c>
      <c r="R75" s="99">
        <f t="shared" si="27"/>
        <v>1.2198736053825598E-2</v>
      </c>
      <c r="S75" s="99">
        <f t="shared" si="27"/>
        <v>7.6473607060716375E-3</v>
      </c>
      <c r="T75" s="99">
        <f t="shared" si="27"/>
        <v>7.6671487770862967E-3</v>
      </c>
    </row>
    <row r="76" spans="3:23" outlineLevel="1">
      <c r="C76" s="130" t="str">
        <f t="shared" si="26"/>
        <v>Circuit Length (km)</v>
      </c>
      <c r="D76" s="26" t="s">
        <v>103</v>
      </c>
      <c r="E76" s="26" t="s">
        <v>18</v>
      </c>
      <c r="F76" s="26" t="s">
        <v>36</v>
      </c>
      <c r="G76" s="28"/>
      <c r="H76" s="28"/>
      <c r="J76" s="99" t="str">
        <f t="shared" ref="J76:T76" si="28">IF(ISBLANK(I65),"",IF(ISBLANK(J65),"",LN(J65)-LN(I65)))</f>
        <v/>
      </c>
      <c r="K76" s="99" t="str">
        <f t="shared" si="28"/>
        <v/>
      </c>
      <c r="L76" s="99" t="str">
        <f t="shared" si="28"/>
        <v/>
      </c>
      <c r="M76" s="99" t="str">
        <f t="shared" si="28"/>
        <v/>
      </c>
      <c r="N76" s="99" t="str">
        <f t="shared" si="28"/>
        <v/>
      </c>
      <c r="O76" s="99">
        <f t="shared" si="28"/>
        <v>5.4985272198937452E-3</v>
      </c>
      <c r="P76" s="99">
        <f t="shared" si="28"/>
        <v>7.7266241689475379E-3</v>
      </c>
      <c r="Q76" s="99">
        <f t="shared" si="28"/>
        <v>5.7216931048049702E-3</v>
      </c>
      <c r="R76" s="99">
        <f t="shared" si="28"/>
        <v>6.1000332532366031E-3</v>
      </c>
      <c r="S76" s="99">
        <f t="shared" si="28"/>
        <v>6.034029520792572E-3</v>
      </c>
      <c r="T76" s="99">
        <f t="shared" si="28"/>
        <v>5.9467682083589324E-3</v>
      </c>
    </row>
    <row r="77" spans="3:23" outlineLevel="1">
      <c r="C77" s="130" t="str">
        <f t="shared" si="26"/>
        <v>Ratcheted Maximum Demand (MW)</v>
      </c>
      <c r="D77" s="26" t="s">
        <v>103</v>
      </c>
      <c r="E77" s="26" t="s">
        <v>18</v>
      </c>
      <c r="F77" s="26" t="s">
        <v>36</v>
      </c>
      <c r="G77" s="28"/>
      <c r="H77" s="28"/>
      <c r="J77" s="99" t="str">
        <f t="shared" ref="J77:T77" si="29">IF(ISBLANK(I66),"",IF(ISBLANK(J66),"",LN(J66)-LN(I66)))</f>
        <v/>
      </c>
      <c r="K77" s="99" t="str">
        <f t="shared" si="29"/>
        <v/>
      </c>
      <c r="L77" s="99" t="str">
        <f t="shared" si="29"/>
        <v/>
      </c>
      <c r="M77" s="99" t="str">
        <f t="shared" si="29"/>
        <v/>
      </c>
      <c r="N77" s="99" t="str">
        <f t="shared" si="29"/>
        <v/>
      </c>
      <c r="O77" s="99">
        <f t="shared" si="29"/>
        <v>0</v>
      </c>
      <c r="P77" s="99">
        <f t="shared" si="29"/>
        <v>0</v>
      </c>
      <c r="Q77" s="99">
        <f t="shared" si="29"/>
        <v>0</v>
      </c>
      <c r="R77" s="99">
        <f t="shared" si="29"/>
        <v>0</v>
      </c>
      <c r="S77" s="99">
        <f t="shared" si="29"/>
        <v>0</v>
      </c>
      <c r="T77" s="99">
        <f t="shared" si="29"/>
        <v>0</v>
      </c>
    </row>
    <row r="78" spans="3:23" outlineLevel="1">
      <c r="C78" s="130" t="str">
        <f t="shared" si="26"/>
        <v>Energy throughput (GWh)</v>
      </c>
      <c r="D78" s="26" t="s">
        <v>103</v>
      </c>
      <c r="E78" s="26" t="s">
        <v>18</v>
      </c>
      <c r="F78" s="26" t="s">
        <v>36</v>
      </c>
      <c r="G78" s="28"/>
      <c r="H78" s="28"/>
      <c r="J78" s="99" t="str">
        <f t="shared" ref="J78:T78" si="30">IF(ISBLANK(I67),"",IF(ISBLANK(J67),"",LN(J67)-LN(I67)))</f>
        <v/>
      </c>
      <c r="K78" s="99" t="str">
        <f t="shared" si="30"/>
        <v/>
      </c>
      <c r="L78" s="99" t="str">
        <f t="shared" si="30"/>
        <v/>
      </c>
      <c r="M78" s="99" t="str">
        <f t="shared" si="30"/>
        <v/>
      </c>
      <c r="N78" s="99" t="str">
        <f t="shared" si="30"/>
        <v/>
      </c>
      <c r="O78" s="99">
        <f t="shared" si="30"/>
        <v>-1.5996874803108518E-2</v>
      </c>
      <c r="P78" s="99">
        <f t="shared" si="30"/>
        <v>-7.6345865204601182E-3</v>
      </c>
      <c r="Q78" s="99">
        <f t="shared" si="30"/>
        <v>2.1785502727134087E-5</v>
      </c>
      <c r="R78" s="99">
        <f t="shared" si="30"/>
        <v>4.7894317901331362E-4</v>
      </c>
      <c r="S78" s="99">
        <f t="shared" si="30"/>
        <v>8.6175366814522647E-4</v>
      </c>
      <c r="T78" s="99">
        <f t="shared" si="30"/>
        <v>2.0488136770824283E-3</v>
      </c>
    </row>
    <row r="79" spans="3:23" outlineLevel="1">
      <c r="C79" s="130">
        <f t="shared" si="26"/>
        <v>0</v>
      </c>
      <c r="D79" s="26" t="s">
        <v>103</v>
      </c>
      <c r="E79" s="26" t="s">
        <v>18</v>
      </c>
      <c r="F79" s="26" t="s">
        <v>36</v>
      </c>
      <c r="G79" s="28"/>
      <c r="H79" s="28"/>
      <c r="J79" s="99" t="str">
        <f t="shared" ref="J79:T79" si="31">IF(ISBLANK(I68),"",IF(ISBLANK(J68),"",LN(J68)-LN(I68)))</f>
        <v/>
      </c>
      <c r="K79" s="99" t="str">
        <f t="shared" si="31"/>
        <v/>
      </c>
      <c r="L79" s="99" t="str">
        <f t="shared" si="31"/>
        <v/>
      </c>
      <c r="M79" s="99" t="str">
        <f t="shared" si="31"/>
        <v/>
      </c>
      <c r="N79" s="99" t="str">
        <f t="shared" si="31"/>
        <v/>
      </c>
      <c r="O79" s="99" t="str">
        <f t="shared" si="31"/>
        <v/>
      </c>
      <c r="P79" s="99" t="str">
        <f t="shared" si="31"/>
        <v/>
      </c>
      <c r="Q79" s="99" t="str">
        <f t="shared" si="31"/>
        <v/>
      </c>
      <c r="R79" s="99" t="str">
        <f t="shared" si="31"/>
        <v/>
      </c>
      <c r="S79" s="99" t="str">
        <f t="shared" si="31"/>
        <v/>
      </c>
      <c r="T79" s="99" t="str">
        <f t="shared" si="31"/>
        <v/>
      </c>
    </row>
    <row r="80" spans="3:23" outlineLevel="1">
      <c r="C80" s="130">
        <f t="shared" si="26"/>
        <v>0</v>
      </c>
      <c r="D80" s="26" t="s">
        <v>103</v>
      </c>
      <c r="E80" s="26" t="s">
        <v>18</v>
      </c>
      <c r="F80" s="26" t="s">
        <v>36</v>
      </c>
      <c r="G80" s="28"/>
      <c r="H80" s="28"/>
      <c r="J80" s="99" t="str">
        <f t="shared" ref="J80:T80" si="32">IF(ISBLANK(I69),"",IF(ISBLANK(J69),"",LN(J69)-LN(I69)))</f>
        <v/>
      </c>
      <c r="K80" s="99" t="str">
        <f t="shared" si="32"/>
        <v/>
      </c>
      <c r="L80" s="99" t="str">
        <f t="shared" si="32"/>
        <v/>
      </c>
      <c r="M80" s="99" t="str">
        <f t="shared" si="32"/>
        <v/>
      </c>
      <c r="N80" s="99" t="str">
        <f t="shared" si="32"/>
        <v/>
      </c>
      <c r="O80" s="99" t="str">
        <f t="shared" si="32"/>
        <v/>
      </c>
      <c r="P80" s="99" t="str">
        <f t="shared" si="32"/>
        <v/>
      </c>
      <c r="Q80" s="99" t="str">
        <f t="shared" si="32"/>
        <v/>
      </c>
      <c r="R80" s="99" t="str">
        <f t="shared" si="32"/>
        <v/>
      </c>
      <c r="S80" s="99" t="str">
        <f t="shared" si="32"/>
        <v/>
      </c>
      <c r="T80" s="99" t="str">
        <f t="shared" si="32"/>
        <v/>
      </c>
    </row>
    <row r="81" spans="3:23" outlineLevel="1">
      <c r="C81" s="93"/>
      <c r="G81" s="28"/>
      <c r="H81" s="28"/>
      <c r="K81" s="20"/>
      <c r="L81" s="20"/>
      <c r="M81" s="20"/>
      <c r="N81" s="20"/>
      <c r="O81" s="20"/>
    </row>
    <row r="82" spans="3:23" outlineLevel="1">
      <c r="C82" s="56" t="s">
        <v>43</v>
      </c>
      <c r="D82" s="28" t="s">
        <v>7</v>
      </c>
      <c r="E82" s="28" t="s">
        <v>8</v>
      </c>
      <c r="F82" s="28" t="s">
        <v>22</v>
      </c>
      <c r="G82" s="28"/>
      <c r="H82" s="108"/>
      <c r="I82" s="92"/>
      <c r="J82" s="199" t="s">
        <v>179</v>
      </c>
      <c r="K82" s="199" t="s">
        <v>180</v>
      </c>
      <c r="L82" s="199" t="s">
        <v>181</v>
      </c>
      <c r="M82" s="199" t="s">
        <v>193</v>
      </c>
      <c r="N82" s="145"/>
      <c r="O82" s="145"/>
      <c r="P82" s="145"/>
      <c r="Q82" s="145"/>
      <c r="R82" s="145"/>
      <c r="S82" s="145"/>
      <c r="T82" s="145"/>
    </row>
    <row r="83" spans="3:23" outlineLevel="1">
      <c r="C83" s="93"/>
      <c r="G83" s="28"/>
      <c r="H83" s="28"/>
      <c r="K83" s="20"/>
      <c r="L83" s="20"/>
      <c r="M83" s="20"/>
      <c r="N83" s="20"/>
      <c r="O83" s="89"/>
      <c r="P83" s="89"/>
      <c r="Q83" s="89"/>
      <c r="R83" s="89"/>
      <c r="S83" s="89"/>
      <c r="T83" s="89"/>
    </row>
    <row r="84" spans="3:23" outlineLevel="1">
      <c r="C84" s="130" t="str">
        <f t="shared" ref="C84:C89" si="33">C64</f>
        <v>Customer numbers (#)</v>
      </c>
      <c r="D84" s="26" t="s">
        <v>106</v>
      </c>
      <c r="E84" s="26" t="s">
        <v>18</v>
      </c>
      <c r="F84" s="26" t="s">
        <v>36</v>
      </c>
      <c r="G84" s="28"/>
      <c r="H84" s="28"/>
      <c r="J84" s="49">
        <f>'[2]Input|Rate of change'!J84</f>
        <v>0.77131394182547641</v>
      </c>
      <c r="K84" s="49">
        <f>'[2]Input|Rate of change'!K84</f>
        <v>0.69699999999999995</v>
      </c>
      <c r="L84" s="49">
        <f>'[2]Input|Rate of change'!L84</f>
        <v>0.59840000000000004</v>
      </c>
      <c r="M84" s="49">
        <f>'[2]Input|Rate of change'!M84</f>
        <v>0.45800000000000002</v>
      </c>
      <c r="N84" s="175"/>
      <c r="O84" s="175"/>
      <c r="P84" s="175"/>
      <c r="Q84" s="175"/>
      <c r="R84" s="175"/>
      <c r="S84" s="175"/>
      <c r="T84" s="175"/>
    </row>
    <row r="85" spans="3:23" outlineLevel="1">
      <c r="C85" s="130" t="str">
        <f t="shared" si="33"/>
        <v>Circuit Length (km)</v>
      </c>
      <c r="D85" s="26" t="s">
        <v>106</v>
      </c>
      <c r="E85" s="26" t="s">
        <v>18</v>
      </c>
      <c r="F85" s="26" t="s">
        <v>36</v>
      </c>
      <c r="G85" s="28"/>
      <c r="H85" s="28"/>
      <c r="J85" s="49">
        <f>'[2]Input|Rate of change'!J85</f>
        <v>9.7291875626880645E-2</v>
      </c>
      <c r="K85" s="49">
        <f>'[2]Input|Rate of change'!K85</f>
        <v>0.112</v>
      </c>
      <c r="L85" s="49">
        <f>'[2]Input|Rate of change'!L85</f>
        <v>0.1123</v>
      </c>
      <c r="M85" s="49">
        <f>'[2]Input|Rate of change'!M85</f>
        <v>0.23799999999999999</v>
      </c>
      <c r="N85" s="175"/>
      <c r="O85" s="175"/>
      <c r="P85" s="175"/>
      <c r="Q85" s="175"/>
      <c r="R85" s="175"/>
      <c r="S85" s="175"/>
      <c r="T85" s="175"/>
    </row>
    <row r="86" spans="3:23" outlineLevel="1">
      <c r="C86" s="130" t="str">
        <f t="shared" si="33"/>
        <v>Ratcheted Maximum Demand (MW)</v>
      </c>
      <c r="D86" s="26" t="s">
        <v>106</v>
      </c>
      <c r="E86" s="26" t="s">
        <v>18</v>
      </c>
      <c r="F86" s="26" t="s">
        <v>36</v>
      </c>
      <c r="G86" s="28"/>
      <c r="H86" s="28"/>
      <c r="J86" s="49">
        <f>'[2]Input|Rate of change'!J86</f>
        <v>0.13139418254764293</v>
      </c>
      <c r="K86" s="49">
        <f>'[2]Input|Rate of change'!K86</f>
        <v>0.191</v>
      </c>
      <c r="L86" s="49">
        <f>'[2]Input|Rate of change'!L86</f>
        <v>0.28939999999999999</v>
      </c>
      <c r="M86" s="49">
        <f>'[2]Input|Rate of change'!M86</f>
        <v>0.17599999999999999</v>
      </c>
      <c r="N86" s="175"/>
      <c r="O86" s="175"/>
      <c r="P86" s="175"/>
      <c r="Q86" s="175"/>
      <c r="R86" s="175"/>
      <c r="S86" s="175"/>
      <c r="T86" s="175"/>
    </row>
    <row r="87" spans="3:23" outlineLevel="1">
      <c r="C87" s="130" t="str">
        <f t="shared" si="33"/>
        <v>Energy throughput (GWh)</v>
      </c>
      <c r="D87" s="26" t="s">
        <v>106</v>
      </c>
      <c r="E87" s="26" t="s">
        <v>18</v>
      </c>
      <c r="F87" s="26" t="s">
        <v>36</v>
      </c>
      <c r="G87" s="28"/>
      <c r="H87" s="28"/>
      <c r="J87" s="50"/>
      <c r="K87" s="50"/>
      <c r="L87" s="50"/>
      <c r="M87" s="49">
        <f>'[2]Input|Rate of change'!M87</f>
        <v>0.128</v>
      </c>
      <c r="N87" s="175"/>
      <c r="O87" s="175"/>
      <c r="P87" s="175"/>
      <c r="Q87" s="175"/>
      <c r="R87" s="175"/>
      <c r="S87" s="175"/>
      <c r="T87" s="175"/>
    </row>
    <row r="88" spans="3:23" outlineLevel="1">
      <c r="C88" s="130">
        <f t="shared" si="33"/>
        <v>0</v>
      </c>
      <c r="D88" s="26" t="s">
        <v>106</v>
      </c>
      <c r="E88" s="26" t="s">
        <v>18</v>
      </c>
      <c r="F88" s="26" t="s">
        <v>36</v>
      </c>
      <c r="G88" s="28"/>
      <c r="H88" s="28"/>
      <c r="J88" s="50"/>
      <c r="K88" s="50"/>
      <c r="L88" s="50"/>
      <c r="M88" s="50"/>
      <c r="N88" s="175"/>
      <c r="O88" s="175"/>
      <c r="P88" s="175"/>
      <c r="Q88" s="175"/>
      <c r="R88" s="175"/>
      <c r="S88" s="175"/>
      <c r="T88" s="175"/>
    </row>
    <row r="89" spans="3:23" outlineLevel="1">
      <c r="C89" s="130">
        <f t="shared" si="33"/>
        <v>0</v>
      </c>
      <c r="D89" s="26" t="s">
        <v>106</v>
      </c>
      <c r="E89" s="26" t="s">
        <v>18</v>
      </c>
      <c r="F89" s="26" t="s">
        <v>36</v>
      </c>
      <c r="G89" s="28"/>
      <c r="H89" s="28"/>
      <c r="J89" s="50"/>
      <c r="K89" s="50"/>
      <c r="L89" s="50"/>
      <c r="M89" s="50"/>
      <c r="N89" s="175"/>
      <c r="O89" s="175"/>
      <c r="P89" s="175"/>
      <c r="Q89" s="175"/>
      <c r="R89" s="175"/>
      <c r="S89" s="175"/>
      <c r="T89" s="175"/>
    </row>
    <row r="90" spans="3:23" outlineLevel="1">
      <c r="G90" s="28"/>
      <c r="H90" s="28"/>
    </row>
    <row r="91" spans="3:23" outlineLevel="1">
      <c r="C91" s="25" t="s">
        <v>40</v>
      </c>
      <c r="D91" s="26" t="s">
        <v>103</v>
      </c>
      <c r="E91" s="26" t="s">
        <v>28</v>
      </c>
      <c r="F91" s="26" t="s">
        <v>36</v>
      </c>
      <c r="J91" s="114" t="str">
        <f t="array" ref="J91">IF(ISBLANK(J84:J89),"",IF(ROUND(SUM(J84:J89),3)=1,"Ok","Check"))</f>
        <v>Ok</v>
      </c>
      <c r="K91" s="114" t="str">
        <f t="array" ref="K91">IF(ISBLANK(K84:K89),"",IF(ROUND(SUM(K84:K89),3)=1,"Ok","Check"))</f>
        <v>Ok</v>
      </c>
      <c r="L91" s="114" t="str">
        <f t="array" ref="L91">IF(ISBLANK(L84:L89),"",IF(ROUND(SUM(L84:L89),3)=1,"Ok","Check"))</f>
        <v>Ok</v>
      </c>
      <c r="M91" s="114" t="str">
        <f t="array" ref="M91">IF(ISBLANK(M84:M89),"",IF(ROUND(SUM(M84:M89),3)=1,"Ok","Check"))</f>
        <v>Ok</v>
      </c>
      <c r="N91" s="114" t="str">
        <f t="array" ref="N91">IF(ISBLANK(N84:N89),"",IF(ROUND(SUM(N84:N89),3)=1,"Ok","Check"))</f>
        <v/>
      </c>
      <c r="O91" s="114" t="str">
        <f t="array" ref="O91">IF(ISBLANK(O84:O89),"",IF(ROUND(SUM(O84:O89),3)=1,"Ok","Check"))</f>
        <v/>
      </c>
      <c r="P91" s="114" t="str">
        <f t="array" ref="P91">IF(ISBLANK(P84:P89),"",IF(ROUND(SUM(P84:P89),3)=1,"Ok","Check"))</f>
        <v/>
      </c>
      <c r="Q91" s="114" t="str">
        <f t="array" ref="Q91">IF(ISBLANK(Q84:Q89),"",IF(ROUND(SUM(Q84:Q89),3)=1,"Ok","Check"))</f>
        <v/>
      </c>
      <c r="R91" s="114" t="str">
        <f t="array" ref="R91">IF(ISBLANK(R84:R89),"",IF(ROUND(SUM(R84:R89),3)=1,"Ok","Check"))</f>
        <v/>
      </c>
      <c r="S91" s="114" t="str">
        <f t="array" ref="S91">IF(ISBLANK(S84:S89),"",IF(ROUND(SUM(S84:S89),3)=1,"Ok","Check"))</f>
        <v/>
      </c>
      <c r="T91" s="114" t="str">
        <f t="array" ref="T91">IF(ISBLANK(T84:T89),"",IF(ROUND(SUM(T84:T89),3)=1,"Ok","Check"))</f>
        <v/>
      </c>
      <c r="U91" s="21"/>
      <c r="W91" s="113" t="str">
        <f>IF(COUNTIF(K91:T91,"Check")=0,"Ok","Check")</f>
        <v>Ok</v>
      </c>
    </row>
    <row r="92" spans="3:23" outlineLevel="1">
      <c r="J92" s="114"/>
      <c r="K92" s="114"/>
      <c r="L92" s="114"/>
      <c r="M92" s="114"/>
      <c r="N92" s="114"/>
      <c r="O92" s="114"/>
      <c r="P92" s="114"/>
      <c r="Q92" s="114"/>
      <c r="R92" s="114"/>
      <c r="S92" s="114"/>
      <c r="T92" s="114"/>
      <c r="U92" s="21"/>
      <c r="W92" s="114"/>
    </row>
    <row r="93" spans="3:23" outlineLevel="1">
      <c r="C93" s="56" t="s">
        <v>182</v>
      </c>
      <c r="D93" s="28" t="s">
        <v>7</v>
      </c>
      <c r="E93" s="28" t="s">
        <v>8</v>
      </c>
      <c r="F93" s="28" t="s">
        <v>22</v>
      </c>
      <c r="J93" s="145" t="str">
        <f t="shared" ref="J93:T93" si="34">IF(YEAR(J$4)&gt;BaseYear,IF(YEAR(J$4)&lt;=FPLastYear,J$4,""),"")</f>
        <v/>
      </c>
      <c r="K93" s="145" t="str">
        <f t="shared" si="34"/>
        <v/>
      </c>
      <c r="L93" s="145" t="str">
        <f t="shared" si="34"/>
        <v/>
      </c>
      <c r="M93" s="145" t="str">
        <f t="shared" si="34"/>
        <v/>
      </c>
      <c r="N93" s="145" t="str">
        <f t="shared" si="34"/>
        <v/>
      </c>
      <c r="O93" s="145">
        <f t="shared" si="34"/>
        <v>43617</v>
      </c>
      <c r="P93" s="145">
        <f t="shared" si="34"/>
        <v>43983</v>
      </c>
      <c r="Q93" s="145">
        <f t="shared" si="34"/>
        <v>44348</v>
      </c>
      <c r="R93" s="145">
        <f t="shared" si="34"/>
        <v>44713</v>
      </c>
      <c r="S93" s="145">
        <f t="shared" si="34"/>
        <v>45078</v>
      </c>
      <c r="T93" s="145">
        <f t="shared" si="34"/>
        <v>45444</v>
      </c>
      <c r="U93" s="21"/>
      <c r="W93" s="114"/>
    </row>
    <row r="94" spans="3:23" outlineLevel="1">
      <c r="J94" s="114"/>
      <c r="K94" s="114"/>
      <c r="L94" s="114"/>
      <c r="M94" s="114"/>
      <c r="N94" s="114"/>
      <c r="O94" s="114"/>
      <c r="P94" s="114"/>
      <c r="Q94" s="114"/>
      <c r="R94" s="114"/>
      <c r="S94" s="114"/>
      <c r="T94" s="114"/>
      <c r="U94" s="21"/>
      <c r="W94" s="114"/>
    </row>
    <row r="95" spans="3:23" outlineLevel="1">
      <c r="C95" s="130" t="str">
        <f t="array" ref="C95:C98">TRANSPOSE(J82:M82)</f>
        <v>SFA CD</v>
      </c>
      <c r="D95" s="26" t="s">
        <v>103</v>
      </c>
      <c r="E95" s="26" t="s">
        <v>18</v>
      </c>
      <c r="F95" s="26" t="s">
        <v>36</v>
      </c>
      <c r="J95" s="99" t="str">
        <f t="shared" ref="J95:S95" si="35">IF(J$93=J$4,SUMPRODUCT(J$75:J$80,$J$84:$J$89),"")</f>
        <v/>
      </c>
      <c r="K95" s="99" t="str">
        <f t="shared" si="35"/>
        <v/>
      </c>
      <c r="L95" s="99" t="str">
        <f t="shared" si="35"/>
        <v/>
      </c>
      <c r="M95" s="99" t="str">
        <f t="shared" si="35"/>
        <v/>
      </c>
      <c r="N95" s="99" t="str">
        <f t="shared" si="35"/>
        <v/>
      </c>
      <c r="O95" s="99">
        <f t="shared" si="35"/>
        <v>9.540781018847231E-3</v>
      </c>
      <c r="P95" s="99">
        <f t="shared" si="35"/>
        <v>6.7244053789985662E-3</v>
      </c>
      <c r="Q95" s="99">
        <f t="shared" si="35"/>
        <v>7.4271668775983384E-3</v>
      </c>
      <c r="R95" s="99">
        <f t="shared" si="35"/>
        <v>1.0002538867558511E-2</v>
      </c>
      <c r="S95" s="99">
        <f t="shared" si="35"/>
        <v>6.4855779804272509E-3</v>
      </c>
      <c r="T95" s="99">
        <f>IF(T$93=T$4,SUMPRODUCT(T$75:T$80,$J$84:$J$89),"")</f>
        <v>6.4923509787263578E-3</v>
      </c>
      <c r="U95" s="200"/>
      <c r="W95" s="114"/>
    </row>
    <row r="96" spans="3:23" outlineLevel="1">
      <c r="C96" s="130" t="str">
        <v>LSE CD</v>
      </c>
      <c r="D96" s="26" t="s">
        <v>103</v>
      </c>
      <c r="E96" s="26" t="s">
        <v>18</v>
      </c>
      <c r="F96" s="26" t="s">
        <v>36</v>
      </c>
      <c r="J96" s="99" t="str">
        <f t="shared" ref="J96:S96" si="36">IF(J$93=J$4,SUMPRODUCT(J$75:J$80,$K$84:$K$89),"")</f>
        <v/>
      </c>
      <c r="K96" s="99" t="str">
        <f t="shared" si="36"/>
        <v/>
      </c>
      <c r="L96" s="99" t="str">
        <f t="shared" si="36"/>
        <v/>
      </c>
      <c r="M96" s="99" t="str">
        <f t="shared" si="36"/>
        <v/>
      </c>
      <c r="N96" s="99" t="str">
        <f t="shared" si="36"/>
        <v/>
      </c>
      <c r="O96" s="99">
        <f t="shared" si="36"/>
        <v>8.7539685599627073E-3</v>
      </c>
      <c r="P96" s="99">
        <f t="shared" si="36"/>
        <v>6.2625997015594978E-3</v>
      </c>
      <c r="Q96" s="99">
        <f t="shared" si="36"/>
        <v>6.8493694959074983E-3</v>
      </c>
      <c r="R96" s="99">
        <f t="shared" si="36"/>
        <v>9.1857227538789405E-3</v>
      </c>
      <c r="S96" s="99">
        <f t="shared" si="36"/>
        <v>6.0060217184606992E-3</v>
      </c>
      <c r="T96" s="99">
        <f>IF(T$93=T$4,SUMPRODUCT(T$75:T$80,$K$84:$K$89),"")</f>
        <v>6.0100407369653493E-3</v>
      </c>
      <c r="U96" s="200"/>
      <c r="W96" s="114"/>
    </row>
    <row r="97" spans="1:23" outlineLevel="1">
      <c r="C97" s="130" t="str">
        <v>LSE TLG</v>
      </c>
      <c r="D97" s="26" t="s">
        <v>103</v>
      </c>
      <c r="E97" s="26" t="s">
        <v>18</v>
      </c>
      <c r="F97" s="26" t="s">
        <v>36</v>
      </c>
      <c r="J97" s="99" t="str">
        <f t="shared" ref="J97:S97" si="37">IF(J$93=J$4,SUMPRODUCT(J$75:J$80,$L$84:$L$89),"")</f>
        <v/>
      </c>
      <c r="K97" s="99" t="str">
        <f t="shared" si="37"/>
        <v/>
      </c>
      <c r="L97" s="99" t="str">
        <f t="shared" si="37"/>
        <v/>
      </c>
      <c r="M97" s="99" t="str">
        <f t="shared" si="37"/>
        <v/>
      </c>
      <c r="N97" s="99" t="str">
        <f t="shared" si="37"/>
        <v/>
      </c>
      <c r="O97" s="99">
        <f t="shared" si="37"/>
        <v>7.604369962866708E-3</v>
      </c>
      <c r="P97" s="99">
        <f t="shared" si="37"/>
        <v>5.5014088300566026E-3</v>
      </c>
      <c r="Q97" s="99">
        <f t="shared" si="37"/>
        <v>5.9728047541954725E-3</v>
      </c>
      <c r="R97" s="99">
        <f t="shared" si="37"/>
        <v>7.9847573889477094E-3</v>
      </c>
      <c r="S97" s="99">
        <f t="shared" si="37"/>
        <v>5.2538021616982738E-3</v>
      </c>
      <c r="T97" s="99">
        <f>IF(T$93=T$4,SUMPRODUCT(T$75:T$80,$L$84:$L$89),"")</f>
        <v>5.2558438980071483E-3</v>
      </c>
      <c r="U97" s="200"/>
      <c r="W97" s="114"/>
    </row>
    <row r="98" spans="1:23" outlineLevel="1">
      <c r="C98" s="130" t="str">
        <v>MTFP</v>
      </c>
      <c r="D98" s="26" t="s">
        <v>103</v>
      </c>
      <c r="E98" s="26" t="s">
        <v>18</v>
      </c>
      <c r="F98" s="26" t="s">
        <v>36</v>
      </c>
      <c r="J98" s="99" t="str">
        <f t="shared" ref="J98:S98" si="38">IF(J$93=J$4,SUMPRODUCT(J$75:J$80,$M$84:$M$89),"")</f>
        <v/>
      </c>
      <c r="K98" s="99" t="str">
        <f t="shared" si="38"/>
        <v/>
      </c>
      <c r="L98" s="99" t="str">
        <f t="shared" si="38"/>
        <v/>
      </c>
      <c r="M98" s="99" t="str">
        <f t="shared" si="38"/>
        <v/>
      </c>
      <c r="N98" s="99" t="str">
        <f t="shared" si="38"/>
        <v/>
      </c>
      <c r="O98" s="99">
        <f t="shared" si="38"/>
        <v>4.6086322125630068E-3</v>
      </c>
      <c r="P98" s="99">
        <f t="shared" si="38"/>
        <v>4.4082313569936572E-3</v>
      </c>
      <c r="Q98" s="99">
        <f t="shared" si="38"/>
        <v>5.4441946304397987E-3</v>
      </c>
      <c r="R98" s="99">
        <f t="shared" si="38"/>
        <v>7.10013375383614E-3</v>
      </c>
      <c r="S98" s="99">
        <f t="shared" si="38"/>
        <v>5.0488946988520309E-3</v>
      </c>
      <c r="T98" s="99">
        <f>IF(T$93=T$4,SUMPRODUCT(T$75:T$80,$M$84:$M$89),"")</f>
        <v>5.1891331241615008E-3</v>
      </c>
      <c r="U98" s="200"/>
      <c r="W98" s="114"/>
    </row>
    <row r="99" spans="1:23">
      <c r="N99" s="200"/>
      <c r="O99" s="200"/>
      <c r="P99" s="200"/>
      <c r="Q99" s="200"/>
      <c r="R99" s="200"/>
      <c r="S99" s="200"/>
      <c r="T99" s="200"/>
      <c r="U99" s="200"/>
    </row>
    <row r="100" spans="1:23" s="85" customFormat="1" ht="12.75">
      <c r="A100" s="79"/>
      <c r="B100" s="80" t="s">
        <v>82</v>
      </c>
      <c r="C100" s="79"/>
      <c r="D100" s="79"/>
      <c r="E100" s="79"/>
      <c r="F100" s="81"/>
      <c r="G100" s="81"/>
      <c r="H100" s="81"/>
      <c r="I100" s="81"/>
      <c r="J100" s="81"/>
      <c r="K100" s="82"/>
      <c r="L100" s="83"/>
      <c r="M100" s="82"/>
      <c r="N100" s="83"/>
      <c r="O100" s="82"/>
      <c r="P100" s="82"/>
      <c r="Q100" s="82"/>
      <c r="R100" s="82"/>
      <c r="S100" s="82"/>
      <c r="T100" s="82"/>
      <c r="U100" s="82"/>
      <c r="V100" s="82"/>
      <c r="W100" s="83"/>
    </row>
    <row r="101" spans="1:23" outlineLevel="1">
      <c r="G101" s="28"/>
      <c r="H101" s="28"/>
    </row>
    <row r="102" spans="1:23" outlineLevel="1">
      <c r="C102" s="56" t="s">
        <v>48</v>
      </c>
      <c r="D102" s="28" t="s">
        <v>7</v>
      </c>
      <c r="E102" s="28" t="s">
        <v>8</v>
      </c>
      <c r="F102" s="28" t="s">
        <v>22</v>
      </c>
      <c r="G102" s="28"/>
      <c r="H102" s="28"/>
      <c r="J102" s="145" t="str">
        <f t="shared" ref="J102:T102" si="39">IF(YEAR(J$4)&gt;BaseYear,IF(YEAR(J$4)&lt;=FPLastYear,J$4,""),"")</f>
        <v/>
      </c>
      <c r="K102" s="145" t="str">
        <f t="shared" si="39"/>
        <v/>
      </c>
      <c r="L102" s="145" t="str">
        <f t="shared" si="39"/>
        <v/>
      </c>
      <c r="M102" s="145" t="str">
        <f t="shared" si="39"/>
        <v/>
      </c>
      <c r="N102" s="145" t="str">
        <f t="shared" si="39"/>
        <v/>
      </c>
      <c r="O102" s="145">
        <f t="shared" si="39"/>
        <v>43617</v>
      </c>
      <c r="P102" s="145">
        <f t="shared" si="39"/>
        <v>43983</v>
      </c>
      <c r="Q102" s="145">
        <f t="shared" si="39"/>
        <v>44348</v>
      </c>
      <c r="R102" s="145">
        <f t="shared" si="39"/>
        <v>44713</v>
      </c>
      <c r="S102" s="145">
        <f t="shared" si="39"/>
        <v>45078</v>
      </c>
      <c r="T102" s="145">
        <f t="shared" si="39"/>
        <v>45444</v>
      </c>
    </row>
    <row r="103" spans="1:23" outlineLevel="1">
      <c r="C103" s="93"/>
      <c r="G103" s="28"/>
      <c r="H103" s="28"/>
      <c r="K103" s="20"/>
      <c r="L103" s="20"/>
      <c r="M103" s="20"/>
      <c r="N103" s="20"/>
      <c r="O103" s="20"/>
    </row>
    <row r="104" spans="1:23" outlineLevel="1">
      <c r="C104" s="93" t="s">
        <v>48</v>
      </c>
      <c r="D104" s="26" t="s">
        <v>106</v>
      </c>
      <c r="E104" s="26" t="str">
        <f>percent</f>
        <v>Per cent</v>
      </c>
      <c r="F104" s="26" t="s">
        <v>36</v>
      </c>
      <c r="G104" s="28"/>
      <c r="H104" s="28"/>
      <c r="J104" s="187"/>
      <c r="K104" s="176"/>
      <c r="L104" s="176"/>
      <c r="M104" s="176"/>
      <c r="N104" s="151"/>
      <c r="O104" s="151">
        <v>0</v>
      </c>
      <c r="P104" s="151">
        <v>0</v>
      </c>
      <c r="Q104" s="151">
        <v>0</v>
      </c>
      <c r="R104" s="151">
        <v>0</v>
      </c>
      <c r="S104" s="151">
        <v>0</v>
      </c>
      <c r="T104" s="151">
        <v>0</v>
      </c>
    </row>
    <row r="105" spans="1:23" outlineLevel="1">
      <c r="C105" s="93"/>
      <c r="G105" s="28"/>
      <c r="H105" s="28"/>
      <c r="J105" s="150"/>
      <c r="K105" s="20"/>
      <c r="L105" s="20"/>
      <c r="M105" s="20"/>
      <c r="N105" s="20"/>
      <c r="O105" s="20"/>
      <c r="P105" s="174"/>
      <c r="Q105" s="174"/>
      <c r="R105" s="174"/>
      <c r="S105" s="174"/>
      <c r="T105" s="174"/>
    </row>
    <row r="106" spans="1:23" outlineLevel="1">
      <c r="C106" s="25" t="s">
        <v>40</v>
      </c>
      <c r="D106" s="26" t="s">
        <v>103</v>
      </c>
      <c r="E106" s="26" t="s">
        <v>28</v>
      </c>
      <c r="F106" s="26" t="s">
        <v>36</v>
      </c>
      <c r="J106" s="114" t="str">
        <f t="shared" ref="J106:S106" si="40">IF(J102=J$4,IF(ISBLANK(J104),"Check","Ok"),"")</f>
        <v/>
      </c>
      <c r="K106" s="114" t="str">
        <f t="shared" si="40"/>
        <v/>
      </c>
      <c r="L106" s="114" t="str">
        <f t="shared" si="40"/>
        <v/>
      </c>
      <c r="M106" s="114" t="str">
        <f t="shared" si="40"/>
        <v/>
      </c>
      <c r="N106" s="114" t="str">
        <f t="shared" si="40"/>
        <v/>
      </c>
      <c r="O106" s="114" t="str">
        <f t="shared" si="40"/>
        <v>Ok</v>
      </c>
      <c r="P106" s="114" t="str">
        <f t="shared" si="40"/>
        <v>Ok</v>
      </c>
      <c r="Q106" s="114" t="str">
        <f t="shared" si="40"/>
        <v>Ok</v>
      </c>
      <c r="R106" s="114" t="str">
        <f t="shared" si="40"/>
        <v>Ok</v>
      </c>
      <c r="S106" s="114" t="str">
        <f t="shared" si="40"/>
        <v>Ok</v>
      </c>
      <c r="T106" s="114" t="str">
        <f>IF(T102=T$4,IF(ISBLANK(T104),"Check","Ok"),"")</f>
        <v>Ok</v>
      </c>
      <c r="U106" s="21"/>
      <c r="W106" s="113" t="str">
        <f>IF(COUNTIF(J106:T106,"Check")=0,"Ok","Check")</f>
        <v>Ok</v>
      </c>
    </row>
    <row r="107" spans="1:23" outlineLevel="1">
      <c r="C107" s="93"/>
      <c r="G107" s="28"/>
      <c r="H107" s="28"/>
      <c r="K107" s="20"/>
      <c r="L107" s="20"/>
      <c r="M107" s="20"/>
      <c r="N107" s="20"/>
      <c r="O107" s="20"/>
    </row>
    <row r="108" spans="1:23" s="85" customFormat="1" ht="12.75">
      <c r="A108" s="79"/>
      <c r="B108" s="80" t="s">
        <v>21</v>
      </c>
      <c r="C108" s="79"/>
      <c r="D108" s="79"/>
      <c r="E108" s="79"/>
      <c r="F108" s="81"/>
      <c r="G108" s="81"/>
      <c r="H108" s="81"/>
      <c r="I108" s="81"/>
      <c r="J108" s="81"/>
      <c r="K108" s="82"/>
      <c r="L108" s="83"/>
      <c r="M108" s="82"/>
      <c r="N108" s="83"/>
      <c r="O108" s="82"/>
      <c r="P108" s="82"/>
      <c r="Q108" s="82"/>
      <c r="R108" s="82"/>
      <c r="S108" s="82"/>
      <c r="T108" s="82"/>
      <c r="U108" s="82"/>
      <c r="V108" s="82"/>
      <c r="W108" s="83"/>
    </row>
    <row r="109" spans="1:23" hidden="1">
      <c r="D109" s="25"/>
      <c r="E109" s="25"/>
      <c r="F109" s="25"/>
      <c r="G109" s="25"/>
      <c r="H109" s="25"/>
      <c r="I109" s="25"/>
      <c r="J109" s="25"/>
    </row>
    <row r="110" spans="1:23" hidden="1">
      <c r="D110" s="25"/>
      <c r="E110" s="25"/>
      <c r="F110" s="25"/>
      <c r="G110" s="25"/>
      <c r="H110" s="25"/>
      <c r="I110" s="25"/>
      <c r="J110" s="25"/>
    </row>
    <row r="111" spans="1:23" hidden="1">
      <c r="D111" s="25"/>
      <c r="E111" s="25"/>
      <c r="F111" s="25"/>
      <c r="G111" s="25"/>
      <c r="H111" s="25"/>
      <c r="I111" s="25"/>
      <c r="J111" s="25"/>
    </row>
    <row r="112" spans="1:23" hidden="1">
      <c r="D112" s="25"/>
      <c r="E112" s="25"/>
      <c r="F112" s="25"/>
      <c r="G112" s="25"/>
      <c r="H112" s="25"/>
      <c r="I112" s="25"/>
      <c r="J112" s="25"/>
    </row>
    <row r="113" spans="4:10" hidden="1">
      <c r="D113" s="25"/>
      <c r="E113" s="25"/>
      <c r="F113" s="25"/>
      <c r="G113" s="25"/>
      <c r="H113" s="25"/>
      <c r="I113" s="25"/>
      <c r="J113" s="25"/>
    </row>
    <row r="114" spans="4:10" hidden="1">
      <c r="D114" s="25"/>
      <c r="E114" s="25"/>
      <c r="F114" s="25"/>
      <c r="G114" s="25"/>
      <c r="H114" s="25"/>
      <c r="I114" s="25"/>
      <c r="J114" s="25"/>
    </row>
    <row r="115" spans="4:10" hidden="1">
      <c r="D115" s="25"/>
      <c r="E115" s="25"/>
      <c r="F115" s="25"/>
      <c r="G115" s="25"/>
      <c r="H115" s="25"/>
      <c r="I115" s="25"/>
      <c r="J115" s="25"/>
    </row>
    <row r="116" spans="4:10" hidden="1">
      <c r="D116" s="25"/>
      <c r="E116" s="25"/>
      <c r="F116" s="25"/>
      <c r="G116" s="25"/>
      <c r="H116" s="25"/>
      <c r="I116" s="25"/>
      <c r="J116" s="25"/>
    </row>
    <row r="117" spans="4:10" hidden="1">
      <c r="D117" s="25"/>
      <c r="E117" s="25"/>
      <c r="F117" s="25"/>
      <c r="G117" s="25"/>
      <c r="H117" s="25"/>
      <c r="I117" s="25"/>
      <c r="J117" s="25"/>
    </row>
    <row r="118" spans="4:10" hidden="1">
      <c r="D118" s="25"/>
      <c r="E118" s="25"/>
      <c r="F118" s="25"/>
      <c r="G118" s="25"/>
      <c r="H118" s="25"/>
      <c r="I118" s="25"/>
      <c r="J118" s="25"/>
    </row>
    <row r="119" spans="4:10" hidden="1">
      <c r="D119" s="25"/>
      <c r="E119" s="25"/>
      <c r="F119" s="25"/>
      <c r="G119" s="25"/>
      <c r="H119" s="25"/>
      <c r="I119" s="25"/>
      <c r="J119" s="25"/>
    </row>
    <row r="120" spans="4:10" hidden="1">
      <c r="D120" s="25"/>
      <c r="E120" s="25"/>
      <c r="F120" s="25"/>
      <c r="G120" s="25"/>
      <c r="H120" s="25"/>
      <c r="I120" s="25"/>
      <c r="J120" s="25"/>
    </row>
    <row r="121" spans="4:10" hidden="1">
      <c r="D121" s="25"/>
      <c r="E121" s="25"/>
      <c r="F121" s="25"/>
      <c r="G121" s="25"/>
      <c r="H121" s="25"/>
      <c r="I121" s="25"/>
      <c r="J121" s="25"/>
    </row>
    <row r="122" spans="4:10" hidden="1">
      <c r="D122" s="25"/>
      <c r="E122" s="25"/>
      <c r="F122" s="25"/>
      <c r="G122" s="25"/>
      <c r="H122" s="25"/>
      <c r="I122" s="25"/>
      <c r="J122" s="25"/>
    </row>
    <row r="123" spans="4:10" hidden="1">
      <c r="D123" s="25"/>
      <c r="E123" s="25"/>
      <c r="F123" s="25"/>
      <c r="G123" s="25"/>
      <c r="H123" s="25"/>
      <c r="I123" s="25"/>
      <c r="J123" s="25"/>
    </row>
    <row r="124" spans="4:10" hidden="1">
      <c r="D124" s="25"/>
      <c r="E124" s="25"/>
      <c r="F124" s="25"/>
      <c r="G124" s="25"/>
      <c r="H124" s="25"/>
      <c r="I124" s="25"/>
      <c r="J124" s="25"/>
    </row>
    <row r="125" spans="4:10" hidden="1">
      <c r="D125" s="25"/>
      <c r="E125" s="25"/>
      <c r="F125" s="25"/>
      <c r="G125" s="25"/>
      <c r="H125" s="25"/>
      <c r="I125" s="25"/>
      <c r="J125" s="25"/>
    </row>
    <row r="126" spans="4:10" hidden="1">
      <c r="D126" s="25"/>
      <c r="E126" s="25"/>
      <c r="F126" s="25"/>
      <c r="G126" s="25"/>
      <c r="H126" s="25"/>
      <c r="I126" s="25"/>
      <c r="J126" s="25"/>
    </row>
    <row r="127" spans="4:10" hidden="1">
      <c r="D127" s="25"/>
      <c r="E127" s="25"/>
      <c r="F127" s="25"/>
      <c r="G127" s="25"/>
      <c r="H127" s="25"/>
      <c r="I127" s="25"/>
      <c r="J127" s="25"/>
    </row>
    <row r="128" spans="4:10" hidden="1">
      <c r="D128" s="25"/>
      <c r="E128" s="25"/>
      <c r="F128" s="25"/>
      <c r="G128" s="25"/>
      <c r="H128" s="25"/>
      <c r="I128" s="25"/>
      <c r="J128" s="25"/>
    </row>
    <row r="129" spans="4:10" hidden="1">
      <c r="D129" s="25"/>
      <c r="E129" s="25"/>
      <c r="F129" s="25"/>
      <c r="G129" s="25"/>
      <c r="H129" s="25"/>
      <c r="I129" s="25"/>
      <c r="J129" s="25"/>
    </row>
    <row r="130" spans="4:10" hidden="1">
      <c r="D130" s="25"/>
      <c r="E130" s="25"/>
      <c r="F130" s="25"/>
      <c r="G130" s="25"/>
      <c r="H130" s="25"/>
      <c r="I130" s="25"/>
      <c r="J130" s="25"/>
    </row>
    <row r="131" spans="4:10" hidden="1">
      <c r="D131" s="25"/>
      <c r="E131" s="25"/>
      <c r="F131" s="25"/>
      <c r="G131" s="25"/>
      <c r="H131" s="25"/>
      <c r="I131" s="25"/>
      <c r="J131" s="25"/>
    </row>
    <row r="132" spans="4:10" hidden="1">
      <c r="D132" s="25"/>
      <c r="E132" s="25"/>
      <c r="F132" s="25"/>
      <c r="G132" s="25"/>
      <c r="H132" s="25"/>
      <c r="I132" s="25"/>
      <c r="J132" s="25"/>
    </row>
    <row r="133" spans="4:10" hidden="1">
      <c r="D133" s="25"/>
      <c r="E133" s="25"/>
      <c r="F133" s="25"/>
      <c r="G133" s="25"/>
      <c r="H133" s="25"/>
      <c r="I133" s="25"/>
      <c r="J133" s="25"/>
    </row>
    <row r="134" spans="4:10" hidden="1">
      <c r="D134" s="25"/>
      <c r="E134" s="25"/>
      <c r="F134" s="25"/>
      <c r="G134" s="25"/>
      <c r="H134" s="25"/>
      <c r="I134" s="25"/>
      <c r="J134" s="25"/>
    </row>
    <row r="135" spans="4:10" hidden="1">
      <c r="D135" s="25"/>
      <c r="E135" s="25"/>
      <c r="F135" s="25"/>
      <c r="G135" s="25"/>
      <c r="H135" s="25"/>
      <c r="I135" s="25"/>
      <c r="J135" s="25"/>
    </row>
    <row r="136" spans="4:10" hidden="1">
      <c r="D136" s="25"/>
      <c r="E136" s="25"/>
      <c r="F136" s="25"/>
      <c r="G136" s="25"/>
      <c r="H136" s="25"/>
      <c r="I136" s="25"/>
      <c r="J136" s="25"/>
    </row>
    <row r="137" spans="4:10" hidden="1">
      <c r="D137" s="25"/>
      <c r="E137" s="25"/>
      <c r="F137" s="25"/>
      <c r="G137" s="25"/>
      <c r="H137" s="25"/>
      <c r="I137" s="25"/>
      <c r="J137" s="25"/>
    </row>
    <row r="138" spans="4:10" hidden="1">
      <c r="D138" s="25"/>
      <c r="E138" s="25"/>
      <c r="F138" s="25"/>
      <c r="G138" s="25"/>
      <c r="H138" s="25"/>
      <c r="I138" s="25"/>
      <c r="J138" s="25"/>
    </row>
    <row r="139" spans="4:10" hidden="1">
      <c r="D139" s="25"/>
      <c r="E139" s="25"/>
      <c r="F139" s="25"/>
      <c r="G139" s="25"/>
      <c r="H139" s="25"/>
      <c r="I139" s="25"/>
      <c r="J139" s="25"/>
    </row>
    <row r="140" spans="4:10" hidden="1">
      <c r="D140" s="25"/>
      <c r="E140" s="25"/>
      <c r="F140" s="25"/>
      <c r="G140" s="25"/>
      <c r="H140" s="25"/>
      <c r="I140" s="25"/>
      <c r="J140" s="25"/>
    </row>
    <row r="141" spans="4:10" hidden="1">
      <c r="D141" s="25"/>
      <c r="E141" s="25"/>
      <c r="F141" s="25"/>
      <c r="G141" s="25"/>
      <c r="H141" s="25"/>
      <c r="I141" s="25"/>
      <c r="J141" s="25"/>
    </row>
    <row r="142" spans="4:10" hidden="1">
      <c r="D142" s="25"/>
      <c r="E142" s="25"/>
      <c r="F142" s="25"/>
      <c r="G142" s="25"/>
      <c r="H142" s="25"/>
      <c r="I142" s="25"/>
      <c r="J142" s="25"/>
    </row>
    <row r="143" spans="4:10" hidden="1">
      <c r="D143" s="25"/>
      <c r="E143" s="25"/>
      <c r="F143" s="25"/>
      <c r="G143" s="25"/>
      <c r="H143" s="25"/>
      <c r="I143" s="25"/>
      <c r="J143" s="25"/>
    </row>
    <row r="144" spans="4:10" hidden="1">
      <c r="D144" s="25"/>
      <c r="E144" s="25"/>
      <c r="F144" s="25"/>
      <c r="G144" s="25"/>
      <c r="H144" s="25"/>
      <c r="I144" s="25"/>
      <c r="J144" s="25"/>
    </row>
    <row r="145" spans="4:10" hidden="1">
      <c r="D145" s="25"/>
      <c r="E145" s="25"/>
      <c r="F145" s="25"/>
      <c r="G145" s="25"/>
      <c r="H145" s="25"/>
      <c r="I145" s="25"/>
      <c r="J145" s="25"/>
    </row>
    <row r="146" spans="4:10" hidden="1">
      <c r="D146" s="25"/>
      <c r="E146" s="25"/>
      <c r="F146" s="25"/>
      <c r="G146" s="25"/>
      <c r="H146" s="25"/>
      <c r="I146" s="25"/>
      <c r="J146" s="25"/>
    </row>
    <row r="147" spans="4:10" hidden="1">
      <c r="D147" s="25"/>
      <c r="E147" s="25"/>
      <c r="F147" s="25"/>
      <c r="G147" s="25"/>
      <c r="H147" s="25"/>
      <c r="I147" s="25"/>
      <c r="J147" s="25"/>
    </row>
    <row r="148" spans="4:10" hidden="1">
      <c r="D148" s="25"/>
      <c r="E148" s="25"/>
      <c r="F148" s="25"/>
      <c r="G148" s="25"/>
      <c r="H148" s="25"/>
      <c r="I148" s="25"/>
      <c r="J148" s="25"/>
    </row>
    <row r="149" spans="4:10" hidden="1">
      <c r="D149" s="25"/>
      <c r="E149" s="25"/>
      <c r="F149" s="25"/>
      <c r="G149" s="25"/>
      <c r="H149" s="25"/>
      <c r="I149" s="25"/>
      <c r="J149" s="25"/>
    </row>
    <row r="150" spans="4:10" hidden="1">
      <c r="D150" s="25"/>
      <c r="E150" s="25"/>
      <c r="F150" s="25"/>
      <c r="G150" s="25"/>
      <c r="H150" s="25"/>
      <c r="I150" s="25"/>
      <c r="J150" s="25"/>
    </row>
    <row r="151" spans="4:10" hidden="1">
      <c r="D151" s="25"/>
      <c r="E151" s="25"/>
      <c r="F151" s="25"/>
      <c r="G151" s="25"/>
      <c r="H151" s="25"/>
      <c r="I151" s="25"/>
      <c r="J151" s="25"/>
    </row>
    <row r="152" spans="4:10" hidden="1">
      <c r="D152" s="25"/>
      <c r="E152" s="25"/>
      <c r="F152" s="25"/>
      <c r="G152" s="25"/>
      <c r="H152" s="25"/>
      <c r="I152" s="25"/>
      <c r="J152" s="25"/>
    </row>
    <row r="153" spans="4:10" hidden="1">
      <c r="D153" s="25"/>
      <c r="E153" s="25"/>
      <c r="F153" s="25"/>
      <c r="G153" s="25"/>
      <c r="H153" s="25"/>
      <c r="I153" s="25"/>
      <c r="J153" s="25"/>
    </row>
    <row r="154" spans="4:10" hidden="1">
      <c r="D154" s="25"/>
      <c r="E154" s="25"/>
      <c r="F154" s="25"/>
      <c r="G154" s="25"/>
      <c r="H154" s="25"/>
      <c r="I154" s="25"/>
      <c r="J154" s="25"/>
    </row>
    <row r="155" spans="4:10" hidden="1">
      <c r="D155" s="25"/>
      <c r="E155" s="25"/>
      <c r="F155" s="25"/>
      <c r="G155" s="25"/>
      <c r="H155" s="25"/>
      <c r="I155" s="25"/>
      <c r="J155" s="25"/>
    </row>
    <row r="156" spans="4:10" hidden="1">
      <c r="D156" s="25"/>
      <c r="E156" s="25"/>
      <c r="F156" s="25"/>
      <c r="G156" s="25"/>
      <c r="H156" s="25"/>
      <c r="I156" s="25"/>
      <c r="J156" s="25"/>
    </row>
    <row r="157" spans="4:10" hidden="1">
      <c r="D157" s="25"/>
      <c r="E157" s="25"/>
      <c r="F157" s="25"/>
      <c r="G157" s="25"/>
      <c r="H157" s="25"/>
      <c r="I157" s="25"/>
      <c r="J157" s="25"/>
    </row>
    <row r="158" spans="4:10" hidden="1">
      <c r="D158" s="25"/>
      <c r="E158" s="25"/>
      <c r="F158" s="25"/>
      <c r="G158" s="25"/>
      <c r="H158" s="25"/>
      <c r="I158" s="25"/>
      <c r="J158" s="25"/>
    </row>
    <row r="159" spans="4:10" hidden="1">
      <c r="D159" s="25"/>
      <c r="E159" s="25"/>
      <c r="F159" s="25"/>
      <c r="G159" s="25"/>
      <c r="H159" s="25"/>
      <c r="I159" s="25"/>
      <c r="J159" s="25"/>
    </row>
    <row r="160" spans="4:10" hidden="1">
      <c r="D160" s="25"/>
      <c r="E160" s="25"/>
      <c r="F160" s="25"/>
      <c r="G160" s="25"/>
      <c r="H160" s="25"/>
      <c r="I160" s="25"/>
      <c r="J160" s="25"/>
    </row>
    <row r="161" spans="4:10" hidden="1">
      <c r="D161" s="25"/>
      <c r="E161" s="25"/>
      <c r="F161" s="25"/>
      <c r="G161" s="25"/>
      <c r="H161" s="25"/>
      <c r="I161" s="25"/>
      <c r="J161" s="25"/>
    </row>
    <row r="162" spans="4:10" hidden="1">
      <c r="D162" s="25"/>
      <c r="E162" s="25"/>
      <c r="F162" s="25"/>
      <c r="G162" s="25"/>
      <c r="H162" s="25"/>
      <c r="I162" s="25"/>
      <c r="J162" s="25"/>
    </row>
    <row r="163" spans="4:10" hidden="1">
      <c r="D163" s="25"/>
      <c r="E163" s="25"/>
      <c r="F163" s="25"/>
      <c r="G163" s="25"/>
      <c r="H163" s="25"/>
      <c r="I163" s="25"/>
      <c r="J163" s="25"/>
    </row>
    <row r="164" spans="4:10" hidden="1">
      <c r="D164" s="25"/>
      <c r="E164" s="25"/>
      <c r="F164" s="25"/>
      <c r="G164" s="25"/>
      <c r="H164" s="25"/>
      <c r="I164" s="25"/>
      <c r="J164" s="25"/>
    </row>
    <row r="165" spans="4:10" hidden="1">
      <c r="D165" s="25"/>
      <c r="E165" s="25"/>
      <c r="F165" s="25"/>
      <c r="G165" s="25"/>
      <c r="H165" s="25"/>
      <c r="I165" s="25"/>
      <c r="J165" s="25"/>
    </row>
    <row r="166" spans="4:10" hidden="1">
      <c r="D166" s="25"/>
      <c r="E166" s="25"/>
      <c r="F166" s="25"/>
      <c r="G166" s="25"/>
      <c r="H166" s="25"/>
      <c r="I166" s="25"/>
      <c r="J166" s="25"/>
    </row>
    <row r="167" spans="4:10" hidden="1">
      <c r="D167" s="25"/>
      <c r="E167" s="25"/>
      <c r="F167" s="25"/>
      <c r="G167" s="25"/>
      <c r="H167" s="25"/>
      <c r="I167" s="25"/>
      <c r="J167" s="25"/>
    </row>
    <row r="168" spans="4:10" hidden="1">
      <c r="D168" s="25"/>
      <c r="E168" s="25"/>
      <c r="F168" s="25"/>
      <c r="G168" s="25"/>
      <c r="H168" s="25"/>
      <c r="I168" s="25"/>
      <c r="J168" s="25"/>
    </row>
    <row r="169" spans="4:10" hidden="1">
      <c r="D169" s="25"/>
      <c r="E169" s="25"/>
      <c r="F169" s="25"/>
      <c r="G169" s="25"/>
      <c r="H169" s="25"/>
      <c r="I169" s="25"/>
      <c r="J169" s="25"/>
    </row>
    <row r="170" spans="4:10" hidden="1">
      <c r="D170" s="25"/>
      <c r="E170" s="25"/>
      <c r="F170" s="25"/>
      <c r="G170" s="25"/>
      <c r="H170" s="25"/>
      <c r="I170" s="25"/>
      <c r="J170" s="25"/>
    </row>
  </sheetData>
  <mergeCells count="3">
    <mergeCell ref="K3:M3"/>
    <mergeCell ref="O3:T3"/>
    <mergeCell ref="U3:W3"/>
  </mergeCells>
  <conditionalFormatting sqref="W1">
    <cfRule type="cellIs" dxfId="149" priority="127" operator="equal">
      <formula>"Check"</formula>
    </cfRule>
    <cfRule type="cellIs" dxfId="148" priority="128" operator="equal">
      <formula>"Ok"</formula>
    </cfRule>
  </conditionalFormatting>
  <conditionalFormatting sqref="T1">
    <cfRule type="cellIs" dxfId="147" priority="91" operator="equal">
      <formula>"Check"</formula>
    </cfRule>
    <cfRule type="cellIs" dxfId="146" priority="92" operator="equal">
      <formula>"Ok"</formula>
    </cfRule>
  </conditionalFormatting>
  <conditionalFormatting sqref="W58">
    <cfRule type="cellIs" dxfId="145" priority="79" operator="equal">
      <formula>"Check"</formula>
    </cfRule>
    <cfRule type="cellIs" dxfId="144" priority="80" operator="equal">
      <formula>"Ok"</formula>
    </cfRule>
  </conditionalFormatting>
  <conditionalFormatting sqref="J58:T58">
    <cfRule type="cellIs" dxfId="143" priority="71" operator="equal">
      <formula>"Check"</formula>
    </cfRule>
    <cfRule type="cellIs" dxfId="142" priority="72" operator="equal">
      <formula>"Ok"</formula>
    </cfRule>
  </conditionalFormatting>
  <conditionalFormatting sqref="J34:T34">
    <cfRule type="expression" dxfId="141" priority="62">
      <formula>J$34=J$4</formula>
    </cfRule>
  </conditionalFormatting>
  <conditionalFormatting sqref="J36:N43">
    <cfRule type="expression" dxfId="140" priority="60">
      <formula>J$34=J$4</formula>
    </cfRule>
  </conditionalFormatting>
  <conditionalFormatting sqref="P52:T55 J49:N56">
    <cfRule type="expression" dxfId="139" priority="59">
      <formula>J$47=J$4</formula>
    </cfRule>
  </conditionalFormatting>
  <conditionalFormatting sqref="J104:T104">
    <cfRule type="expression" dxfId="138" priority="55">
      <formula>J$102=J$4</formula>
    </cfRule>
  </conditionalFormatting>
  <conditionalFormatting sqref="W106">
    <cfRule type="cellIs" dxfId="137" priority="53" operator="equal">
      <formula>"Check"</formula>
    </cfRule>
    <cfRule type="cellIs" dxfId="136" priority="54" operator="equal">
      <formula>"Ok"</formula>
    </cfRule>
  </conditionalFormatting>
  <conditionalFormatting sqref="J106:T106">
    <cfRule type="cellIs" dxfId="135" priority="51" operator="equal">
      <formula>"Check"</formula>
    </cfRule>
    <cfRule type="cellIs" dxfId="134" priority="52" operator="equal">
      <formula>"Ok"</formula>
    </cfRule>
  </conditionalFormatting>
  <conditionalFormatting sqref="W45">
    <cfRule type="cellIs" dxfId="133" priority="49" operator="equal">
      <formula>"Check"</formula>
    </cfRule>
    <cfRule type="cellIs" dxfId="132" priority="50" operator="equal">
      <formula>"Ok"</formula>
    </cfRule>
  </conditionalFormatting>
  <conditionalFormatting sqref="J45:T45">
    <cfRule type="cellIs" dxfId="131" priority="47" operator="equal">
      <formula>"Check"</formula>
    </cfRule>
    <cfRule type="cellIs" dxfId="130" priority="48" operator="equal">
      <formula>"Ok"</formula>
    </cfRule>
  </conditionalFormatting>
  <conditionalFormatting sqref="W71">
    <cfRule type="cellIs" dxfId="129" priority="45" operator="equal">
      <formula>"Check"</formula>
    </cfRule>
    <cfRule type="cellIs" dxfId="128" priority="46" operator="equal">
      <formula>"Ok"</formula>
    </cfRule>
  </conditionalFormatting>
  <conditionalFormatting sqref="J71:T71">
    <cfRule type="cellIs" dxfId="127" priority="43" operator="equal">
      <formula>"Check"</formula>
    </cfRule>
    <cfRule type="cellIs" dxfId="126" priority="44" operator="equal">
      <formula>"Ok"</formula>
    </cfRule>
  </conditionalFormatting>
  <conditionalFormatting sqref="J62:T62">
    <cfRule type="expression" dxfId="125" priority="37">
      <formula>J$62=J$4</formula>
    </cfRule>
  </conditionalFormatting>
  <conditionalFormatting sqref="J69:T69 J64:L68 N67:T68">
    <cfRule type="expression" dxfId="124" priority="35">
      <formula>J$62=J$4</formula>
    </cfRule>
  </conditionalFormatting>
  <conditionalFormatting sqref="J47:T47">
    <cfRule type="expression" dxfId="123" priority="32">
      <formula>J$34=J$4</formula>
    </cfRule>
  </conditionalFormatting>
  <conditionalFormatting sqref="J73:T73">
    <cfRule type="expression" dxfId="122" priority="31">
      <formula>J$34=J$4</formula>
    </cfRule>
  </conditionalFormatting>
  <conditionalFormatting sqref="J102:T102">
    <cfRule type="expression" dxfId="121" priority="30">
      <formula>J$34=J$4</formula>
    </cfRule>
  </conditionalFormatting>
  <conditionalFormatting sqref="J25:T30">
    <cfRule type="cellIs" dxfId="120" priority="28" operator="equal">
      <formula>0</formula>
    </cfRule>
  </conditionalFormatting>
  <conditionalFormatting sqref="J16:T21">
    <cfRule type="cellIs" dxfId="119" priority="27" operator="equal">
      <formula>0</formula>
    </cfRule>
  </conditionalFormatting>
  <conditionalFormatting sqref="O43:T43">
    <cfRule type="expression" dxfId="118" priority="24">
      <formula>O$34=O$4</formula>
    </cfRule>
  </conditionalFormatting>
  <conditionalFormatting sqref="O52:O55">
    <cfRule type="expression" dxfId="117" priority="16">
      <formula>O$47=O$4</formula>
    </cfRule>
  </conditionalFormatting>
  <conditionalFormatting sqref="W91">
    <cfRule type="cellIs" dxfId="116" priority="14" operator="equal">
      <formula>"Check"</formula>
    </cfRule>
    <cfRule type="cellIs" dxfId="115" priority="15" operator="equal">
      <formula>"Ok"</formula>
    </cfRule>
  </conditionalFormatting>
  <conditionalFormatting sqref="K84:M89">
    <cfRule type="expression" dxfId="114" priority="13">
      <formula>K$82=K$4</formula>
    </cfRule>
  </conditionalFormatting>
  <conditionalFormatting sqref="J91:T91">
    <cfRule type="cellIs" dxfId="113" priority="11" operator="equal">
      <formula>"Check"</formula>
    </cfRule>
    <cfRule type="cellIs" dxfId="112" priority="12" operator="equal">
      <formula>"Ok"</formula>
    </cfRule>
  </conditionalFormatting>
  <conditionalFormatting sqref="W92:W98">
    <cfRule type="cellIs" dxfId="111" priority="9" operator="equal">
      <formula>"Check"</formula>
    </cfRule>
    <cfRule type="cellIs" dxfId="110" priority="10" operator="equal">
      <formula>"Ok"</formula>
    </cfRule>
  </conditionalFormatting>
  <conditionalFormatting sqref="J92:T92 J94:T94">
    <cfRule type="cellIs" dxfId="109" priority="7" operator="equal">
      <formula>"Check"</formula>
    </cfRule>
    <cfRule type="cellIs" dxfId="108" priority="8" operator="equal">
      <formula>"Ok"</formula>
    </cfRule>
  </conditionalFormatting>
  <conditionalFormatting sqref="J93:T93">
    <cfRule type="expression" dxfId="107" priority="6">
      <formula>J$93=J$4</formula>
    </cfRule>
  </conditionalFormatting>
  <conditionalFormatting sqref="O36:T42">
    <cfRule type="expression" dxfId="106" priority="1">
      <formula>O$34=O$4</formula>
    </cfRule>
  </conditionalFormatting>
  <dataValidations disablePrompts="1" count="1">
    <dataValidation type="list" allowBlank="1" showInputMessage="1" showErrorMessage="1" sqref="F107 F72 F81 F83">
      <formula1>#REF!</formula1>
    </dataValidation>
  </dataValidations>
  <hyperlinks>
    <hyperlink ref="K1" location="Index!A1" display="Back to Index"/>
    <hyperlink ref="V1" location="'Check|List'!A1" display="Overall Check:"/>
  </hyperlinks>
  <pageMargins left="0.7" right="0.7" top="0.75" bottom="0.75" header="0.3" footer="0.3"/>
  <pageSetup paperSize="9" orientation="portrait" verticalDpi="4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rgb="FFFFFF99"/>
  </sheetPr>
  <dimension ref="A1:Y52"/>
  <sheetViews>
    <sheetView showGridLines="0" workbookViewId="0">
      <selection activeCell="U19" sqref="U19"/>
    </sheetView>
  </sheetViews>
  <sheetFormatPr defaultColWidth="0" defaultRowHeight="11.25" zeroHeight="1" outlineLevelRow="1"/>
  <cols>
    <col min="1" max="2" width="1.5" style="25" customWidth="1"/>
    <col min="3" max="3" width="48" style="25" bestFit="1" customWidth="1"/>
    <col min="4" max="4" width="27.6640625" style="26" customWidth="1"/>
    <col min="5" max="5" width="15.83203125" style="26" customWidth="1"/>
    <col min="6" max="6" width="10.6640625" style="26" customWidth="1"/>
    <col min="7" max="9" width="3.33203125" style="26" customWidth="1"/>
    <col min="10" max="23" width="10.83203125" style="25" customWidth="1"/>
    <col min="24" max="47" width="10.5" style="25" customWidth="1"/>
    <col min="48" max="16384" width="0" style="25" hidden="1"/>
  </cols>
  <sheetData>
    <row r="1" spans="1:25" s="58" customFormat="1" ht="15.75">
      <c r="B1" s="59" t="str">
        <f>Index!$B$1</f>
        <v>AER opex model</v>
      </c>
      <c r="C1" s="59"/>
      <c r="D1" s="59"/>
      <c r="E1" s="59"/>
      <c r="F1" s="60"/>
      <c r="G1" s="60"/>
      <c r="H1" s="60"/>
      <c r="I1" s="60"/>
      <c r="J1" s="33" t="s">
        <v>2</v>
      </c>
      <c r="L1" s="61" t="s">
        <v>3</v>
      </c>
      <c r="M1" s="62" t="s">
        <v>4</v>
      </c>
      <c r="N1" s="63" t="s">
        <v>5</v>
      </c>
      <c r="O1" s="64" t="s">
        <v>6</v>
      </c>
      <c r="R1" s="61" t="s">
        <v>86</v>
      </c>
      <c r="S1" s="65" t="str">
        <f>IF(COUNTA($W$8:$W$235)=COUNTIF($W$8:$W$235,"OK"),"OK","Check")</f>
        <v>OK</v>
      </c>
      <c r="U1" s="169" t="s">
        <v>24</v>
      </c>
      <c r="V1" s="65" t="str">
        <f>'Check|List'!$S$1</f>
        <v>Ok</v>
      </c>
    </row>
    <row r="2" spans="1:25" s="66" customFormat="1" ht="13.5" thickBot="1">
      <c r="B2" s="67" t="str">
        <f>Index!$C$11</f>
        <v>Input | Step changes</v>
      </c>
      <c r="C2" s="67"/>
      <c r="D2" s="67"/>
      <c r="E2" s="67"/>
      <c r="F2" s="68"/>
      <c r="G2" s="68"/>
      <c r="H2" s="68"/>
      <c r="I2" s="68"/>
    </row>
    <row r="3" spans="1:25" s="69" customFormat="1">
      <c r="C3" s="70"/>
      <c r="D3" s="164"/>
      <c r="E3" s="164"/>
      <c r="F3" s="164"/>
      <c r="G3" s="164"/>
      <c r="H3" s="164"/>
      <c r="I3" s="164"/>
      <c r="J3" s="140" t="s">
        <v>121</v>
      </c>
      <c r="K3" s="154"/>
      <c r="L3" s="154"/>
      <c r="M3" s="164"/>
      <c r="N3" s="210"/>
      <c r="O3" s="210"/>
      <c r="P3" s="210"/>
      <c r="Q3" s="210"/>
      <c r="R3" s="210"/>
      <c r="S3" s="210"/>
      <c r="T3" s="71"/>
      <c r="U3" s="71"/>
      <c r="V3" s="71"/>
      <c r="W3" s="71"/>
    </row>
    <row r="4" spans="1:25" s="85" customFormat="1">
      <c r="A4" s="72"/>
      <c r="B4" s="72"/>
      <c r="C4" s="72"/>
      <c r="D4" s="73" t="s">
        <v>7</v>
      </c>
      <c r="E4" s="73" t="s">
        <v>8</v>
      </c>
      <c r="F4" s="74" t="s">
        <v>22</v>
      </c>
      <c r="G4" s="75"/>
      <c r="H4" s="75"/>
      <c r="I4" s="75"/>
      <c r="J4" s="138">
        <f>DATE(PPFirstYear,MONTH('Input|General'!$G$9),1)</f>
        <v>42156</v>
      </c>
      <c r="K4" s="138">
        <f>DATE(PPFirstYear+1,MONTH('Input|General'!$G$9),1)</f>
        <v>42522</v>
      </c>
      <c r="L4" s="138">
        <f>DATE(PPFirstYear+2,MONTH('Input|General'!$G$9),1)</f>
        <v>42887</v>
      </c>
      <c r="M4" s="138">
        <f>DATE(PPFirstYear+3,MONTH('Input|General'!$G$9),1)</f>
        <v>43252</v>
      </c>
      <c r="N4" s="138">
        <f>DATE(PPFirstYear+4,MONTH('Input|General'!$G$9),1)</f>
        <v>43617</v>
      </c>
      <c r="O4" s="138">
        <f>DATE(PPFirstYear+5,MONTH('Input|General'!$G$9),1)</f>
        <v>43983</v>
      </c>
      <c r="P4" s="138">
        <f>DATE(PPFirstYear+6,MONTH('Input|General'!$G$9),1)</f>
        <v>44348</v>
      </c>
      <c r="Q4" s="138">
        <f>DATE(PPFirstYear+7,MONTH('Input|General'!$G$9),1)</f>
        <v>44713</v>
      </c>
      <c r="R4" s="138">
        <f>DATE(PPFirstYear+8,MONTH('Input|General'!$G$9),1)</f>
        <v>45078</v>
      </c>
      <c r="S4" s="138">
        <f>DATE(PPFirstYear+9,MONTH('Input|General'!$G$9),1)</f>
        <v>45444</v>
      </c>
      <c r="T4" s="76"/>
      <c r="U4" s="76"/>
      <c r="V4" s="77"/>
      <c r="W4" s="77"/>
    </row>
    <row r="5" spans="1:25" s="23" customFormat="1" ht="3" customHeight="1">
      <c r="D5" s="24"/>
      <c r="E5" s="24"/>
      <c r="F5" s="24"/>
      <c r="G5" s="24"/>
      <c r="H5" s="24"/>
      <c r="I5" s="24"/>
    </row>
    <row r="6" spans="1:25" s="23" customFormat="1" ht="9" customHeight="1">
      <c r="D6" s="24"/>
      <c r="E6" s="24"/>
      <c r="F6" s="24"/>
      <c r="G6" s="24"/>
      <c r="H6" s="24"/>
      <c r="I6" s="24"/>
    </row>
    <row r="7" spans="1:25" s="23" customFormat="1" ht="3" customHeight="1">
      <c r="D7" s="24"/>
      <c r="E7" s="24"/>
      <c r="F7" s="24"/>
      <c r="G7" s="24"/>
      <c r="H7" s="24"/>
      <c r="I7" s="24"/>
    </row>
    <row r="8" spans="1:25" s="85" customFormat="1" ht="12.75">
      <c r="A8" s="79"/>
      <c r="B8" s="80" t="s">
        <v>50</v>
      </c>
      <c r="C8" s="79"/>
      <c r="D8" s="79"/>
      <c r="E8" s="79"/>
      <c r="F8" s="81"/>
      <c r="G8" s="81"/>
      <c r="H8" s="81"/>
      <c r="I8" s="81"/>
      <c r="J8" s="82"/>
      <c r="K8" s="83"/>
      <c r="L8" s="82"/>
      <c r="M8" s="83"/>
      <c r="N8" s="82"/>
      <c r="O8" s="82"/>
      <c r="P8" s="82"/>
      <c r="Q8" s="82"/>
      <c r="R8" s="82"/>
      <c r="S8" s="82"/>
      <c r="T8" s="82"/>
      <c r="U8" s="82"/>
      <c r="V8" s="83"/>
      <c r="W8" s="83"/>
    </row>
    <row r="9" spans="1:25" outlineLevel="1">
      <c r="G9" s="28"/>
      <c r="H9" s="28"/>
    </row>
    <row r="10" spans="1:25" outlineLevel="1">
      <c r="C10" s="56" t="s">
        <v>83</v>
      </c>
      <c r="D10" s="28" t="s">
        <v>7</v>
      </c>
      <c r="E10" s="28" t="s">
        <v>8</v>
      </c>
      <c r="F10" s="28" t="s">
        <v>22</v>
      </c>
      <c r="G10" s="28"/>
      <c r="H10" s="28"/>
      <c r="I10" s="145"/>
      <c r="J10" s="145" t="str">
        <f t="shared" ref="J10:S10" si="0">IF(YEAR(J$4)&gt;=FPFirstYear,IF(YEAR(J$4)&lt;=FPLastYear,J$4,""),"")</f>
        <v/>
      </c>
      <c r="K10" s="145" t="str">
        <f t="shared" si="0"/>
        <v/>
      </c>
      <c r="L10" s="145" t="str">
        <f t="shared" si="0"/>
        <v/>
      </c>
      <c r="M10" s="145" t="str">
        <f t="shared" si="0"/>
        <v/>
      </c>
      <c r="N10" s="145" t="str">
        <f t="shared" si="0"/>
        <v/>
      </c>
      <c r="O10" s="145">
        <f t="shared" si="0"/>
        <v>43983</v>
      </c>
      <c r="P10" s="145">
        <f t="shared" si="0"/>
        <v>44348</v>
      </c>
      <c r="Q10" s="145">
        <f t="shared" si="0"/>
        <v>44713</v>
      </c>
      <c r="R10" s="145">
        <f t="shared" si="0"/>
        <v>45078</v>
      </c>
      <c r="S10" s="145">
        <f t="shared" si="0"/>
        <v>45444</v>
      </c>
    </row>
    <row r="11" spans="1:25" outlineLevel="1">
      <c r="G11" s="28"/>
      <c r="H11" s="28"/>
    </row>
    <row r="12" spans="1:25" outlineLevel="1">
      <c r="C12" s="195" t="str">
        <f>'[3]Calc|Step_Changes'!D28</f>
        <v>Inspection and testing</v>
      </c>
      <c r="D12" s="26" t="s">
        <v>73</v>
      </c>
      <c r="E12" s="132" t="s">
        <v>15</v>
      </c>
      <c r="F12" s="153">
        <v>43252</v>
      </c>
      <c r="G12" s="28"/>
      <c r="H12" s="28"/>
      <c r="J12" s="134"/>
      <c r="K12" s="134"/>
      <c r="L12" s="134"/>
      <c r="M12" s="134"/>
      <c r="N12" s="134"/>
      <c r="O12" s="152">
        <f>'[3]Calc|Step_Changes'!N28/10^6</f>
        <v>0.30554423999999997</v>
      </c>
      <c r="P12" s="152">
        <f>'[3]Calc|Step_Changes'!O28/10^6</f>
        <v>0.30554423999999997</v>
      </c>
      <c r="Q12" s="152">
        <f>'[3]Calc|Step_Changes'!P28/10^6</f>
        <v>0.30554423999999997</v>
      </c>
      <c r="R12" s="152">
        <f>'[3]Calc|Step_Changes'!Q28/10^6</f>
        <v>0.30554423999999997</v>
      </c>
      <c r="S12" s="152">
        <f>'[3]Calc|Step_Changes'!R28/10^6</f>
        <v>0.30554423999999997</v>
      </c>
    </row>
    <row r="13" spans="1:25" outlineLevel="1">
      <c r="C13" s="195" t="str">
        <f>'[3]Calc|Step_Changes'!D29</f>
        <v>Metering Compliance Type 1-6</v>
      </c>
      <c r="D13" s="26" t="s">
        <v>73</v>
      </c>
      <c r="E13" s="132" t="s">
        <v>15</v>
      </c>
      <c r="F13" s="153">
        <v>43252</v>
      </c>
      <c r="G13" s="28"/>
      <c r="H13" s="28"/>
      <c r="J13" s="134"/>
      <c r="K13" s="134"/>
      <c r="L13" s="134"/>
      <c r="M13" s="134"/>
      <c r="N13" s="134"/>
      <c r="O13" s="152">
        <f>'[3]Calc|Step_Changes'!N29/10^6</f>
        <v>3.8284619999999998E-2</v>
      </c>
      <c r="P13" s="152">
        <f>'[3]Calc|Step_Changes'!O29/10^6</f>
        <v>3.8284619999999998E-2</v>
      </c>
      <c r="Q13" s="152">
        <f>'[3]Calc|Step_Changes'!P29/10^6</f>
        <v>3.8284619999999998E-2</v>
      </c>
      <c r="R13" s="152">
        <f>'[3]Calc|Step_Changes'!Q29/10^6</f>
        <v>3.8284619999999998E-2</v>
      </c>
      <c r="S13" s="152">
        <f>'[3]Calc|Step_Changes'!R29/10^6</f>
        <v>3.8284619999999998E-2</v>
      </c>
    </row>
    <row r="14" spans="1:25" outlineLevel="1">
      <c r="C14" s="195" t="str">
        <f>'[3]Calc|Step_Changes'!D30</f>
        <v>Southern Region metering technicians</v>
      </c>
      <c r="D14" s="26" t="s">
        <v>73</v>
      </c>
      <c r="E14" s="132" t="s">
        <v>15</v>
      </c>
      <c r="F14" s="153">
        <v>43252</v>
      </c>
      <c r="G14" s="28"/>
      <c r="H14" s="28"/>
      <c r="J14" s="134"/>
      <c r="K14" s="134"/>
      <c r="L14" s="134"/>
      <c r="M14" s="134"/>
      <c r="N14" s="134"/>
      <c r="O14" s="152">
        <v>0</v>
      </c>
      <c r="P14" s="152">
        <v>0</v>
      </c>
      <c r="Q14" s="152">
        <v>0</v>
      </c>
      <c r="R14" s="152">
        <v>0</v>
      </c>
      <c r="S14" s="152">
        <v>0</v>
      </c>
    </row>
    <row r="15" spans="1:25" outlineLevel="1">
      <c r="C15" s="195" t="str">
        <f>'[3]Calc|Step_Changes'!D31</f>
        <v>New and replacement meter policy</v>
      </c>
      <c r="D15" s="26" t="s">
        <v>73</v>
      </c>
      <c r="E15" s="132" t="s">
        <v>15</v>
      </c>
      <c r="F15" s="153">
        <v>43252</v>
      </c>
      <c r="G15" s="28"/>
      <c r="H15" s="28"/>
      <c r="J15" s="134"/>
      <c r="K15" s="134"/>
      <c r="L15" s="134"/>
      <c r="M15" s="134"/>
      <c r="N15" s="134"/>
      <c r="O15" s="207">
        <v>-0.48633636214276221</v>
      </c>
      <c r="P15" s="207">
        <v>-0.61470270572821772</v>
      </c>
      <c r="Q15" s="207">
        <v>-0.75192344025866165</v>
      </c>
      <c r="R15" s="207">
        <v>-0.88997945743989115</v>
      </c>
      <c r="S15" s="207">
        <v>-1.0233581941492447</v>
      </c>
      <c r="T15" s="206" t="s">
        <v>197</v>
      </c>
      <c r="U15" s="206"/>
      <c r="V15" s="206"/>
      <c r="W15" s="206"/>
      <c r="X15" s="206"/>
      <c r="Y15" s="206"/>
    </row>
    <row r="16" spans="1:25" outlineLevel="1">
      <c r="C16" s="195"/>
      <c r="D16" s="26" t="s">
        <v>73</v>
      </c>
      <c r="E16" s="132" t="s">
        <v>15</v>
      </c>
      <c r="F16" s="153">
        <v>43252</v>
      </c>
      <c r="G16" s="28"/>
      <c r="H16" s="28"/>
      <c r="J16" s="134"/>
      <c r="K16" s="134"/>
      <c r="L16" s="134"/>
      <c r="M16" s="134"/>
      <c r="N16" s="134"/>
      <c r="O16" s="152"/>
      <c r="P16" s="152"/>
      <c r="Q16" s="152"/>
      <c r="R16" s="152"/>
      <c r="S16" s="152"/>
    </row>
    <row r="17" spans="1:23" outlineLevel="1">
      <c r="C17" s="50"/>
      <c r="D17" s="26" t="s">
        <v>73</v>
      </c>
      <c r="E17" s="132" t="s">
        <v>15</v>
      </c>
      <c r="F17" s="153">
        <v>43252</v>
      </c>
      <c r="G17" s="28"/>
      <c r="H17" s="28"/>
      <c r="J17" s="134"/>
      <c r="K17" s="134"/>
      <c r="L17" s="134"/>
      <c r="M17" s="134"/>
      <c r="N17" s="134"/>
      <c r="O17" s="152"/>
      <c r="P17" s="152"/>
      <c r="Q17" s="152"/>
      <c r="R17" s="152"/>
      <c r="S17" s="152"/>
    </row>
    <row r="18" spans="1:23" outlineLevel="1">
      <c r="C18" s="50"/>
      <c r="D18" s="26" t="s">
        <v>73</v>
      </c>
      <c r="E18" s="132" t="s">
        <v>15</v>
      </c>
      <c r="F18" s="153">
        <v>43252</v>
      </c>
      <c r="G18" s="28"/>
      <c r="H18" s="28"/>
      <c r="J18" s="134"/>
      <c r="K18" s="134"/>
      <c r="L18" s="134"/>
      <c r="M18" s="134"/>
      <c r="N18" s="134"/>
      <c r="O18" s="152"/>
      <c r="P18" s="152"/>
      <c r="Q18" s="152"/>
      <c r="R18" s="152"/>
      <c r="S18" s="152"/>
    </row>
    <row r="19" spans="1:23" outlineLevel="1">
      <c r="C19" s="50"/>
      <c r="D19" s="26" t="s">
        <v>73</v>
      </c>
      <c r="E19" s="132" t="s">
        <v>15</v>
      </c>
      <c r="F19" s="153">
        <v>43252</v>
      </c>
      <c r="G19" s="28"/>
      <c r="H19" s="28"/>
      <c r="J19" s="134"/>
      <c r="K19" s="134"/>
      <c r="L19" s="134"/>
      <c r="M19" s="134"/>
      <c r="N19" s="134"/>
      <c r="O19" s="152"/>
      <c r="P19" s="152"/>
      <c r="Q19" s="152"/>
      <c r="R19" s="152"/>
      <c r="S19" s="152"/>
    </row>
    <row r="20" spans="1:23" outlineLevel="1">
      <c r="C20" s="50"/>
      <c r="D20" s="26" t="s">
        <v>73</v>
      </c>
      <c r="E20" s="132" t="s">
        <v>15</v>
      </c>
      <c r="F20" s="153">
        <v>43252</v>
      </c>
      <c r="G20" s="28"/>
      <c r="H20" s="28"/>
      <c r="J20" s="134"/>
      <c r="K20" s="134"/>
      <c r="L20" s="134"/>
      <c r="M20" s="134"/>
      <c r="N20" s="134"/>
      <c r="O20" s="152"/>
      <c r="P20" s="152"/>
      <c r="Q20" s="152"/>
      <c r="R20" s="152"/>
      <c r="S20" s="152"/>
    </row>
    <row r="21" spans="1:23" outlineLevel="1">
      <c r="G21" s="28"/>
      <c r="H21" s="28"/>
    </row>
    <row r="22" spans="1:23" outlineLevel="1">
      <c r="C22" s="25" t="s">
        <v>40</v>
      </c>
      <c r="D22" s="26" t="s">
        <v>103</v>
      </c>
      <c r="E22" s="26" t="s">
        <v>28</v>
      </c>
      <c r="F22" s="26" t="s">
        <v>36</v>
      </c>
      <c r="J22" s="114" t="str">
        <f t="shared" ref="J22:S22" si="1">IF(J10=J4,IF(COUNTA($C12:$C20)=COUNT(J12:J20),"Ok","Check"),"")</f>
        <v/>
      </c>
      <c r="K22" s="114" t="str">
        <f t="shared" si="1"/>
        <v/>
      </c>
      <c r="L22" s="114" t="str">
        <f t="shared" si="1"/>
        <v/>
      </c>
      <c r="M22" s="114" t="str">
        <f t="shared" si="1"/>
        <v/>
      </c>
      <c r="N22" s="114" t="str">
        <f t="shared" si="1"/>
        <v/>
      </c>
      <c r="O22" s="114" t="str">
        <f t="shared" si="1"/>
        <v>Ok</v>
      </c>
      <c r="P22" s="114" t="str">
        <f t="shared" si="1"/>
        <v>Ok</v>
      </c>
      <c r="Q22" s="114" t="str">
        <f t="shared" si="1"/>
        <v>Ok</v>
      </c>
      <c r="R22" s="114" t="str">
        <f t="shared" si="1"/>
        <v>Ok</v>
      </c>
      <c r="S22" s="114" t="str">
        <f t="shared" si="1"/>
        <v>Ok</v>
      </c>
      <c r="T22" s="114"/>
      <c r="U22" s="21"/>
      <c r="W22" s="113" t="str">
        <f>IF(COUNTIF(J22:T22,"Check")=0,"Ok","Check")</f>
        <v>Ok</v>
      </c>
    </row>
    <row r="23" spans="1:23">
      <c r="G23" s="28"/>
      <c r="H23" s="28"/>
    </row>
    <row r="24" spans="1:23" s="85" customFormat="1" ht="12.75">
      <c r="A24" s="79"/>
      <c r="B24" s="80" t="s">
        <v>194</v>
      </c>
      <c r="C24" s="79"/>
      <c r="D24" s="79"/>
      <c r="E24" s="79"/>
      <c r="F24" s="81"/>
      <c r="G24" s="81"/>
      <c r="H24" s="81"/>
      <c r="I24" s="81"/>
      <c r="J24" s="82"/>
      <c r="K24" s="83"/>
      <c r="L24" s="82"/>
      <c r="M24" s="83"/>
      <c r="N24" s="82"/>
      <c r="O24" s="82"/>
      <c r="P24" s="82"/>
      <c r="Q24" s="82"/>
      <c r="R24" s="82"/>
      <c r="S24" s="82"/>
      <c r="T24" s="82"/>
      <c r="U24" s="82"/>
      <c r="V24" s="83"/>
      <c r="W24" s="83"/>
    </row>
    <row r="25" spans="1:23" outlineLevel="1">
      <c r="G25" s="28"/>
      <c r="H25" s="28"/>
    </row>
    <row r="26" spans="1:23" outlineLevel="1">
      <c r="C26" s="56" t="s">
        <v>114</v>
      </c>
      <c r="D26" s="28" t="s">
        <v>7</v>
      </c>
      <c r="E26" s="28" t="s">
        <v>8</v>
      </c>
      <c r="F26" s="28" t="s">
        <v>22</v>
      </c>
      <c r="G26" s="28"/>
      <c r="H26" s="28"/>
      <c r="J26" s="145" t="str">
        <f t="shared" ref="J26:S26" si="2">IF(YEAR(J$4)&gt;=FPFirstYear,IF(YEAR(J$4)&lt;=FPLastYear,J$4,""),"")</f>
        <v/>
      </c>
      <c r="K26" s="145" t="str">
        <f t="shared" si="2"/>
        <v/>
      </c>
      <c r="L26" s="145" t="str">
        <f t="shared" si="2"/>
        <v/>
      </c>
      <c r="M26" s="145" t="str">
        <f t="shared" si="2"/>
        <v/>
      </c>
      <c r="N26" s="145" t="str">
        <f t="shared" si="2"/>
        <v/>
      </c>
      <c r="O26" s="145">
        <f t="shared" si="2"/>
        <v>43983</v>
      </c>
      <c r="P26" s="145">
        <f t="shared" si="2"/>
        <v>44348</v>
      </c>
      <c r="Q26" s="145">
        <f t="shared" si="2"/>
        <v>44713</v>
      </c>
      <c r="R26" s="145">
        <f t="shared" si="2"/>
        <v>45078</v>
      </c>
      <c r="S26" s="145">
        <f t="shared" si="2"/>
        <v>45444</v>
      </c>
    </row>
    <row r="27" spans="1:23" outlineLevel="1">
      <c r="G27" s="28"/>
      <c r="H27" s="28"/>
    </row>
    <row r="28" spans="1:23" outlineLevel="1">
      <c r="C28" s="50"/>
      <c r="D28" s="26" t="s">
        <v>73</v>
      </c>
      <c r="E28" s="132" t="s">
        <v>15</v>
      </c>
      <c r="F28" s="153">
        <v>43617</v>
      </c>
      <c r="G28" s="28"/>
      <c r="H28" s="28"/>
      <c r="J28" s="134"/>
      <c r="K28" s="134"/>
      <c r="L28" s="134"/>
      <c r="M28" s="134"/>
      <c r="N28" s="152"/>
      <c r="O28" s="152"/>
      <c r="P28" s="152"/>
      <c r="Q28" s="152"/>
      <c r="R28" s="152"/>
      <c r="S28" s="152"/>
    </row>
    <row r="29" spans="1:23" outlineLevel="1">
      <c r="C29" s="50"/>
      <c r="D29" s="26" t="s">
        <v>73</v>
      </c>
      <c r="E29" s="132" t="s">
        <v>15</v>
      </c>
      <c r="F29" s="153">
        <v>43617</v>
      </c>
      <c r="G29" s="28"/>
      <c r="H29" s="28"/>
      <c r="J29" s="134"/>
      <c r="K29" s="134"/>
      <c r="L29" s="134"/>
      <c r="M29" s="134"/>
      <c r="N29" s="152"/>
      <c r="O29" s="152"/>
      <c r="P29" s="152"/>
      <c r="Q29" s="152"/>
      <c r="R29" s="152"/>
      <c r="S29" s="152"/>
    </row>
    <row r="30" spans="1:23" outlineLevel="1">
      <c r="C30" s="50"/>
      <c r="D30" s="26" t="s">
        <v>73</v>
      </c>
      <c r="E30" s="132" t="s">
        <v>15</v>
      </c>
      <c r="F30" s="153">
        <v>43617</v>
      </c>
      <c r="G30" s="28"/>
      <c r="H30" s="28"/>
      <c r="J30" s="134"/>
      <c r="K30" s="134"/>
      <c r="L30" s="134"/>
      <c r="M30" s="134"/>
      <c r="N30" s="152"/>
      <c r="O30" s="152"/>
      <c r="P30" s="152"/>
      <c r="Q30" s="152"/>
      <c r="R30" s="152"/>
      <c r="S30" s="152"/>
    </row>
    <row r="31" spans="1:23" outlineLevel="1">
      <c r="G31" s="28"/>
      <c r="H31" s="28"/>
    </row>
    <row r="32" spans="1:23" outlineLevel="1">
      <c r="C32" s="25" t="s">
        <v>40</v>
      </c>
      <c r="D32" s="26" t="s">
        <v>103</v>
      </c>
      <c r="E32" s="26" t="s">
        <v>28</v>
      </c>
      <c r="F32" s="26" t="s">
        <v>36</v>
      </c>
      <c r="J32" s="114" t="str">
        <f t="shared" ref="J32:R32" si="3">IF(J26=J4,IF(COUNTA($C28:$C30)=COUNT(J28:J30),"Ok","Check"),"")</f>
        <v/>
      </c>
      <c r="K32" s="114" t="str">
        <f t="shared" si="3"/>
        <v/>
      </c>
      <c r="L32" s="114" t="str">
        <f t="shared" si="3"/>
        <v/>
      </c>
      <c r="M32" s="114" t="str">
        <f t="shared" si="3"/>
        <v/>
      </c>
      <c r="N32" s="114" t="str">
        <f t="shared" si="3"/>
        <v/>
      </c>
      <c r="O32" s="114" t="str">
        <f t="shared" si="3"/>
        <v>Ok</v>
      </c>
      <c r="P32" s="114" t="str">
        <f t="shared" si="3"/>
        <v>Ok</v>
      </c>
      <c r="Q32" s="114" t="str">
        <f t="shared" si="3"/>
        <v>Ok</v>
      </c>
      <c r="R32" s="114" t="str">
        <f t="shared" si="3"/>
        <v>Ok</v>
      </c>
      <c r="S32" s="114" t="str">
        <f>IF(S26=S4,IF(COUNTA($C28:$C30)=COUNT(S28:S30),"Ok","Check"),"")</f>
        <v>Ok</v>
      </c>
      <c r="T32" s="114"/>
      <c r="U32" s="21"/>
      <c r="W32" s="113" t="str">
        <f>IF(COUNTIF(J32:T32,"Check")=0,"Ok","Check")</f>
        <v>Ok</v>
      </c>
    </row>
    <row r="33" spans="1:23">
      <c r="G33" s="28"/>
      <c r="H33" s="28"/>
    </row>
    <row r="34" spans="1:23" s="85" customFormat="1" ht="12.75">
      <c r="A34" s="79"/>
      <c r="B34" s="80" t="s">
        <v>44</v>
      </c>
      <c r="C34" s="79"/>
      <c r="D34" s="79"/>
      <c r="E34" s="79"/>
      <c r="F34" s="81"/>
      <c r="G34" s="81"/>
      <c r="H34" s="81"/>
      <c r="I34" s="81"/>
      <c r="J34" s="82"/>
      <c r="K34" s="83"/>
      <c r="L34" s="82"/>
      <c r="M34" s="83"/>
      <c r="N34" s="82"/>
      <c r="O34" s="82"/>
      <c r="P34" s="82"/>
      <c r="Q34" s="82"/>
      <c r="R34" s="82"/>
      <c r="S34" s="82"/>
      <c r="T34" s="82"/>
      <c r="U34" s="82"/>
      <c r="V34" s="83"/>
      <c r="W34" s="83"/>
    </row>
    <row r="35" spans="1:23" outlineLevel="1">
      <c r="G35" s="28"/>
      <c r="H35" s="28"/>
    </row>
    <row r="36" spans="1:23" outlineLevel="1">
      <c r="C36" s="56" t="s">
        <v>32</v>
      </c>
      <c r="D36" s="28" t="s">
        <v>7</v>
      </c>
      <c r="E36" s="28" t="s">
        <v>8</v>
      </c>
      <c r="F36" s="28" t="s">
        <v>22</v>
      </c>
      <c r="G36" s="28"/>
      <c r="H36" s="28"/>
      <c r="J36" s="145" t="str">
        <f t="shared" ref="J36:S36" si="4">IF(YEAR(J$4)&gt;=FPFirstYear,IF(YEAR(J$4)&lt;=FPLastYear,J$4,""),"")</f>
        <v/>
      </c>
      <c r="K36" s="145" t="str">
        <f t="shared" si="4"/>
        <v/>
      </c>
      <c r="L36" s="145" t="str">
        <f t="shared" si="4"/>
        <v/>
      </c>
      <c r="M36" s="145" t="str">
        <f t="shared" si="4"/>
        <v/>
      </c>
      <c r="N36" s="145" t="str">
        <f t="shared" si="4"/>
        <v/>
      </c>
      <c r="O36" s="145">
        <f t="shared" si="4"/>
        <v>43983</v>
      </c>
      <c r="P36" s="145">
        <f t="shared" si="4"/>
        <v>44348</v>
      </c>
      <c r="Q36" s="145">
        <f t="shared" si="4"/>
        <v>44713</v>
      </c>
      <c r="R36" s="145">
        <f t="shared" si="4"/>
        <v>45078</v>
      </c>
      <c r="S36" s="145">
        <f t="shared" si="4"/>
        <v>45444</v>
      </c>
    </row>
    <row r="37" spans="1:23" outlineLevel="1">
      <c r="G37" s="28"/>
      <c r="H37" s="28"/>
    </row>
    <row r="38" spans="1:23" outlineLevel="1">
      <c r="C38" s="93" t="s">
        <v>39</v>
      </c>
      <c r="D38" s="26" t="s">
        <v>76</v>
      </c>
      <c r="E38" s="26" t="s">
        <v>15</v>
      </c>
      <c r="F38" s="192">
        <f>DATE(PPLastYear,MONTH('Input|General'!$G$9),1)</f>
        <v>43617</v>
      </c>
      <c r="G38" s="28"/>
      <c r="H38" s="28"/>
      <c r="J38" s="152"/>
      <c r="K38" s="152"/>
      <c r="L38" s="152"/>
      <c r="M38" s="152"/>
      <c r="N38" s="152"/>
      <c r="O38" s="152">
        <f>'[4]PTRM input'!G186</f>
        <v>7.3051562905427289E-3</v>
      </c>
      <c r="P38" s="152">
        <f>'[4]PTRM input'!H186</f>
        <v>1.0327906810985674E-2</v>
      </c>
      <c r="Q38" s="152">
        <f>'[4]PTRM input'!I186</f>
        <v>1.1500177584532418E-2</v>
      </c>
      <c r="R38" s="152">
        <f>'[4]PTRM input'!J186</f>
        <v>1.2656487836470115E-2</v>
      </c>
      <c r="S38" s="152">
        <f>'[4]PTRM input'!K186</f>
        <v>1.5669439973326205E-2</v>
      </c>
    </row>
    <row r="39" spans="1:23" outlineLevel="1">
      <c r="G39" s="28"/>
      <c r="H39" s="28"/>
    </row>
    <row r="40" spans="1:23" outlineLevel="1">
      <c r="C40" s="25" t="s">
        <v>40</v>
      </c>
      <c r="D40" s="26" t="s">
        <v>103</v>
      </c>
      <c r="E40" s="26" t="s">
        <v>28</v>
      </c>
      <c r="F40" s="26" t="s">
        <v>36</v>
      </c>
      <c r="J40" s="114" t="str">
        <f t="shared" ref="J40:R40" si="5">IF(J36=J4,IF(ISBLANK(J38),"Check","Ok"),"")</f>
        <v/>
      </c>
      <c r="K40" s="114" t="str">
        <f t="shared" si="5"/>
        <v/>
      </c>
      <c r="L40" s="114" t="str">
        <f t="shared" si="5"/>
        <v/>
      </c>
      <c r="M40" s="114" t="str">
        <f t="shared" si="5"/>
        <v/>
      </c>
      <c r="N40" s="114" t="str">
        <f t="shared" si="5"/>
        <v/>
      </c>
      <c r="O40" s="114" t="str">
        <f t="shared" si="5"/>
        <v>Ok</v>
      </c>
      <c r="P40" s="114" t="str">
        <f t="shared" si="5"/>
        <v>Ok</v>
      </c>
      <c r="Q40" s="114" t="str">
        <f t="shared" si="5"/>
        <v>Ok</v>
      </c>
      <c r="R40" s="114" t="str">
        <f t="shared" si="5"/>
        <v>Ok</v>
      </c>
      <c r="S40" s="114" t="str">
        <f>IF(S36=S4,IF(ISBLANK(S38),"Check","Ok"),"")</f>
        <v>Ok</v>
      </c>
      <c r="T40" s="114"/>
      <c r="U40" s="21"/>
      <c r="W40" s="113" t="str">
        <f>IF(COUNTIF(J40:T40,"Check")=0,"Ok","Check")</f>
        <v>Ok</v>
      </c>
    </row>
    <row r="41" spans="1:23">
      <c r="G41" s="28"/>
      <c r="H41" s="28"/>
    </row>
    <row r="42" spans="1:23" s="85" customFormat="1" ht="12.75">
      <c r="A42" s="79"/>
      <c r="B42" s="80" t="s">
        <v>21</v>
      </c>
      <c r="C42" s="79"/>
      <c r="D42" s="79"/>
      <c r="E42" s="79"/>
      <c r="F42" s="81"/>
      <c r="G42" s="81"/>
      <c r="H42" s="81"/>
      <c r="I42" s="81"/>
      <c r="J42" s="82"/>
      <c r="K42" s="83"/>
      <c r="L42" s="82"/>
      <c r="M42" s="83"/>
      <c r="N42" s="82"/>
      <c r="O42" s="82"/>
      <c r="P42" s="82"/>
      <c r="Q42" s="82"/>
      <c r="R42" s="82"/>
      <c r="S42" s="82"/>
      <c r="T42" s="82"/>
      <c r="U42" s="82"/>
      <c r="V42" s="83"/>
      <c r="W42" s="83"/>
    </row>
    <row r="43" spans="1:23" hidden="1">
      <c r="D43" s="25"/>
      <c r="E43" s="25"/>
      <c r="F43" s="25"/>
      <c r="G43" s="25"/>
      <c r="H43" s="25"/>
      <c r="I43" s="25"/>
    </row>
    <row r="44" spans="1:23" hidden="1">
      <c r="D44" s="25"/>
      <c r="E44" s="25"/>
      <c r="F44" s="25"/>
      <c r="G44" s="25"/>
      <c r="H44" s="25"/>
      <c r="I44" s="25"/>
    </row>
    <row r="45" spans="1:23" hidden="1">
      <c r="D45" s="25"/>
      <c r="E45" s="25"/>
      <c r="F45" s="25"/>
      <c r="G45" s="25"/>
      <c r="H45" s="25"/>
      <c r="I45" s="25"/>
    </row>
    <row r="46" spans="1:23" hidden="1">
      <c r="D46" s="25"/>
      <c r="E46" s="25"/>
      <c r="F46" s="25"/>
      <c r="G46" s="25"/>
      <c r="H46" s="25"/>
      <c r="I46" s="25"/>
    </row>
    <row r="47" spans="1:23" hidden="1">
      <c r="D47" s="25"/>
      <c r="E47" s="25"/>
      <c r="F47" s="25"/>
      <c r="G47" s="25"/>
      <c r="H47" s="25"/>
      <c r="I47" s="25"/>
    </row>
    <row r="48" spans="1:23" hidden="1">
      <c r="D48" s="25"/>
      <c r="E48" s="25"/>
      <c r="F48" s="25"/>
      <c r="G48" s="25"/>
      <c r="H48" s="25"/>
      <c r="I48" s="25"/>
    </row>
    <row r="49" spans="4:9" hidden="1">
      <c r="D49" s="25"/>
      <c r="E49" s="25"/>
      <c r="F49" s="25"/>
      <c r="G49" s="25"/>
      <c r="H49" s="25"/>
      <c r="I49" s="25"/>
    </row>
    <row r="50" spans="4:9" hidden="1">
      <c r="D50" s="25"/>
      <c r="E50" s="25"/>
      <c r="F50" s="25"/>
      <c r="G50" s="25"/>
      <c r="H50" s="25"/>
      <c r="I50" s="25"/>
    </row>
    <row r="51" spans="4:9" hidden="1">
      <c r="D51" s="25"/>
      <c r="E51" s="25"/>
      <c r="F51" s="25"/>
      <c r="G51" s="25"/>
      <c r="H51" s="25"/>
      <c r="I51" s="25"/>
    </row>
    <row r="52" spans="4:9" hidden="1">
      <c r="D52" s="25"/>
      <c r="E52" s="25"/>
      <c r="F52" s="25"/>
      <c r="G52" s="25"/>
      <c r="H52" s="25"/>
      <c r="I52" s="25"/>
    </row>
  </sheetData>
  <mergeCells count="1">
    <mergeCell ref="N3:S3"/>
  </mergeCells>
  <conditionalFormatting sqref="S1">
    <cfRule type="cellIs" dxfId="105" priority="28" operator="equal">
      <formula>"Check"</formula>
    </cfRule>
    <cfRule type="cellIs" dxfId="104" priority="29" operator="equal">
      <formula>"Ok"</formula>
    </cfRule>
  </conditionalFormatting>
  <conditionalFormatting sqref="V1">
    <cfRule type="cellIs" dxfId="103" priority="30" operator="equal">
      <formula>"Check"</formula>
    </cfRule>
    <cfRule type="cellIs" dxfId="102" priority="31" operator="equal">
      <formula>"Ok"</formula>
    </cfRule>
  </conditionalFormatting>
  <conditionalFormatting sqref="J10:S10">
    <cfRule type="expression" dxfId="101" priority="26">
      <formula>J$10=J$4</formula>
    </cfRule>
  </conditionalFormatting>
  <conditionalFormatting sqref="J17:S20 J12:N16 O16:S17">
    <cfRule type="expression" dxfId="100" priority="25">
      <formula>J$10=J$4</formula>
    </cfRule>
  </conditionalFormatting>
  <conditionalFormatting sqref="W22">
    <cfRule type="cellIs" dxfId="99" priority="21" operator="equal">
      <formula>"Check"</formula>
    </cfRule>
    <cfRule type="cellIs" dxfId="98" priority="22" operator="equal">
      <formula>"Ok"</formula>
    </cfRule>
  </conditionalFormatting>
  <conditionalFormatting sqref="J22:T22">
    <cfRule type="cellIs" dxfId="97" priority="19" operator="equal">
      <formula>"Check"</formula>
    </cfRule>
    <cfRule type="cellIs" dxfId="96" priority="20" operator="equal">
      <formula>"Ok"</formula>
    </cfRule>
  </conditionalFormatting>
  <conditionalFormatting sqref="W32">
    <cfRule type="cellIs" dxfId="95" priority="17" operator="equal">
      <formula>"Check"</formula>
    </cfRule>
    <cfRule type="cellIs" dxfId="94" priority="18" operator="equal">
      <formula>"Ok"</formula>
    </cfRule>
  </conditionalFormatting>
  <conditionalFormatting sqref="J32:T32">
    <cfRule type="cellIs" dxfId="93" priority="15" operator="equal">
      <formula>"Check"</formula>
    </cfRule>
    <cfRule type="cellIs" dxfId="92" priority="16" operator="equal">
      <formula>"Ok"</formula>
    </cfRule>
  </conditionalFormatting>
  <conditionalFormatting sqref="J28:M30 O29:S30">
    <cfRule type="expression" dxfId="91" priority="14">
      <formula>J$26=J$4</formula>
    </cfRule>
  </conditionalFormatting>
  <conditionalFormatting sqref="W40">
    <cfRule type="cellIs" dxfId="90" priority="12" operator="equal">
      <formula>"Check"</formula>
    </cfRule>
    <cfRule type="cellIs" dxfId="89" priority="13" operator="equal">
      <formula>"Ok"</formula>
    </cfRule>
  </conditionalFormatting>
  <conditionalFormatting sqref="J40:T40">
    <cfRule type="cellIs" dxfId="88" priority="10" operator="equal">
      <formula>"Check"</formula>
    </cfRule>
    <cfRule type="cellIs" dxfId="87" priority="11" operator="equal">
      <formula>"Ok"</formula>
    </cfRule>
  </conditionalFormatting>
  <conditionalFormatting sqref="O28:S28">
    <cfRule type="expression" dxfId="86" priority="9">
      <formula>O$10=O$4</formula>
    </cfRule>
  </conditionalFormatting>
  <conditionalFormatting sqref="N28:N30">
    <cfRule type="expression" dxfId="85" priority="8">
      <formula>N$10=N$4</formula>
    </cfRule>
  </conditionalFormatting>
  <conditionalFormatting sqref="J38:N38">
    <cfRule type="expression" dxfId="84" priority="5">
      <formula>J$36=J$4</formula>
    </cfRule>
  </conditionalFormatting>
  <conditionalFormatting sqref="J26:S26">
    <cfRule type="expression" dxfId="83" priority="4">
      <formula>J$10=J$4</formula>
    </cfRule>
  </conditionalFormatting>
  <conditionalFormatting sqref="J36:S36">
    <cfRule type="expression" dxfId="82" priority="3">
      <formula>J$10=J$4</formula>
    </cfRule>
  </conditionalFormatting>
  <conditionalFormatting sqref="O12:S16">
    <cfRule type="expression" dxfId="81" priority="2">
      <formula>O$10=O$4</formula>
    </cfRule>
  </conditionalFormatting>
  <conditionalFormatting sqref="O38:S38">
    <cfRule type="expression" dxfId="80" priority="1">
      <formula>O$36=O$4</formula>
    </cfRule>
  </conditionalFormatting>
  <dataValidations count="2">
    <dataValidation type="list" allowBlank="1" showInputMessage="1" showErrorMessage="1" sqref="F23 F31 F33 F41">
      <formula1>"Real 2010,Real 2011,Real 2012,Real 2013,Real 2014,Real 2015,Nominal"</formula1>
    </dataValidation>
    <dataValidation type="list" allowBlank="1" showInputMessage="1" showErrorMessage="1" sqref="U28:U31 I38 U23 I23 U12:U21 I28:I31 U33 I33 U41 I41">
      <formula1>#REF!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>
          <x14:formula1>
            <xm:f>'Lookup|Tables'!$G$10:$G$12</xm:f>
          </x14:formula1>
          <xm:sqref>E38 E28:E30 E12:E21</xm:sqref>
        </x14:dataValidation>
        <x14:dataValidation type="list" allowBlank="1" showInputMessage="1" showErrorMessage="1">
          <x14:formula1>
            <xm:f>'Lookup|Tables'!$C$66:$C$74</xm:f>
          </x14:formula1>
          <xm:sqref>F21</xm:sqref>
        </x14:dataValidation>
        <x14:dataValidation type="list" allowBlank="1" showInputMessage="1" showErrorMessage="1">
          <x14:formula1>
            <xm:f>'Lookup|Tables'!$H$41:$H$60</xm:f>
          </x14:formula1>
          <xm:sqref>F12:F20 F28:F30 F38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rgb="FFCCFFCC"/>
  </sheetPr>
  <dimension ref="A1:AU191"/>
  <sheetViews>
    <sheetView showGridLines="0" topLeftCell="D43" zoomScaleNormal="100" workbookViewId="0">
      <selection activeCell="V86" sqref="V86"/>
    </sheetView>
  </sheetViews>
  <sheetFormatPr defaultColWidth="0" defaultRowHeight="11.25" zeroHeight="1" outlineLevelRow="1"/>
  <cols>
    <col min="1" max="2" width="1.5" style="25" customWidth="1"/>
    <col min="3" max="3" width="76.5" style="25" bestFit="1" customWidth="1"/>
    <col min="4" max="4" width="27.6640625" style="26" customWidth="1"/>
    <col min="5" max="5" width="15.83203125" style="26" customWidth="1"/>
    <col min="6" max="6" width="10.6640625" style="26" customWidth="1"/>
    <col min="7" max="9" width="3.5" style="26" customWidth="1"/>
    <col min="10" max="23" width="10.83203125" style="25" customWidth="1"/>
    <col min="24" max="47" width="10.5" style="25" customWidth="1"/>
    <col min="48" max="16384" width="10.5" style="25" hidden="1"/>
  </cols>
  <sheetData>
    <row r="1" spans="1:23" s="58" customFormat="1" ht="15.75">
      <c r="B1" s="59" t="str">
        <f>Index!$B$1</f>
        <v>AER opex model</v>
      </c>
      <c r="C1" s="59"/>
      <c r="D1" s="59"/>
      <c r="E1" s="59"/>
      <c r="F1" s="60"/>
      <c r="G1" s="60"/>
      <c r="H1" s="60"/>
      <c r="I1" s="60"/>
      <c r="J1" s="33" t="s">
        <v>2</v>
      </c>
      <c r="L1" s="61" t="s">
        <v>3</v>
      </c>
      <c r="M1" s="62" t="s">
        <v>4</v>
      </c>
      <c r="N1" s="63" t="s">
        <v>5</v>
      </c>
      <c r="O1" s="64" t="s">
        <v>6</v>
      </c>
      <c r="R1" s="61" t="s">
        <v>86</v>
      </c>
      <c r="S1" s="65" t="s">
        <v>36</v>
      </c>
      <c r="U1" s="169" t="s">
        <v>24</v>
      </c>
      <c r="V1" s="65" t="str">
        <f>'Check|List'!$S$1</f>
        <v>Ok</v>
      </c>
    </row>
    <row r="2" spans="1:23" s="66" customFormat="1" ht="13.5" thickBot="1">
      <c r="B2" s="67" t="str">
        <f>Index!$C$12</f>
        <v>Calc | Opex Forecast</v>
      </c>
      <c r="C2" s="67"/>
      <c r="D2" s="67"/>
      <c r="E2" s="67"/>
      <c r="F2" s="68"/>
      <c r="G2" s="68"/>
      <c r="H2" s="68"/>
      <c r="I2" s="68"/>
    </row>
    <row r="3" spans="1:23" s="69" customFormat="1">
      <c r="C3" s="70"/>
      <c r="D3" s="164"/>
      <c r="E3" s="164"/>
      <c r="F3" s="164"/>
      <c r="G3" s="164"/>
      <c r="H3" s="164"/>
      <c r="I3" s="164"/>
      <c r="J3" s="154" t="s">
        <v>121</v>
      </c>
      <c r="K3" s="154"/>
      <c r="L3" s="154"/>
      <c r="M3" s="164"/>
      <c r="N3" s="210"/>
      <c r="O3" s="210"/>
      <c r="P3" s="210"/>
      <c r="Q3" s="210"/>
      <c r="R3" s="210"/>
      <c r="S3" s="210"/>
      <c r="T3" s="71"/>
      <c r="U3" s="71"/>
      <c r="V3" s="71"/>
      <c r="W3" s="71"/>
    </row>
    <row r="4" spans="1:23" s="85" customFormat="1">
      <c r="A4" s="72"/>
      <c r="B4" s="72"/>
      <c r="C4" s="72"/>
      <c r="D4" s="73" t="s">
        <v>7</v>
      </c>
      <c r="E4" s="73" t="s">
        <v>8</v>
      </c>
      <c r="F4" s="74" t="s">
        <v>22</v>
      </c>
      <c r="G4" s="75"/>
      <c r="H4" s="75"/>
      <c r="I4" s="75"/>
      <c r="J4" s="138">
        <f>DATE(PPFirstYear,MONTH('Input|General'!$G$9),1)</f>
        <v>42156</v>
      </c>
      <c r="K4" s="138">
        <f>DATE(PPFirstYear+1,MONTH('Input|General'!$G$9),1)</f>
        <v>42522</v>
      </c>
      <c r="L4" s="138">
        <f>DATE(PPFirstYear+2,MONTH('Input|General'!$G$9),1)</f>
        <v>42887</v>
      </c>
      <c r="M4" s="138">
        <f>DATE(PPFirstYear+3,MONTH('Input|General'!$G$9),1)</f>
        <v>43252</v>
      </c>
      <c r="N4" s="138">
        <f>DATE(PPFirstYear+4,MONTH('Input|General'!$G$9),1)</f>
        <v>43617</v>
      </c>
      <c r="O4" s="138">
        <f>DATE(PPFirstYear+5,MONTH('Input|General'!$G$9),1)</f>
        <v>43983</v>
      </c>
      <c r="P4" s="138">
        <f>DATE(PPFirstYear+6,MONTH('Input|General'!$G$9),1)</f>
        <v>44348</v>
      </c>
      <c r="Q4" s="138">
        <f>DATE(PPFirstYear+7,MONTH('Input|General'!$G$9),1)</f>
        <v>44713</v>
      </c>
      <c r="R4" s="138">
        <f>DATE(PPFirstYear+8,MONTH('Input|General'!$G$9),1)</f>
        <v>45078</v>
      </c>
      <c r="S4" s="138">
        <f>DATE(PPFirstYear+9,MONTH('Input|General'!$G$9),1)</f>
        <v>45444</v>
      </c>
      <c r="T4" s="76"/>
      <c r="U4" s="76"/>
      <c r="V4" s="77"/>
      <c r="W4" s="77"/>
    </row>
    <row r="5" spans="1:23" s="23" customFormat="1" ht="3" customHeight="1">
      <c r="D5" s="24"/>
      <c r="E5" s="24"/>
      <c r="F5" s="24"/>
      <c r="G5" s="24"/>
      <c r="H5" s="24"/>
      <c r="I5" s="24"/>
    </row>
    <row r="6" spans="1:23" s="23" customFormat="1" ht="9" customHeight="1">
      <c r="D6" s="24"/>
      <c r="E6" s="24"/>
      <c r="F6" s="24"/>
      <c r="G6" s="24"/>
      <c r="H6" s="24"/>
      <c r="I6" s="24"/>
    </row>
    <row r="7" spans="1:23" s="23" customFormat="1" ht="3" customHeight="1">
      <c r="D7" s="24"/>
      <c r="E7" s="24"/>
      <c r="F7" s="24"/>
      <c r="G7" s="24"/>
      <c r="H7" s="24"/>
      <c r="I7" s="24"/>
    </row>
    <row r="8" spans="1:23" s="85" customFormat="1" ht="12.75">
      <c r="A8" s="79"/>
      <c r="B8" s="80" t="s">
        <v>90</v>
      </c>
      <c r="C8" s="79"/>
      <c r="D8" s="79"/>
      <c r="E8" s="57" t="s">
        <v>15</v>
      </c>
      <c r="F8" s="188">
        <f>DATE(PPLastYear,MONTH('Input|General'!$G$9),1)</f>
        <v>43617</v>
      </c>
      <c r="G8" s="81"/>
      <c r="H8" s="81"/>
      <c r="I8" s="81"/>
      <c r="J8" s="82"/>
      <c r="K8" s="83"/>
      <c r="L8" s="82"/>
      <c r="M8" s="83"/>
      <c r="N8" s="82"/>
      <c r="O8" s="82"/>
      <c r="P8" s="82"/>
      <c r="Q8" s="82"/>
      <c r="R8" s="82"/>
      <c r="S8" s="82"/>
      <c r="T8" s="82"/>
      <c r="U8" s="82"/>
      <c r="V8" s="83"/>
      <c r="W8" s="83"/>
    </row>
    <row r="9" spans="1:23" outlineLevel="1"/>
    <row r="10" spans="1:23" outlineLevel="1">
      <c r="C10" s="86"/>
      <c r="D10" s="28" t="s">
        <v>7</v>
      </c>
      <c r="E10" s="28" t="s">
        <v>8</v>
      </c>
      <c r="F10" s="28" t="s">
        <v>22</v>
      </c>
      <c r="G10" s="87"/>
      <c r="H10" s="87"/>
      <c r="I10" s="87"/>
      <c r="J10" s="145">
        <f t="shared" ref="J10:S10" si="0">IF(YEAR(J$4)&lt;=PPLastYear,J$4,"")</f>
        <v>42156</v>
      </c>
      <c r="K10" s="145">
        <f t="shared" si="0"/>
        <v>42522</v>
      </c>
      <c r="L10" s="145">
        <f t="shared" si="0"/>
        <v>42887</v>
      </c>
      <c r="M10" s="145">
        <f t="shared" si="0"/>
        <v>43252</v>
      </c>
      <c r="N10" s="145">
        <f t="shared" si="0"/>
        <v>43617</v>
      </c>
      <c r="O10" s="145" t="str">
        <f t="shared" si="0"/>
        <v/>
      </c>
      <c r="P10" s="145" t="str">
        <f t="shared" si="0"/>
        <v/>
      </c>
      <c r="Q10" s="145" t="str">
        <f t="shared" si="0"/>
        <v/>
      </c>
      <c r="R10" s="145" t="str">
        <f t="shared" si="0"/>
        <v/>
      </c>
      <c r="S10" s="145" t="str">
        <f t="shared" si="0"/>
        <v/>
      </c>
    </row>
    <row r="11" spans="1:23" outlineLevel="1">
      <c r="C11" s="88"/>
      <c r="J11" s="89"/>
      <c r="K11" s="89"/>
      <c r="L11" s="89"/>
      <c r="M11" s="89"/>
      <c r="N11" s="89"/>
      <c r="O11" s="89"/>
      <c r="P11" s="89"/>
      <c r="Q11" s="89"/>
      <c r="R11" s="89"/>
      <c r="S11" s="89"/>
    </row>
    <row r="12" spans="1:23" outlineLevel="1">
      <c r="C12" s="88" t="s">
        <v>163</v>
      </c>
      <c r="D12" s="90" t="s">
        <v>96</v>
      </c>
      <c r="E12" s="26" t="str">
        <f>'Input|Reported opex'!E53</f>
        <v>$millions</v>
      </c>
      <c r="F12" s="143" t="str">
        <f>'Input|Reported opex'!F53</f>
        <v>nominal</v>
      </c>
      <c r="J12" s="91">
        <f>IF(YEAR(J$4)=BaseYear,'Input|Reported opex'!J44,0)</f>
        <v>0</v>
      </c>
      <c r="K12" s="91">
        <f>IF(YEAR(K$4)=BaseYear,'Input|Reported opex'!K44,0)</f>
        <v>0</v>
      </c>
      <c r="L12" s="91">
        <f>IF(YEAR(L$4)=BaseYear,'Input|Reported opex'!L44,0)</f>
        <v>0</v>
      </c>
      <c r="M12" s="91">
        <f>IF(YEAR(M$4)=BaseYear,'Input|Reported opex'!M44,0)</f>
        <v>5.3460663127106507</v>
      </c>
      <c r="N12" s="91">
        <f>IF(YEAR(N$4)=BaseYear,'Input|Reported opex'!N44,0)</f>
        <v>0</v>
      </c>
      <c r="O12" s="91">
        <f>IF(YEAR(O$4)=BaseYear,'Input|Reported opex'!O44,0)</f>
        <v>0</v>
      </c>
      <c r="P12" s="91">
        <f>IF(YEAR(P$4)=BaseYear,'Input|Reported opex'!P44,0)</f>
        <v>0</v>
      </c>
      <c r="Q12" s="91">
        <f>IF(YEAR(Q$4)=BaseYear,'Input|Reported opex'!Q44,0)</f>
        <v>0</v>
      </c>
      <c r="R12" s="91">
        <f>IF(YEAR(R$4)=BaseYear,'Input|Reported opex'!R44,0)</f>
        <v>0</v>
      </c>
      <c r="S12" s="91">
        <f>IF(YEAR(S$4)=BaseYear,'Input|Reported opex'!S44,0)</f>
        <v>0</v>
      </c>
    </row>
    <row r="13" spans="1:23" outlineLevel="1">
      <c r="C13" s="88" t="s">
        <v>163</v>
      </c>
      <c r="D13" s="92" t="s">
        <v>30</v>
      </c>
      <c r="E13" s="26" t="str">
        <f>$E$8</f>
        <v>$millions</v>
      </c>
      <c r="F13" s="143">
        <f>$F$8</f>
        <v>43617</v>
      </c>
      <c r="J13" s="91">
        <f>J12*IF($F12="nominal",LOOKUP($F13,Nominal_to_Real,'Input|Rate of change'!K$25:K$30),INDEX('Input|Rate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K13" s="91">
        <f>K12*IF($F12="nominal",LOOKUP($F13,Nominal_to_Real,'Input|Rate of change'!L$25:L$30),INDEX('Input|Rate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L13" s="91">
        <f>L12*IF($F12="nominal",LOOKUP($F13,Nominal_to_Real,'Input|Rate of change'!M$25:M$30),INDEX('Input|Rate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M13" s="91">
        <f>M12*IF($F12="nominal",LOOKUP($F13,Nominal_to_Real,'Input|Rate of change'!N$25:N$30),INDEX('Input|Rate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5.5093444340948112</v>
      </c>
      <c r="N13" s="91">
        <f>N12*IF($F12="nominal",LOOKUP($F13,Nominal_to_Real,'Input|Rate of change'!O$25:O$30),INDEX('Input|Rate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O13" s="91">
        <f>O12*IF($F12="nominal",LOOKUP($F13,Nominal_to_Real,'Input|Rate of change'!P$25:P$30),INDEX('Input|Rate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P13" s="91">
        <f>P12*IF($F12="nominal",LOOKUP($F13,Nominal_to_Real,'Input|Rate of change'!Q$25:Q$30),INDEX('Input|Rate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Q13" s="91">
        <f>Q12*IF($F12="nominal",LOOKUP($F13,Nominal_to_Real,'Input|Rate of change'!R$25:R$30),INDEX('Input|Rate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R13" s="91">
        <f>R12*IF($F12="nominal",LOOKUP($F13,Nominal_to_Real,'Input|Rate of change'!S$25:S$30),INDEX('Input|Rate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  <c r="S13" s="91">
        <f>S12*IF($F12="nominal",LOOKUP($F13,Nominal_to_Real,'Input|Rate of change'!T$25:T$30),INDEX('Input|Rate of change'!$C$14:$O$21,MATCH('Calc|Opex forecast'!$F12,'Input|Rate of change'!$C$14:$C$21,0),MATCH('Calc|Opex forecast'!$F13,'Input|Rate of change'!$C$14:$O$14,0)))*IF($E12="$millions",1000000,IF($E12="$000",1000,1))/IF($E13="$millions",1000000,IF($E13="$000",1000,1))</f>
        <v>0</v>
      </c>
    </row>
    <row r="14" spans="1:23" outlineLevel="1">
      <c r="C14" s="93"/>
      <c r="D14" s="92"/>
      <c r="F14" s="143"/>
      <c r="J14" s="91"/>
      <c r="K14" s="91"/>
      <c r="L14" s="91"/>
      <c r="M14" s="91"/>
      <c r="N14" s="91"/>
      <c r="O14" s="91"/>
      <c r="P14" s="91"/>
      <c r="Q14" s="91"/>
      <c r="R14" s="91"/>
      <c r="S14" s="91"/>
    </row>
    <row r="15" spans="1:23" outlineLevel="1">
      <c r="C15" s="88" t="s">
        <v>164</v>
      </c>
      <c r="D15" s="90" t="s">
        <v>96</v>
      </c>
      <c r="E15" s="26" t="str">
        <f>'Input|Reported opex'!E60</f>
        <v>$millions</v>
      </c>
      <c r="F15" s="143" t="str">
        <f>'Input|Reported opex'!F53</f>
        <v>nominal</v>
      </c>
      <c r="J15" s="91">
        <f>IF(YEAR(J$4)=BaseYear,'Input|Reported opex'!J53,0)</f>
        <v>0</v>
      </c>
      <c r="K15" s="91">
        <f>IF(YEAR(K$4)=BaseYear,'Input|Reported opex'!K53,0)</f>
        <v>0</v>
      </c>
      <c r="L15" s="91">
        <f>IF(YEAR(L$4)=BaseYear,'Input|Reported opex'!L53,0)</f>
        <v>0</v>
      </c>
      <c r="M15" s="91">
        <f>IF(YEAR(M$4)=BaseYear,'Input|Reported opex'!M53,0)</f>
        <v>0</v>
      </c>
      <c r="N15" s="91">
        <f>IF(YEAR(N$4)=BaseYear,'Input|Reported opex'!N53,0)</f>
        <v>0</v>
      </c>
      <c r="O15" s="91">
        <f>IF(YEAR(O$4)=BaseYear,'Input|Reported opex'!O53,0)</f>
        <v>0</v>
      </c>
      <c r="P15" s="91">
        <f>IF(YEAR(P$4)=BaseYear,'Input|Reported opex'!P53,0)</f>
        <v>0</v>
      </c>
      <c r="Q15" s="91">
        <f>IF(YEAR(Q$4)=BaseYear,'Input|Reported opex'!Q53,0)</f>
        <v>0</v>
      </c>
      <c r="R15" s="91">
        <f>IF(YEAR(R$4)=BaseYear,'Input|Reported opex'!R53,0)</f>
        <v>0</v>
      </c>
      <c r="S15" s="91">
        <f>IF(YEAR(S$4)=BaseYear,'Input|Reported opex'!S53,0)</f>
        <v>0</v>
      </c>
    </row>
    <row r="16" spans="1:23" outlineLevel="1">
      <c r="C16" s="88" t="s">
        <v>164</v>
      </c>
      <c r="D16" s="92" t="s">
        <v>30</v>
      </c>
      <c r="E16" s="26" t="str">
        <f>$E$8</f>
        <v>$millions</v>
      </c>
      <c r="F16" s="143">
        <f>$F$8</f>
        <v>43617</v>
      </c>
      <c r="J16" s="91">
        <f>J15*IF($F15="nominal",LOOKUP($F16,Nominal_to_Real,'Input|Rate of change'!K$25:K$30),INDEX('Input|Rate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K16" s="91">
        <f>K15*IF($F15="nominal",LOOKUP($F16,Nominal_to_Real,'Input|Rate of change'!L$25:L$30),INDEX('Input|Rate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L16" s="198">
        <f>L15*IF($F15="nominal",LOOKUP($F16,Nominal_to_Real,'Input|Rate of change'!M$25:M$30),INDEX('Input|Rate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M16" s="91">
        <f>M15*IF($F15="nominal",LOOKUP($F16,Nominal_to_Real,'Input|Rate of change'!N$25:N$30),INDEX('Input|Rate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N16" s="91">
        <f>N15*IF($F15="nominal",LOOKUP($F16,Nominal_to_Real,'Input|Rate of change'!O$25:O$30),INDEX('Input|Rate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O16" s="91">
        <f>O15*IF($F15="nominal",LOOKUP($F16,Nominal_to_Real,'Input|Rate of change'!P$25:P$30),INDEX('Input|Rate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P16" s="91">
        <f>P15*IF($F15="nominal",LOOKUP($F16,Nominal_to_Real,'Input|Rate of change'!Q$25:Q$30),INDEX('Input|Rate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Q16" s="91">
        <f>Q15*IF($F15="nominal",LOOKUP($F16,Nominal_to_Real,'Input|Rate of change'!R$25:R$30),INDEX('Input|Rate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R16" s="91">
        <f>R15*IF($F15="nominal",LOOKUP($F16,Nominal_to_Real,'Input|Rate of change'!S$25:S$30),INDEX('Input|Rate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  <c r="S16" s="91">
        <f>S15*IF($F15="nominal",LOOKUP($F16,Nominal_to_Real,'Input|Rate of change'!T$25:T$30),INDEX('Input|Rate of change'!$C$14:$O$21,MATCH('Calc|Opex forecast'!$F15,'Input|Rate of change'!$C$14:$C$21,0),MATCH('Calc|Opex forecast'!$F16,'Input|Rate of change'!$C$14:$O$14,0)))*IF($E15="$millions",1000000,IF($E15="$000",1000,1))/IF($E16="$millions",1000000,IF($E16="$000",1000,1))</f>
        <v>0</v>
      </c>
    </row>
    <row r="17" spans="3:19" outlineLevel="1">
      <c r="C17" s="93"/>
      <c r="F17" s="94"/>
      <c r="J17" s="155"/>
      <c r="K17" s="155"/>
      <c r="L17" s="155"/>
      <c r="M17" s="155"/>
      <c r="N17" s="155"/>
      <c r="O17" s="155"/>
      <c r="P17" s="155"/>
      <c r="Q17" s="155"/>
      <c r="R17" s="155"/>
      <c r="S17" s="155"/>
    </row>
    <row r="18" spans="3:19" outlineLevel="1">
      <c r="C18" s="95" t="s">
        <v>139</v>
      </c>
      <c r="D18" s="96" t="s">
        <v>30</v>
      </c>
      <c r="E18" s="96" t="str">
        <f>$E$8</f>
        <v>$millions</v>
      </c>
      <c r="F18" s="143">
        <f>$F$8</f>
        <v>43617</v>
      </c>
      <c r="J18" s="97">
        <f t="shared" ref="J18:S18" si="1">J13</f>
        <v>0</v>
      </c>
      <c r="K18" s="97">
        <f t="shared" si="1"/>
        <v>0</v>
      </c>
      <c r="L18" s="97">
        <f t="shared" si="1"/>
        <v>0</v>
      </c>
      <c r="M18" s="97">
        <f t="shared" si="1"/>
        <v>5.5093444340948112</v>
      </c>
      <c r="N18" s="97">
        <f t="shared" si="1"/>
        <v>0</v>
      </c>
      <c r="O18" s="97">
        <f t="shared" si="1"/>
        <v>0</v>
      </c>
      <c r="P18" s="97">
        <f t="shared" si="1"/>
        <v>0</v>
      </c>
      <c r="Q18" s="97">
        <f t="shared" si="1"/>
        <v>0</v>
      </c>
      <c r="R18" s="97">
        <f t="shared" si="1"/>
        <v>0</v>
      </c>
      <c r="S18" s="97">
        <f t="shared" si="1"/>
        <v>0</v>
      </c>
    </row>
    <row r="19" spans="3:19" outlineLevel="1">
      <c r="C19" s="105"/>
      <c r="D19" s="92"/>
      <c r="E19" s="92"/>
      <c r="F19" s="143"/>
      <c r="J19" s="97"/>
      <c r="K19" s="97"/>
      <c r="L19" s="97"/>
      <c r="M19" s="97"/>
      <c r="N19" s="97"/>
      <c r="O19" s="97"/>
      <c r="P19" s="97"/>
      <c r="Q19" s="97"/>
      <c r="R19" s="97"/>
      <c r="S19" s="97"/>
    </row>
    <row r="20" spans="3:19" outlineLevel="1">
      <c r="C20" s="105" t="s">
        <v>175</v>
      </c>
      <c r="D20" s="92" t="s">
        <v>30</v>
      </c>
      <c r="E20" s="92" t="str">
        <f>$E$8</f>
        <v>$millions</v>
      </c>
      <c r="F20" s="143">
        <f>$F$8</f>
        <v>43617</v>
      </c>
      <c r="J20" s="97">
        <f>-J16</f>
        <v>0</v>
      </c>
      <c r="K20" s="97">
        <f>-K16</f>
        <v>0</v>
      </c>
      <c r="L20" s="97">
        <f>-L16</f>
        <v>0</v>
      </c>
      <c r="M20" s="97">
        <f>-M16</f>
        <v>0</v>
      </c>
      <c r="N20" s="97">
        <f>-N16</f>
        <v>0</v>
      </c>
      <c r="O20" s="97">
        <f>IF(YEAR(O$4)=PPLastYear,SUM($J16:$S16)-SUM(#REF!)+SUM(#REF!),0)</f>
        <v>0</v>
      </c>
      <c r="P20" s="97">
        <f>IF(YEAR(P$4)=PPLastYear,SUM($J16:$S16)-SUM(#REF!)+SUM(#REF!),0)</f>
        <v>0</v>
      </c>
      <c r="Q20" s="97">
        <f>IF(YEAR(Q$4)=PPLastYear,SUM($J16:$S16)-SUM(#REF!)+SUM(#REF!),0)</f>
        <v>0</v>
      </c>
      <c r="R20" s="97">
        <f>IF(YEAR(R$4)=PPLastYear,SUM($J16:$S16)-SUM(#REF!)+SUM(#REF!),0)</f>
        <v>0</v>
      </c>
      <c r="S20" s="97">
        <f>IF(YEAR(S$4)=PPLastYear,SUM($J16:$S16)-SUM(#REF!)+SUM(#REF!),0)</f>
        <v>0</v>
      </c>
    </row>
    <row r="21" spans="3:19" outlineLevel="1">
      <c r="C21" s="105"/>
      <c r="D21" s="92"/>
      <c r="E21" s="92"/>
      <c r="F21" s="143"/>
      <c r="J21" s="97"/>
      <c r="K21" s="97"/>
      <c r="L21" s="97"/>
      <c r="M21" s="97"/>
      <c r="N21" s="97"/>
      <c r="O21" s="97"/>
      <c r="P21" s="97"/>
      <c r="Q21" s="97"/>
      <c r="R21" s="97"/>
      <c r="S21" s="97"/>
    </row>
    <row r="22" spans="3:19" outlineLevel="1">
      <c r="C22" s="105" t="str">
        <f>'Input|Reported opex'!$C$59</f>
        <v xml:space="preserve">Individual cost category assessment* </v>
      </c>
      <c r="D22" s="90" t="s">
        <v>96</v>
      </c>
      <c r="E22" s="92" t="str">
        <f>'Input|Reported opex'!E59</f>
        <v>$millions</v>
      </c>
      <c r="F22" s="143">
        <f>'Input|Reported opex'!F59</f>
        <v>43252</v>
      </c>
      <c r="J22" s="91">
        <f>IF(YEAR(J$4)=BaseYear,'Input|Reported opex'!J59,0)</f>
        <v>0</v>
      </c>
      <c r="K22" s="91">
        <f>IF(YEAR(K$4)=BaseYear,'Input|Reported opex'!K59,0)</f>
        <v>0</v>
      </c>
      <c r="L22" s="91">
        <f>IF(YEAR(L$4)=BaseYear,'Input|Reported opex'!L59,0)</f>
        <v>0</v>
      </c>
      <c r="M22" s="91">
        <f>IF(YEAR(M$4)=BaseYear,'Input|Reported opex'!M59,0)</f>
        <v>0</v>
      </c>
      <c r="N22" s="91">
        <f>IF(YEAR(N$4)=BaseYear,'Input|Reported opex'!N59,0)</f>
        <v>0</v>
      </c>
      <c r="O22" s="91">
        <f>IF(YEAR(O$4)=BaseYear,'Input|Reported opex'!O59,0)</f>
        <v>0</v>
      </c>
      <c r="P22" s="91">
        <f>IF(YEAR(P$4)=BaseYear,'Input|Reported opex'!P59,0)</f>
        <v>0</v>
      </c>
      <c r="Q22" s="91">
        <f>IF(YEAR(Q$4)=BaseYear,'Input|Reported opex'!Q59,0)</f>
        <v>0</v>
      </c>
      <c r="R22" s="91">
        <f>IF(YEAR(R$4)=BaseYear,'Input|Reported opex'!R59,0)</f>
        <v>0</v>
      </c>
      <c r="S22" s="91">
        <f>IF(YEAR(S$4)=BaseYear,'Input|Reported opex'!S59,0)</f>
        <v>0</v>
      </c>
    </row>
    <row r="23" spans="3:19" outlineLevel="1">
      <c r="C23" s="105" t="str">
        <f>C22</f>
        <v xml:space="preserve">Individual cost category assessment* </v>
      </c>
      <c r="D23" s="92" t="s">
        <v>30</v>
      </c>
      <c r="E23" s="26" t="str">
        <f>$E$8</f>
        <v>$millions</v>
      </c>
      <c r="F23" s="143">
        <f>$F$8</f>
        <v>43617</v>
      </c>
      <c r="J23" s="97">
        <f>J22*IF($F22="nominal",LOOKUP($F23,Nominal_to_Real,'Input|Rate of change'!K$25:K$30),INDEX('Input|Rate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K23" s="97">
        <f>K22*IF($F22="nominal",LOOKUP($F23,Nominal_to_Real,'Input|Rate of change'!L$25:L$30),INDEX('Input|Rate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L23" s="97">
        <f>L22*IF($F22="nominal",LOOKUP($F23,Nominal_to_Real,'Input|Rate of change'!M$25:M$30),INDEX('Input|Rate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M23" s="97">
        <f>M22*IF($F22="nominal",LOOKUP($F23,Nominal_to_Real,'Input|Rate of change'!N$25:N$30),INDEX('Input|Rate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N23" s="135">
        <f>N22*IF($F22="nominal",LOOKUP($F23,Nominal_to_Real,'Input|Rate of change'!O$25:O$30),INDEX('Input|Rate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O23" s="97">
        <f>O22*IF($F22="nominal",LOOKUP($F23,Nominal_to_Real,'Input|Rate of change'!P$25:P$30),INDEX('Input|Rate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P23" s="97">
        <f>P22*IF($F22="nominal",LOOKUP($F23,Nominal_to_Real,'Input|Rate of change'!Q$25:Q$30),INDEX('Input|Rate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Q23" s="97">
        <f>Q22*IF($F22="nominal",LOOKUP($F23,Nominal_to_Real,'Input|Rate of change'!R$25:R$30),INDEX('Input|Rate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R23" s="97">
        <f>R22*IF($F22="nominal",LOOKUP($F23,Nominal_to_Real,'Input|Rate of change'!S$25:S$30),INDEX('Input|Rate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  <c r="S23" s="97">
        <f>S22*IF($F22="nominal",LOOKUP($F23,Nominal_to_Real,'Input|Rate of change'!T$25:T$30),INDEX('Input|Rate of change'!$C$14:$O$21,MATCH('Calc|Opex forecast'!$F22,'Input|Rate of change'!$C$14:$C$21,0),MATCH('Calc|Opex forecast'!$F23,'Input|Rate of change'!$C$14:$O$14,0)))*IF($E22="$millions",1000000,IF($E22="$000",1000,1))/IF($E23="$millions",1000000,IF($E23="$000",1000,1))</f>
        <v>0</v>
      </c>
    </row>
    <row r="24" spans="3:19" outlineLevel="1">
      <c r="C24" s="105"/>
      <c r="D24" s="92"/>
      <c r="F24" s="143"/>
      <c r="J24" s="97"/>
      <c r="K24" s="97"/>
      <c r="L24" s="97"/>
      <c r="M24" s="97"/>
      <c r="N24" s="97"/>
      <c r="O24" s="97"/>
      <c r="P24" s="97"/>
      <c r="Q24" s="97"/>
      <c r="R24" s="91"/>
      <c r="S24" s="91"/>
    </row>
    <row r="25" spans="3:19" outlineLevel="1">
      <c r="C25" s="105" t="str">
        <f>'Input|Reported opex'!$C$60</f>
        <v>Capitalisation adjustment</v>
      </c>
      <c r="D25" s="90" t="s">
        <v>96</v>
      </c>
      <c r="E25" s="26" t="str">
        <f>'Input|Reported opex'!$E$60</f>
        <v>$millions</v>
      </c>
      <c r="F25" s="143">
        <f>'Input|Reported opex'!$F$60</f>
        <v>43252</v>
      </c>
      <c r="J25" s="91">
        <f>IF(YEAR(J$4)=BaseYear,'Input|Reported opex'!J60,0)</f>
        <v>0</v>
      </c>
      <c r="K25" s="91">
        <f>IF(YEAR(K$4)=BaseYear,'Input|Reported opex'!K60,0)</f>
        <v>0</v>
      </c>
      <c r="L25" s="91">
        <f>IF(YEAR(L$4)=BaseYear,'Input|Reported opex'!L60,0)</f>
        <v>0</v>
      </c>
      <c r="M25" s="91">
        <f>IF(YEAR(M$4)=BaseYear,'Input|Reported opex'!M60,0)</f>
        <v>-2.9669174570597361E-2</v>
      </c>
      <c r="N25" s="91">
        <f>IF(YEAR(N$4)=BaseYear,'Input|Reported opex'!N60,0)</f>
        <v>0</v>
      </c>
      <c r="O25" s="91">
        <f>IF(YEAR(O$4)=BaseYear,'Input|Reported opex'!O60,0)</f>
        <v>0</v>
      </c>
      <c r="P25" s="91">
        <f>IF(YEAR(P$4)=BaseYear,'Input|Reported opex'!P60,0)</f>
        <v>0</v>
      </c>
      <c r="Q25" s="91">
        <f>IF(YEAR(Q$4)=BaseYear,'Input|Reported opex'!Q60,0)</f>
        <v>0</v>
      </c>
      <c r="R25" s="91">
        <f>IF(YEAR(R$4)=BaseYear,'Input|Reported opex'!R60,0)</f>
        <v>0</v>
      </c>
      <c r="S25" s="91">
        <f>IF(YEAR(S$4)=BaseYear,'Input|Reported opex'!S60,0)</f>
        <v>0</v>
      </c>
    </row>
    <row r="26" spans="3:19" outlineLevel="1">
      <c r="C26" s="105" t="str">
        <f>C25</f>
        <v>Capitalisation adjustment</v>
      </c>
      <c r="D26" s="92" t="s">
        <v>30</v>
      </c>
      <c r="E26" s="26" t="str">
        <f>$E$8</f>
        <v>$millions</v>
      </c>
      <c r="F26" s="143">
        <f>$F$8</f>
        <v>43617</v>
      </c>
      <c r="J26" s="97">
        <f>J25*IF($F25="nominal",LOOKUP($F26,Nominal_to_Real,'Input|Rate of change'!K$25:K$30),INDEX('Input|Rate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K26" s="97">
        <f>K25*IF($F25="nominal",LOOKUP($F26,Nominal_to_Real,'Input|Rate of change'!L$25:L$30),INDEX('Input|Rate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L26" s="97">
        <f>L25*IF($F25="nominal",LOOKUP($F26,Nominal_to_Real,'Input|Rate of change'!M$25:M$30),INDEX('Input|Rate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M26" s="97">
        <f>M25*IF($F25="nominal",LOOKUP($F26,Nominal_to_Real,'Input|Rate of change'!N$25:N$30),INDEX('Input|Rate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-3.0262558062009309E-2</v>
      </c>
      <c r="N26" s="135">
        <f>N25*IF($F25="nominal",LOOKUP($F26,Nominal_to_Real,'Input|Rate of change'!O$25:O$30),INDEX('Input|Rate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O26" s="97">
        <f>O25*IF($F25="nominal",LOOKUP($F26,Nominal_to_Real,'Input|Rate of change'!P$25:P$30),INDEX('Input|Rate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P26" s="97">
        <f>P25*IF($F25="nominal",LOOKUP($F26,Nominal_to_Real,'Input|Rate of change'!Q$25:Q$30),INDEX('Input|Rate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Q26" s="97">
        <f>Q25*IF($F25="nominal",LOOKUP($F26,Nominal_to_Real,'Input|Rate of change'!R$25:R$30),INDEX('Input|Rate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R26" s="97">
        <f>R25*IF($F25="nominal",LOOKUP($F26,Nominal_to_Real,'Input|Rate of change'!S$25:S$30),INDEX('Input|Rate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  <c r="S26" s="97">
        <f>S25*IF($F25="nominal",LOOKUP($F26,Nominal_to_Real,'Input|Rate of change'!T$25:T$30),INDEX('Input|Rate of change'!$C$14:$O$21,MATCH('Calc|Opex forecast'!$F25,'Input|Rate of change'!$C$14:$C$21,0),MATCH('Calc|Opex forecast'!$F26,'Input|Rate of change'!$C$14:$O$14,0)))*IF($E25="$millions",1000000,IF($E25="$000",1000,1))/IF($E26="$millions",1000000,IF($E26="$000",1000,1))</f>
        <v>0</v>
      </c>
    </row>
    <row r="27" spans="3:19" outlineLevel="1">
      <c r="C27" s="105"/>
      <c r="D27" s="92"/>
      <c r="F27" s="143"/>
      <c r="J27" s="97"/>
      <c r="K27" s="97"/>
      <c r="L27" s="97"/>
      <c r="M27" s="97"/>
      <c r="N27" s="97"/>
      <c r="O27" s="97"/>
      <c r="P27" s="97"/>
      <c r="Q27" s="97"/>
      <c r="R27" s="91"/>
      <c r="S27" s="91"/>
    </row>
    <row r="28" spans="3:19" outlineLevel="1">
      <c r="C28" s="105" t="str">
        <f>'Input|Reported opex'!$C$61</f>
        <v>Service classification adjustment</v>
      </c>
      <c r="D28" s="90" t="s">
        <v>96</v>
      </c>
      <c r="E28" s="26" t="str">
        <f>'Input|Reported opex'!$E$61</f>
        <v>$millions</v>
      </c>
      <c r="F28" s="143">
        <f>'Input|Reported opex'!$F$61</f>
        <v>43252</v>
      </c>
      <c r="J28" s="91">
        <f>IF(YEAR(J$4)=BaseYear,'Input|Reported opex'!J61,0)</f>
        <v>0</v>
      </c>
      <c r="K28" s="91">
        <f>IF(YEAR(K$4)=BaseYear,'Input|Reported opex'!K61,0)</f>
        <v>0</v>
      </c>
      <c r="L28" s="91">
        <f>IF(YEAR(L$4)=BaseYear,'Input|Reported opex'!L61,0)</f>
        <v>0</v>
      </c>
      <c r="M28" s="91">
        <f>IF(YEAR(M$4)=BaseYear,'Input|Reported opex'!M61,0)</f>
        <v>0</v>
      </c>
      <c r="N28" s="91">
        <f>IF(YEAR(N$4)=BaseYear,'Input|Reported opex'!N61,0)</f>
        <v>0</v>
      </c>
      <c r="O28" s="91">
        <f>IF(YEAR(O$4)=BaseYear,'Input|Reported opex'!O61,0)</f>
        <v>0</v>
      </c>
      <c r="P28" s="91">
        <f>IF(YEAR(P$4)=BaseYear,'Input|Reported opex'!P61,0)</f>
        <v>0</v>
      </c>
      <c r="Q28" s="91">
        <f>IF(YEAR(Q$4)=BaseYear,'Input|Reported opex'!Q61,0)</f>
        <v>0</v>
      </c>
      <c r="R28" s="91">
        <f>IF(YEAR(R$4)=BaseYear,'Input|Reported opex'!R61,0)</f>
        <v>0</v>
      </c>
      <c r="S28" s="91">
        <f>IF(YEAR(S$4)=BaseYear,'Input|Reported opex'!S61,0)</f>
        <v>0</v>
      </c>
    </row>
    <row r="29" spans="3:19" outlineLevel="1">
      <c r="C29" s="105" t="str">
        <f>C28</f>
        <v>Service classification adjustment</v>
      </c>
      <c r="D29" s="92" t="s">
        <v>30</v>
      </c>
      <c r="E29" s="26" t="str">
        <f>$E$8</f>
        <v>$millions</v>
      </c>
      <c r="F29" s="143">
        <f>$F$8</f>
        <v>43617</v>
      </c>
      <c r="J29" s="97">
        <f>J28*IF($F28="nominal",LOOKUP($F29,Nominal_to_Real,'Input|Rate of change'!K$25:K$30),INDEX('Input|Rate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K29" s="97">
        <f>K28*IF($F28="nominal",LOOKUP($F29,Nominal_to_Real,'Input|Rate of change'!L$25:L$30),INDEX('Input|Rate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L29" s="97">
        <f>L28*IF($F28="nominal",LOOKUP($F29,Nominal_to_Real,'Input|Rate of change'!M$25:M$30),INDEX('Input|Rate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M29" s="97">
        <f>M28*IF($F28="nominal",LOOKUP($F29,Nominal_to_Real,'Input|Rate of change'!N$25:N$30),INDEX('Input|Rate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N29" s="135">
        <f>N28*IF($F28="nominal",LOOKUP($F29,Nominal_to_Real,'Input|Rate of change'!O$25:O$30),INDEX('Input|Rate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O29" s="97">
        <f>O28*IF($F28="nominal",LOOKUP($F29,Nominal_to_Real,'Input|Rate of change'!P$25:P$30),INDEX('Input|Rate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P29" s="97">
        <f>P28*IF($F28="nominal",LOOKUP($F29,Nominal_to_Real,'Input|Rate of change'!Q$25:Q$30),INDEX('Input|Rate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Q29" s="97">
        <f>Q28*IF($F28="nominal",LOOKUP($F29,Nominal_to_Real,'Input|Rate of change'!R$25:R$30),INDEX('Input|Rate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R29" s="97">
        <f>R28*IF($F28="nominal",LOOKUP($F29,Nominal_to_Real,'Input|Rate of change'!S$25:S$30),INDEX('Input|Rate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  <c r="S29" s="97">
        <f>S28*IF($F28="nominal",LOOKUP($F29,Nominal_to_Real,'Input|Rate of change'!T$25:T$30),INDEX('Input|Rate of change'!$C$14:$O$21,MATCH('Calc|Opex forecast'!$F28,'Input|Rate of change'!$C$14:$C$21,0),MATCH('Calc|Opex forecast'!$F29,'Input|Rate of change'!$C$14:$O$14,0)))*IF($E28="$millions",1000000,IF($E28="$000",1000,1))/IF($E29="$millions",1000000,IF($E29="$000",1000,1))</f>
        <v>0</v>
      </c>
    </row>
    <row r="30" spans="3:19" outlineLevel="1">
      <c r="C30" s="105"/>
      <c r="D30" s="92"/>
      <c r="F30" s="143"/>
      <c r="J30" s="97"/>
      <c r="K30" s="97"/>
      <c r="L30" s="97"/>
      <c r="M30" s="97"/>
      <c r="N30" s="97"/>
      <c r="O30" s="97"/>
      <c r="P30" s="97"/>
      <c r="Q30" s="97"/>
      <c r="R30" s="91"/>
      <c r="S30" s="91"/>
    </row>
    <row r="31" spans="3:19" outlineLevel="1">
      <c r="C31" s="105" t="str">
        <f>'Input|Reported opex'!$C$62</f>
        <v>Other classification changes</v>
      </c>
      <c r="D31" s="90" t="s">
        <v>96</v>
      </c>
      <c r="E31" s="26" t="str">
        <f>'Input|Reported opex'!$E$62</f>
        <v>$millions</v>
      </c>
      <c r="F31" s="143">
        <f>'Input|Reported opex'!$F$62</f>
        <v>43252</v>
      </c>
      <c r="J31" s="91">
        <f>IF(YEAR(J$4)=BaseYear,'Input|Reported opex'!J62,0)</f>
        <v>0</v>
      </c>
      <c r="K31" s="91">
        <f>IF(YEAR(K$4)=BaseYear,'Input|Reported opex'!K62,0)</f>
        <v>0</v>
      </c>
      <c r="L31" s="91">
        <f>IF(YEAR(L$4)=BaseYear,'Input|Reported opex'!L62,0)</f>
        <v>0</v>
      </c>
      <c r="M31" s="91">
        <f>IF(YEAR(M$4)=BaseYear,'Input|Reported opex'!M62,0)</f>
        <v>0</v>
      </c>
      <c r="N31" s="91">
        <f>IF(YEAR(N$4)=BaseYear,'Input|Reported opex'!N62,0)</f>
        <v>0</v>
      </c>
      <c r="O31" s="91">
        <f>IF(YEAR(O$4)=BaseYear,'Input|Reported opex'!O62,0)</f>
        <v>0</v>
      </c>
      <c r="P31" s="91">
        <f>IF(YEAR(P$4)=BaseYear,'Input|Reported opex'!P62,0)</f>
        <v>0</v>
      </c>
      <c r="Q31" s="91">
        <f>IF(YEAR(Q$4)=BaseYear,'Input|Reported opex'!Q62,0)</f>
        <v>0</v>
      </c>
      <c r="R31" s="91">
        <f>IF(YEAR(R$4)=BaseYear,'Input|Reported opex'!R62,0)</f>
        <v>0</v>
      </c>
      <c r="S31" s="91">
        <f>IF(YEAR(S$4)=BaseYear,'Input|Reported opex'!S62,0)</f>
        <v>0</v>
      </c>
    </row>
    <row r="32" spans="3:19" outlineLevel="1">
      <c r="C32" s="105" t="str">
        <f>C31</f>
        <v>Other classification changes</v>
      </c>
      <c r="D32" s="92" t="s">
        <v>30</v>
      </c>
      <c r="E32" s="26" t="str">
        <f>$E$8</f>
        <v>$millions</v>
      </c>
      <c r="F32" s="143">
        <f>$F$8</f>
        <v>43617</v>
      </c>
      <c r="J32" s="97">
        <f>J31*IF($F31="nominal",LOOKUP($F32,Nominal_to_Real,'Input|Rate of change'!K$25:K$30),INDEX('Input|Rate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K32" s="97">
        <f>K31*IF($F31="nominal",LOOKUP($F32,Nominal_to_Real,'Input|Rate of change'!L$25:L$30),INDEX('Input|Rate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L32" s="97">
        <f>L31*IF($F31="nominal",LOOKUP($F32,Nominal_to_Real,'Input|Rate of change'!M$25:M$30),INDEX('Input|Rate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M32" s="97">
        <f>M31*IF($F31="nominal",LOOKUP($F32,Nominal_to_Real,'Input|Rate of change'!N$25:N$30),INDEX('Input|Rate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N32" s="135">
        <f>N31*IF($F31="nominal",LOOKUP($F32,Nominal_to_Real,'Input|Rate of change'!O$25:O$30),INDEX('Input|Rate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O32" s="97">
        <f>O31*IF($F31="nominal",LOOKUP($F32,Nominal_to_Real,'Input|Rate of change'!P$25:P$30),INDEX('Input|Rate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P32" s="97">
        <f>P31*IF($F31="nominal",LOOKUP($F32,Nominal_to_Real,'Input|Rate of change'!Q$25:Q$30),INDEX('Input|Rate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Q32" s="97">
        <f>Q31*IF($F31="nominal",LOOKUP($F32,Nominal_to_Real,'Input|Rate of change'!R$25:R$30),INDEX('Input|Rate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R32" s="97">
        <f>R31*IF($F31="nominal",LOOKUP($F32,Nominal_to_Real,'Input|Rate of change'!S$25:S$30),INDEX('Input|Rate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  <c r="S32" s="97">
        <f>S31*IF($F31="nominal",LOOKUP($F32,Nominal_to_Real,'Input|Rate of change'!T$25:T$30),INDEX('Input|Rate of change'!$C$14:$O$21,MATCH('Calc|Opex forecast'!$F31,'Input|Rate of change'!$C$14:$C$21,0),MATCH('Calc|Opex forecast'!$F32,'Input|Rate of change'!$C$14:$O$14,0)))*IF($E31="$millions",1000000,IF($E31="$000",1000,1))/IF($E32="$millions",1000000,IF($E32="$000",1000,1))</f>
        <v>0</v>
      </c>
    </row>
    <row r="33" spans="1:23" outlineLevel="1">
      <c r="C33" s="105"/>
      <c r="D33" s="92"/>
      <c r="F33" s="143"/>
      <c r="J33" s="97"/>
      <c r="K33" s="97"/>
      <c r="L33" s="97"/>
      <c r="M33" s="97"/>
      <c r="N33" s="97"/>
      <c r="O33" s="97"/>
      <c r="P33" s="97"/>
      <c r="Q33" s="97"/>
      <c r="R33" s="91"/>
      <c r="S33" s="91"/>
    </row>
    <row r="34" spans="1:23" outlineLevel="1">
      <c r="C34" s="105" t="str">
        <f>'Input|Reported opex'!$C$63</f>
        <v>Removed inefficiencies from reported opex</v>
      </c>
      <c r="D34" s="90" t="s">
        <v>96</v>
      </c>
      <c r="E34" s="26" t="str">
        <f>'Input|Reported opex'!$E$63</f>
        <v>$millions</v>
      </c>
      <c r="F34" s="143">
        <f>'Input|Reported opex'!$F$63</f>
        <v>43252</v>
      </c>
      <c r="J34" s="91">
        <f>IF(YEAR(J$4)=BaseYear,'Input|Reported opex'!J63,0)</f>
        <v>0</v>
      </c>
      <c r="K34" s="91">
        <f>IF(YEAR(K$4)=BaseYear,'Input|Reported opex'!K63,0)</f>
        <v>0</v>
      </c>
      <c r="L34" s="91">
        <f>IF(YEAR(L$4)=BaseYear,'Input|Reported opex'!L63,0)</f>
        <v>0</v>
      </c>
      <c r="M34" s="91">
        <f>IF(YEAR(M$4)=BaseYear,'Input|Reported opex'!M63,0)</f>
        <v>0</v>
      </c>
      <c r="N34" s="91">
        <f>IF(YEAR(N$4)=BaseYear,'Input|Reported opex'!N63,0)</f>
        <v>0</v>
      </c>
      <c r="O34" s="91">
        <f>IF(YEAR(O$4)=BaseYear,'Input|Reported opex'!O63,0)</f>
        <v>0</v>
      </c>
      <c r="P34" s="91">
        <f>IF(YEAR(P$4)=BaseYear,'Input|Reported opex'!P63,0)</f>
        <v>0</v>
      </c>
      <c r="Q34" s="91">
        <f>IF(YEAR(Q$4)=BaseYear,'Input|Reported opex'!Q63,0)</f>
        <v>0</v>
      </c>
      <c r="R34" s="91">
        <f>IF(YEAR(R$4)=BaseYear,'Input|Reported opex'!R63,0)</f>
        <v>0</v>
      </c>
      <c r="S34" s="91">
        <f>IF(YEAR(S$4)=BaseYear,'Input|Reported opex'!S63,0)</f>
        <v>0</v>
      </c>
    </row>
    <row r="35" spans="1:23" outlineLevel="1">
      <c r="C35" s="105" t="str">
        <f>C34</f>
        <v>Removed inefficiencies from reported opex</v>
      </c>
      <c r="D35" s="92" t="s">
        <v>30</v>
      </c>
      <c r="E35" s="26" t="str">
        <f>$E$8</f>
        <v>$millions</v>
      </c>
      <c r="F35" s="143">
        <f>$F$8</f>
        <v>43617</v>
      </c>
      <c r="J35" s="97">
        <f>J34*IF($F34="nominal",LOOKUP($F35,Nominal_to_Real,'Input|Rate of change'!K$25:K$30),INDEX('Input|Rate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K35" s="97">
        <f>K34*IF($F34="nominal",LOOKUP($F35,Nominal_to_Real,'Input|Rate of change'!L$25:L$30),INDEX('Input|Rate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L35" s="97">
        <f>L34*IF($F34="nominal",LOOKUP($F35,Nominal_to_Real,'Input|Rate of change'!M$25:M$30),INDEX('Input|Rate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M35" s="97">
        <f>M34*IF($F34="nominal",LOOKUP($F35,Nominal_to_Real,'Input|Rate of change'!N$25:N$30),INDEX('Input|Rate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N35" s="135">
        <f>N34*IF($F34="nominal",LOOKUP($F35,Nominal_to_Real,'Input|Rate of change'!O$25:O$30),INDEX('Input|Rate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O35" s="97">
        <f>O34*IF($F34="nominal",LOOKUP($F35,Nominal_to_Real,'Input|Rate of change'!P$25:P$30),INDEX('Input|Rate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P35" s="97">
        <f>P34*IF($F34="nominal",LOOKUP($F35,Nominal_to_Real,'Input|Rate of change'!Q$25:Q$30),INDEX('Input|Rate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Q35" s="97">
        <f>Q34*IF($F34="nominal",LOOKUP($F35,Nominal_to_Real,'Input|Rate of change'!R$25:R$30),INDEX('Input|Rate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R35" s="97">
        <f>R34*IF($F34="nominal",LOOKUP($F35,Nominal_to_Real,'Input|Rate of change'!S$25:S$30),INDEX('Input|Rate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  <c r="S35" s="97">
        <f>S34*IF($F34="nominal",LOOKUP($F35,Nominal_to_Real,'Input|Rate of change'!T$25:T$30),INDEX('Input|Rate of change'!$C$14:$O$21,MATCH('Calc|Opex forecast'!$F34,'Input|Rate of change'!$C$14:$C$21,0),MATCH('Calc|Opex forecast'!$F35,'Input|Rate of change'!$C$14:$O$14,0)))*IF($E34="$millions",1000000,IF($E34="$000",1000,1))/IF($E35="$millions",1000000,IF($E35="$000",1000,1))</f>
        <v>0</v>
      </c>
    </row>
    <row r="36" spans="1:23" outlineLevel="1">
      <c r="C36" s="105"/>
      <c r="D36" s="92"/>
      <c r="E36" s="92"/>
      <c r="F36" s="143"/>
      <c r="J36" s="97"/>
      <c r="K36" s="97"/>
      <c r="L36" s="97"/>
      <c r="M36" s="97"/>
      <c r="N36" s="97"/>
      <c r="O36" s="97"/>
      <c r="P36" s="97"/>
      <c r="Q36" s="97"/>
      <c r="R36" s="97"/>
      <c r="S36" s="97"/>
    </row>
    <row r="37" spans="1:23" outlineLevel="1">
      <c r="C37" s="105" t="s">
        <v>93</v>
      </c>
      <c r="D37" s="92" t="s">
        <v>103</v>
      </c>
      <c r="E37" s="92" t="str">
        <f>$E$8</f>
        <v>$millions</v>
      </c>
      <c r="F37" s="143">
        <f>$F$8</f>
        <v>43617</v>
      </c>
      <c r="J37" s="97">
        <f>SUM(J23,J26,J29,J32,J35)*'Input|Reported opex'!J67</f>
        <v>0</v>
      </c>
      <c r="K37" s="97">
        <f>SUM(K23,K26,K29,K32,K35)*'Input|Reported opex'!K67</f>
        <v>0</v>
      </c>
      <c r="L37" s="97">
        <f>SUM(L18,L20,L23,L26,L29,L32,L35)*'Input|Reported opex'!L67</f>
        <v>0</v>
      </c>
      <c r="M37" s="97">
        <f>SUM(M18,M20,M23,M26,M29,M32,M35)*'Input|Reported opex'!M67</f>
        <v>0</v>
      </c>
      <c r="N37" s="97">
        <f>SUM(N23,N26,N29,N32,N35)*'Input|Reported opex'!N67</f>
        <v>0</v>
      </c>
      <c r="O37" s="97">
        <f>SUM(O23,O26,O29,O32,O35)*'Input|Reported opex'!O67</f>
        <v>0</v>
      </c>
      <c r="P37" s="97">
        <f>SUM(P23,P26,P29,P32,P35)*'Input|Reported opex'!P67</f>
        <v>0</v>
      </c>
      <c r="Q37" s="97">
        <f>SUM(Q23,Q26,Q29,Q32,Q35)*'Input|Reported opex'!Q67</f>
        <v>0</v>
      </c>
      <c r="R37" s="97">
        <f>SUM(R23,R26,R29,R32,R35)*'Input|Reported opex'!R67</f>
        <v>0</v>
      </c>
      <c r="S37" s="97">
        <f>SUM(S23,S26,S29,S32,S35)*'Input|Reported opex'!S67</f>
        <v>0</v>
      </c>
    </row>
    <row r="38" spans="1:23" outlineLevel="1">
      <c r="C38" s="105"/>
      <c r="D38" s="92"/>
      <c r="E38" s="92"/>
      <c r="F38" s="143"/>
      <c r="J38" s="97"/>
      <c r="K38" s="97"/>
      <c r="L38" s="97"/>
      <c r="M38" s="97"/>
      <c r="N38" s="97"/>
      <c r="O38" s="97"/>
      <c r="P38" s="97"/>
      <c r="Q38" s="97"/>
      <c r="R38" s="97"/>
      <c r="S38" s="97"/>
    </row>
    <row r="39" spans="1:23" outlineLevel="1">
      <c r="C39" s="160" t="s">
        <v>165</v>
      </c>
      <c r="D39" s="94" t="s">
        <v>103</v>
      </c>
      <c r="E39" s="94" t="str">
        <f>$E$8</f>
        <v>$millions</v>
      </c>
      <c r="F39" s="161">
        <f>$F$8</f>
        <v>43617</v>
      </c>
      <c r="J39" s="159">
        <f t="shared" ref="J39:S39" si="2">SUM(J18,J20,J23,J26,J29,J32,J35,J37)</f>
        <v>0</v>
      </c>
      <c r="K39" s="159">
        <f t="shared" si="2"/>
        <v>0</v>
      </c>
      <c r="L39" s="159">
        <f t="shared" si="2"/>
        <v>0</v>
      </c>
      <c r="M39" s="159">
        <f>SUM(M18,M20,M23,M26,M29,M32,M35,M37)</f>
        <v>5.4790818760328017</v>
      </c>
      <c r="N39" s="159">
        <f t="shared" si="2"/>
        <v>0</v>
      </c>
      <c r="O39" s="159">
        <f t="shared" si="2"/>
        <v>0</v>
      </c>
      <c r="P39" s="159">
        <f t="shared" si="2"/>
        <v>0</v>
      </c>
      <c r="Q39" s="159">
        <f t="shared" si="2"/>
        <v>0</v>
      </c>
      <c r="R39" s="159">
        <f t="shared" si="2"/>
        <v>0</v>
      </c>
      <c r="S39" s="159">
        <f t="shared" si="2"/>
        <v>0</v>
      </c>
    </row>
    <row r="40" spans="1:23">
      <c r="J40" s="89"/>
      <c r="K40" s="89"/>
      <c r="L40" s="89"/>
    </row>
    <row r="41" spans="1:23" s="85" customFormat="1" ht="12.75">
      <c r="A41" s="79"/>
      <c r="B41" s="80" t="s">
        <v>91</v>
      </c>
      <c r="C41" s="79"/>
      <c r="D41" s="79"/>
      <c r="E41" s="79"/>
      <c r="F41" s="81"/>
      <c r="G41" s="81"/>
      <c r="H41" s="81"/>
      <c r="I41" s="81"/>
      <c r="J41" s="82"/>
      <c r="K41" s="83"/>
      <c r="L41" s="82"/>
      <c r="M41" s="83"/>
      <c r="N41" s="82"/>
      <c r="O41" s="82"/>
      <c r="P41" s="82"/>
      <c r="Q41" s="82"/>
      <c r="R41" s="82"/>
      <c r="S41" s="82"/>
      <c r="T41" s="82"/>
      <c r="U41" s="82"/>
      <c r="V41" s="83"/>
      <c r="W41" s="83"/>
    </row>
    <row r="42" spans="1:23" outlineLevel="1">
      <c r="J42" s="89"/>
      <c r="K42" s="89"/>
      <c r="L42" s="89"/>
      <c r="M42" s="89"/>
      <c r="N42" s="89"/>
      <c r="O42" s="89"/>
      <c r="P42" s="89"/>
      <c r="Q42" s="89"/>
      <c r="R42" s="89"/>
      <c r="S42" s="89"/>
    </row>
    <row r="43" spans="1:23" outlineLevel="1">
      <c r="C43" s="56" t="s">
        <v>42</v>
      </c>
      <c r="D43" s="28" t="s">
        <v>7</v>
      </c>
      <c r="E43" s="28" t="s">
        <v>8</v>
      </c>
      <c r="F43" s="28" t="s">
        <v>22</v>
      </c>
      <c r="J43" s="145" t="str">
        <f>IF(YEAR(J$4)&gt;BaseYear,IF(YEAR(J$4)&lt;='Input|General'!$G$14,J$4,""),"")</f>
        <v/>
      </c>
      <c r="K43" s="145" t="str">
        <f>IF(YEAR(K$4)&gt;BaseYear,IF(YEAR(K$4)&lt;='Input|General'!$G$14,K$4,""),"")</f>
        <v/>
      </c>
      <c r="L43" s="145" t="str">
        <f>IF(YEAR(L$4)&gt;BaseYear,IF(YEAR(L$4)&lt;='Input|General'!$G$14,L$4,""),"")</f>
        <v/>
      </c>
      <c r="M43" s="145" t="str">
        <f>IF(YEAR(M$4)&gt;BaseYear,IF(YEAR(M$4)&lt;='Input|General'!$G$14,M$4,""),"")</f>
        <v/>
      </c>
      <c r="N43" s="145">
        <f>IF(YEAR(N$4)&gt;BaseYear,IF(YEAR(N$4)&lt;='Input|General'!$G$14,N$4,""),"")</f>
        <v>43617</v>
      </c>
      <c r="O43" s="145">
        <f>IF(YEAR(O$4)&gt;BaseYear,IF(YEAR(O$4)&lt;='Input|General'!$G$14,O$4,""),"")</f>
        <v>43983</v>
      </c>
      <c r="P43" s="145">
        <f>IF(YEAR(P$4)&gt;BaseYear,IF(YEAR(P$4)&lt;='Input|General'!$G$14,P$4,""),"")</f>
        <v>44348</v>
      </c>
      <c r="Q43" s="145">
        <f>IF(YEAR(Q$4)&gt;BaseYear,IF(YEAR(Q$4)&lt;='Input|General'!$G$14,Q$4,""),"")</f>
        <v>44713</v>
      </c>
      <c r="R43" s="145">
        <f>IF(YEAR(R$4)&gt;BaseYear,IF(YEAR(R$4)&lt;='Input|General'!$G$14,R$4,""),"")</f>
        <v>45078</v>
      </c>
      <c r="S43" s="145">
        <f>IF(YEAR(S$4)&gt;BaseYear,IF(YEAR(S$4)&lt;='Input|General'!$G$14,S$4,""),"")</f>
        <v>45444</v>
      </c>
    </row>
    <row r="44" spans="1:23" outlineLevel="1">
      <c r="C44" s="56"/>
      <c r="J44" s="89"/>
      <c r="K44" s="89"/>
      <c r="L44" s="89"/>
      <c r="M44" s="89"/>
      <c r="N44" s="89"/>
      <c r="O44" s="89"/>
      <c r="P44" s="89"/>
      <c r="Q44" s="89"/>
      <c r="R44" s="89"/>
      <c r="S44" s="89"/>
    </row>
    <row r="45" spans="1:23" outlineLevel="1">
      <c r="B45" s="56"/>
      <c r="C45" s="98"/>
      <c r="J45" s="89"/>
      <c r="K45" s="89"/>
      <c r="L45" s="89"/>
      <c r="M45" s="89"/>
      <c r="N45" s="89"/>
      <c r="O45" s="89"/>
      <c r="P45" s="89"/>
      <c r="Q45" s="89"/>
      <c r="R45" s="89"/>
      <c r="S45" s="89"/>
    </row>
    <row r="46" spans="1:23" outlineLevel="1">
      <c r="C46" s="93" t="s">
        <v>111</v>
      </c>
      <c r="D46" s="92" t="s">
        <v>30</v>
      </c>
      <c r="E46" s="26" t="s">
        <v>31</v>
      </c>
      <c r="F46" s="26" t="s">
        <v>36</v>
      </c>
      <c r="J46" s="99">
        <f>IF(J43=J4,AVERAGE('Input|Rate of change'!K95:K98),0)</f>
        <v>0</v>
      </c>
      <c r="K46" s="99">
        <f>IF(K43=K4,AVERAGE('Input|Rate of change'!L95:L98),0)</f>
        <v>0</v>
      </c>
      <c r="L46" s="99">
        <f>IF(L43=L4,AVERAGE('Input|Rate of change'!M95:M98),0)</f>
        <v>0</v>
      </c>
      <c r="M46" s="99">
        <f>IF(M43=M4,AVERAGE('Input|Rate of change'!N95:N98),0)</f>
        <v>0</v>
      </c>
      <c r="N46" s="99">
        <f>IF(N43=N4,AVERAGE('Input|Rate of change'!O95:O98),0)</f>
        <v>7.6269379385599132E-3</v>
      </c>
      <c r="O46" s="99">
        <f>IF(O43=O4,AVERAGE('Input|Rate of change'!P95:P98),0)</f>
        <v>5.7241613169020811E-3</v>
      </c>
      <c r="P46" s="99">
        <f>IF(P43=P4,AVERAGE('Input|Rate of change'!Q95:Q98),0)</f>
        <v>6.4233839395352772E-3</v>
      </c>
      <c r="Q46" s="99">
        <f>IF(Q43=Q4,AVERAGE('Input|Rate of change'!R95:R98),0)</f>
        <v>8.5682881910553246E-3</v>
      </c>
      <c r="R46" s="99">
        <f>IF(R43=R4,AVERAGE('Input|Rate of change'!S95:S98),0)</f>
        <v>5.6985741398595637E-3</v>
      </c>
      <c r="S46" s="99">
        <f>IF(S43=S4,AVERAGE('Input|Rate of change'!T95:T98),0)</f>
        <v>5.7368421844650897E-3</v>
      </c>
    </row>
    <row r="47" spans="1:23" outlineLevel="1">
      <c r="J47" s="99"/>
      <c r="K47" s="99"/>
      <c r="L47" s="99"/>
      <c r="M47" s="99"/>
      <c r="N47" s="99"/>
      <c r="O47" s="99"/>
      <c r="P47" s="99"/>
      <c r="Q47" s="99"/>
      <c r="R47" s="99"/>
      <c r="S47" s="99"/>
    </row>
    <row r="48" spans="1:23" outlineLevel="1">
      <c r="C48" s="93" t="s">
        <v>84</v>
      </c>
      <c r="D48" s="92" t="s">
        <v>30</v>
      </c>
      <c r="E48" s="26" t="s">
        <v>31</v>
      </c>
      <c r="F48" s="26" t="s">
        <v>36</v>
      </c>
      <c r="J48" s="99">
        <f>IF(J43=J4,SUMPRODUCT('Input|Rate of change'!K36:K43,'Input|Rate of change'!K49:K56),0)</f>
        <v>0</v>
      </c>
      <c r="K48" s="99">
        <f>IF(K43=K4,SUMPRODUCT('Input|Rate of change'!L36:L43,'Input|Rate of change'!L49:L56),0)</f>
        <v>0</v>
      </c>
      <c r="L48" s="99">
        <f>IF(L43=L4,SUMPRODUCT('Input|Rate of change'!M36:M43,'Input|Rate of change'!M49:M56),0)</f>
        <v>0</v>
      </c>
      <c r="M48" s="99">
        <f>IF(M43=M4,SUMPRODUCT('Input|Rate of change'!N36:N43,'Input|Rate of change'!N49:N56),0)</f>
        <v>0</v>
      </c>
      <c r="N48" s="99">
        <f>IF(N43=N4,SUMPRODUCT('Input|Rate of change'!O36:O43,'Input|Rate of change'!O49:O56),0)</f>
        <v>2.8912946232895367E-3</v>
      </c>
      <c r="O48" s="99">
        <f>IF(O43=O4,SUMPRODUCT('Input|Rate of change'!P36:P43,'Input|Rate of change'!P49:P56),0)</f>
        <v>2.8336135734069777E-3</v>
      </c>
      <c r="P48" s="99">
        <f>IF(P43=P4,SUMPRODUCT('Input|Rate of change'!Q36:Q43,'Input|Rate of change'!Q49:Q56),0)</f>
        <v>3.4077244942772316E-3</v>
      </c>
      <c r="Q48" s="99">
        <f>IF(Q43=Q4,SUMPRODUCT('Input|Rate of change'!R36:R43,'Input|Rate of change'!R49:R56),0)</f>
        <v>4.8877561242686007E-3</v>
      </c>
      <c r="R48" s="99">
        <f>IF(R43=R4,SUMPRODUCT('Input|Rate of change'!S36:S43,'Input|Rate of change'!S49:S56),0)</f>
        <v>5.805025489089578E-3</v>
      </c>
      <c r="S48" s="99">
        <f>IF(S43=S4,SUMPRODUCT('Input|Rate of change'!T36:T43,'Input|Rate of change'!T49:T56),0)</f>
        <v>5.7563077307427653E-3</v>
      </c>
    </row>
    <row r="49" spans="1:23" outlineLevel="1">
      <c r="C49" s="93"/>
      <c r="J49" s="99"/>
      <c r="K49" s="99"/>
      <c r="L49" s="99"/>
      <c r="M49" s="99"/>
      <c r="N49" s="99"/>
      <c r="O49" s="99"/>
      <c r="P49" s="99"/>
      <c r="Q49" s="99"/>
      <c r="R49" s="99"/>
      <c r="S49" s="99"/>
    </row>
    <row r="50" spans="1:23" outlineLevel="1">
      <c r="C50" s="93" t="s">
        <v>107</v>
      </c>
      <c r="D50" s="92" t="s">
        <v>30</v>
      </c>
      <c r="E50" s="26" t="s">
        <v>31</v>
      </c>
      <c r="F50" s="26" t="s">
        <v>36</v>
      </c>
      <c r="J50" s="99">
        <f>'Input|Rate of change'!K104</f>
        <v>0</v>
      </c>
      <c r="K50" s="99">
        <f>'Input|Rate of change'!L104</f>
        <v>0</v>
      </c>
      <c r="L50" s="99">
        <f>'Input|Rate of change'!M104</f>
        <v>0</v>
      </c>
      <c r="M50" s="99">
        <f>'Input|Rate of change'!N104</f>
        <v>0</v>
      </c>
      <c r="N50" s="99">
        <f>'Input|Rate of change'!O104</f>
        <v>0</v>
      </c>
      <c r="O50" s="99">
        <f>'Input|Rate of change'!P104</f>
        <v>0</v>
      </c>
      <c r="P50" s="99">
        <f>'Input|Rate of change'!Q104</f>
        <v>0</v>
      </c>
      <c r="Q50" s="99">
        <f>'Input|Rate of change'!R104</f>
        <v>0</v>
      </c>
      <c r="R50" s="99">
        <f>'Input|Rate of change'!S104</f>
        <v>0</v>
      </c>
      <c r="S50" s="99">
        <f>'Input|Rate of change'!T104</f>
        <v>0</v>
      </c>
    </row>
    <row r="51" spans="1:23" outlineLevel="1">
      <c r="C51" s="93"/>
      <c r="J51" s="155"/>
      <c r="K51" s="155"/>
      <c r="L51" s="155"/>
      <c r="M51" s="155"/>
      <c r="N51" s="155"/>
      <c r="O51" s="155"/>
      <c r="P51" s="155"/>
      <c r="Q51" s="155"/>
      <c r="R51" s="155"/>
      <c r="S51" s="155"/>
    </row>
    <row r="52" spans="1:23" outlineLevel="1">
      <c r="C52" s="100" t="s">
        <v>140</v>
      </c>
      <c r="D52" s="96" t="s">
        <v>30</v>
      </c>
      <c r="E52" s="96" t="s">
        <v>31</v>
      </c>
      <c r="F52" s="96" t="s">
        <v>36</v>
      </c>
      <c r="J52" s="125">
        <f>(1+J46)*(1+J48)*(1-J50)-1</f>
        <v>0</v>
      </c>
      <c r="K52" s="125">
        <f t="shared" ref="K52:S52" si="3">(1+K46)*(1+K48)*(1-K50)-1</f>
        <v>0</v>
      </c>
      <c r="L52" s="125">
        <f t="shared" si="3"/>
        <v>0</v>
      </c>
      <c r="M52" s="125">
        <f t="shared" si="3"/>
        <v>0</v>
      </c>
      <c r="N52" s="125">
        <f t="shared" ref="N52" si="4">(1+N46)*(1+N48)*(1-N50)-1</f>
        <v>1.0540284286503221E-2</v>
      </c>
      <c r="O52" s="125">
        <f t="shared" si="3"/>
        <v>8.5739949515131197E-3</v>
      </c>
      <c r="P52" s="125">
        <f t="shared" si="3"/>
        <v>9.8529975565995187E-3</v>
      </c>
      <c r="Q52" s="125">
        <f t="shared" si="3"/>
        <v>1.3497924018404328E-2</v>
      </c>
      <c r="R52" s="125">
        <f t="shared" si="3"/>
        <v>1.1536679997082633E-2</v>
      </c>
      <c r="S52" s="125">
        <f t="shared" si="3"/>
        <v>1.15261729442242E-2</v>
      </c>
    </row>
    <row r="53" spans="1:23" outlineLevel="1">
      <c r="C53" s="106" t="s">
        <v>141</v>
      </c>
      <c r="D53" s="92" t="s">
        <v>30</v>
      </c>
      <c r="E53" s="26" t="s">
        <v>31</v>
      </c>
      <c r="F53" s="26" t="s">
        <v>36</v>
      </c>
      <c r="J53" s="99" t="str">
        <f t="array" ref="J53">IF(J$43=J$4,PRODUCT(1+$J52:J52)-1,"")</f>
        <v/>
      </c>
      <c r="K53" s="99" t="str">
        <f t="array" ref="K53">IF(K$43=K$4,PRODUCT(1+$J52:K52)-1,"")</f>
        <v/>
      </c>
      <c r="L53" s="99" t="str">
        <f t="array" ref="L53">IF(L$43=L$4,PRODUCT(1+$J52:L52)-1,"")</f>
        <v/>
      </c>
      <c r="M53" s="99" t="str">
        <f t="array" ref="M53">IF(M$43=M$4,PRODUCT(1+$J52:M52)-1,"")</f>
        <v/>
      </c>
      <c r="N53" s="99">
        <f t="array" ref="N53">IF(N$43=N$4,PRODUCT(1+$J52:N52)-1,"")</f>
        <v>1.0540284286503221E-2</v>
      </c>
      <c r="O53" s="99">
        <f t="array" ref="O53">IF(O$43=O$4,PRODUCT(1+$J52:O52)-1,"")</f>
        <v>1.9204651582276355E-2</v>
      </c>
      <c r="P53" s="99">
        <f t="array" ref="P53">IF(P$43=P$4,PRODUCT(1+$J52:P52)-1,"")</f>
        <v>2.9246872523991385E-2</v>
      </c>
      <c r="Q53" s="99">
        <f t="array" ref="Q53">IF(Q$43=Q$4,PRODUCT(1+$J52:Q52)-1,"")</f>
        <v>4.31395686055005E-2</v>
      </c>
      <c r="R53" s="99">
        <f t="array" ref="R53">IF(R$43=R$4,PRODUCT(1+$J52:R52)-1,"")</f>
        <v>5.5173936000797008E-2</v>
      </c>
      <c r="S53" s="99">
        <f t="array" ref="S53">IF(S$43=S$4,PRODUCT(1+$J52:S52)-1,"")</f>
        <v>6.7336053273379992E-2</v>
      </c>
    </row>
    <row r="54" spans="1:23">
      <c r="J54" s="89"/>
      <c r="K54" s="89"/>
      <c r="L54" s="89"/>
      <c r="M54" s="89"/>
      <c r="N54" s="89"/>
      <c r="O54" s="101"/>
      <c r="P54" s="101"/>
      <c r="Q54" s="101"/>
      <c r="R54" s="101"/>
      <c r="S54" s="101"/>
    </row>
    <row r="55" spans="1:23" s="85" customFormat="1" ht="12.75">
      <c r="A55" s="79"/>
      <c r="B55" s="80" t="s">
        <v>94</v>
      </c>
      <c r="C55" s="79"/>
      <c r="D55" s="79"/>
      <c r="E55" s="79"/>
      <c r="F55" s="81"/>
      <c r="G55" s="81"/>
      <c r="H55" s="81"/>
      <c r="I55" s="81"/>
      <c r="J55" s="82"/>
      <c r="K55" s="83"/>
      <c r="L55" s="82"/>
      <c r="M55" s="83"/>
      <c r="N55" s="82"/>
      <c r="O55" s="82"/>
      <c r="P55" s="82"/>
      <c r="Q55" s="82"/>
      <c r="R55" s="82"/>
      <c r="S55" s="82"/>
      <c r="T55" s="82"/>
      <c r="U55" s="82"/>
      <c r="V55" s="83"/>
      <c r="W55" s="83"/>
    </row>
    <row r="56" spans="1:23" outlineLevel="1">
      <c r="C56" s="88"/>
      <c r="J56" s="89"/>
      <c r="K56" s="89"/>
      <c r="L56" s="89"/>
    </row>
    <row r="57" spans="1:23" outlineLevel="1">
      <c r="C57" s="56" t="s">
        <v>108</v>
      </c>
      <c r="D57" s="28" t="s">
        <v>7</v>
      </c>
      <c r="E57" s="28" t="s">
        <v>8</v>
      </c>
      <c r="F57" s="28" t="s">
        <v>22</v>
      </c>
      <c r="J57" s="145" t="str">
        <f>IF(YEAR(J$4)&gt;='Input|General'!$G$13,IF(YEAR(J$4)&lt;='Input|General'!$G$14,J$4,""),"")</f>
        <v/>
      </c>
      <c r="K57" s="145" t="str">
        <f>IF(YEAR(K$4)&gt;='Input|General'!$G$13,IF(YEAR(K$4)&lt;='Input|General'!$G$14,K$4,""),"")</f>
        <v/>
      </c>
      <c r="L57" s="145" t="str">
        <f>IF(YEAR(L$4)&gt;='Input|General'!$G$13,IF(YEAR(L$4)&lt;='Input|General'!$G$14,L$4,""),"")</f>
        <v/>
      </c>
      <c r="M57" s="145" t="str">
        <f>IF(YEAR(M$4)&gt;='Input|General'!$G$13,IF(YEAR(M$4)&lt;='Input|General'!$G$14,M$4,""),"")</f>
        <v/>
      </c>
      <c r="N57" s="145" t="str">
        <f>IF(YEAR(N$4)&gt;='Input|General'!$G$13,IF(YEAR(N$4)&lt;='Input|General'!$G$14,N$4,""),"")</f>
        <v/>
      </c>
      <c r="O57" s="145">
        <f>IF(YEAR(O$4)&gt;='Input|General'!$G$13,IF(YEAR(O$4)&lt;='Input|General'!$G$14,O$4,""),"")</f>
        <v>43983</v>
      </c>
      <c r="P57" s="145">
        <f>IF(YEAR(P$4)&gt;='Input|General'!$G$13,IF(YEAR(P$4)&lt;='Input|General'!$G$14,P$4,""),"")</f>
        <v>44348</v>
      </c>
      <c r="Q57" s="145">
        <f>IF(YEAR(Q$4)&gt;='Input|General'!$G$13,IF(YEAR(Q$4)&lt;='Input|General'!$G$14,Q$4,""),"")</f>
        <v>44713</v>
      </c>
      <c r="R57" s="145">
        <f>IF(YEAR(R$4)&gt;='Input|General'!$G$13,IF(YEAR(R$4)&lt;='Input|General'!$G$14,R$4,""),"")</f>
        <v>45078</v>
      </c>
      <c r="S57" s="145">
        <f>IF(YEAR(S$4)&gt;='Input|General'!$G$13,IF(YEAR(S$4)&lt;='Input|General'!$G$14,S$4,""),"")</f>
        <v>45444</v>
      </c>
    </row>
    <row r="58" spans="1:23" outlineLevel="1">
      <c r="C58" s="56"/>
      <c r="J58" s="102"/>
      <c r="K58" s="102"/>
      <c r="L58" s="102"/>
      <c r="M58" s="102"/>
      <c r="N58" s="102"/>
      <c r="O58" s="102"/>
      <c r="P58" s="102"/>
      <c r="Q58" s="102"/>
      <c r="R58" s="102"/>
      <c r="S58" s="102"/>
    </row>
    <row r="59" spans="1:23" outlineLevel="1">
      <c r="C59" s="103" t="str">
        <f>'Input|Step changes'!C12</f>
        <v>Inspection and testing</v>
      </c>
      <c r="D59" s="92" t="s">
        <v>30</v>
      </c>
      <c r="E59" s="26" t="str">
        <f t="shared" ref="E59:E77" si="5">$E$8</f>
        <v>$millions</v>
      </c>
      <c r="F59" s="143">
        <f t="shared" ref="F59:F69" si="6">$F$8</f>
        <v>43617</v>
      </c>
      <c r="J59" s="109">
        <f>'Input|Step changes'!J12*IF('Input|Step changes'!$F12="nominal",LOOKUP($F59,Nominal_to_Real,'Input|Rate of change'!N$25:N$30),INDEX('Input|Rate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</v>
      </c>
      <c r="K59" s="109">
        <f>'Input|Step changes'!K12*IF('Input|Step changes'!$F12="nominal",LOOKUP($F59,Nominal_to_Real,'Input|Rate of change'!O$25:O$30),INDEX('Input|Rate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</v>
      </c>
      <c r="L59" s="109">
        <f>'Input|Step changes'!L12*IF('Input|Step changes'!$F12="nominal",LOOKUP($F59,Nominal_to_Real,'Input|Rate of change'!P$25:P$30),INDEX('Input|Rate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</v>
      </c>
      <c r="M59" s="109">
        <f>'Input|Step changes'!M12*IF('Input|Step changes'!$F12="nominal",LOOKUP($F59,Nominal_to_Real,'Input|Rate of change'!Q$25:Q$30),INDEX('Input|Rate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</v>
      </c>
      <c r="N59" s="109">
        <f>'Input|Step changes'!N12*IF('Input|Step changes'!$F12="nominal",LOOKUP($F59,Nominal_to_Real,'Input|Rate of change'!R$25:R$30),INDEX('Input|Rate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</v>
      </c>
      <c r="O59" s="109">
        <f>'Input|Step changes'!O12*IF('Input|Step changes'!$F12="nominal",LOOKUP($F59,Nominal_to_Real,'Input|Rate of change'!S$25:S$30),INDEX('Input|Rate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0.31165512479999991</v>
      </c>
      <c r="P59" s="109">
        <f>'Input|Step changes'!P12*IF('Input|Step changes'!$F12="nominal",LOOKUP($F59,Nominal_to_Real,'Input|Rate of change'!T$25:T$30),INDEX('Input|Rate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0.31165512479999991</v>
      </c>
      <c r="Q59" s="109">
        <f>'Input|Step changes'!Q12*IF('Input|Step changes'!$F12="nominal",LOOKUP($F59,Nominal_to_Real,'Input|Rate of change'!U$25:U$30),INDEX('Input|Rate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0.31165512479999991</v>
      </c>
      <c r="R59" s="109">
        <f>'Input|Step changes'!R12*IF('Input|Step changes'!$F12="nominal",LOOKUP($F59,Nominal_to_Real,'Input|Rate of change'!V$25:V$30),INDEX('Input|Rate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0.31165512479999991</v>
      </c>
      <c r="S59" s="109">
        <f>'Input|Step changes'!S12*IF('Input|Step changes'!$F12="nominal",LOOKUP($F59,Nominal_to_Real,'Input|Rate of change'!W$25:W$30),INDEX('Input|Rate of change'!$C$14:$O$21,MATCH('Input|Step changes'!$F12,'Input|Rate of change'!$C$14:$C$21,0),MATCH('Calc|Opex forecast'!$F59,'Input|Rate of change'!$C$14:$O$14,0)))*IF('Input|Step changes'!$E12="$millions",1000000,IF('Input|Step changes'!$E12="$000",1000,1))/IF($E59="$millions",1000000,IF($E59="$000",1000,1))</f>
        <v>0.31165512479999991</v>
      </c>
    </row>
    <row r="60" spans="1:23" outlineLevel="1">
      <c r="C60" s="103" t="str">
        <f>'Input|Step changes'!C13</f>
        <v>Metering Compliance Type 1-6</v>
      </c>
      <c r="D60" s="92" t="s">
        <v>30</v>
      </c>
      <c r="E60" s="26" t="str">
        <f t="shared" si="5"/>
        <v>$millions</v>
      </c>
      <c r="F60" s="143">
        <f t="shared" si="6"/>
        <v>43617</v>
      </c>
      <c r="J60" s="109">
        <f>'Input|Step changes'!J13*IF('Input|Step changes'!$F13="nominal",LOOKUP($F60,Nominal_to_Real,'Input|Rate of change'!N$25:N$30),INDEX('Input|Rate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0</v>
      </c>
      <c r="K60" s="109">
        <f>'Input|Step changes'!K13*IF('Input|Step changes'!$F13="nominal",LOOKUP($F60,Nominal_to_Real,'Input|Rate of change'!O$25:O$30),INDEX('Input|Rate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0</v>
      </c>
      <c r="L60" s="109">
        <f>'Input|Step changes'!L13*IF('Input|Step changes'!$F13="nominal",LOOKUP($F60,Nominal_to_Real,'Input|Rate of change'!P$25:P$30),INDEX('Input|Rate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0</v>
      </c>
      <c r="M60" s="109">
        <f>'Input|Step changes'!M13*IF('Input|Step changes'!$F13="nominal",LOOKUP($F60,Nominal_to_Real,'Input|Rate of change'!Q$25:Q$30),INDEX('Input|Rate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0</v>
      </c>
      <c r="N60" s="109">
        <f>'Input|Step changes'!N13*IF('Input|Step changes'!$F13="nominal",LOOKUP($F60,Nominal_to_Real,'Input|Rate of change'!R$25:R$30),INDEX('Input|Rate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0</v>
      </c>
      <c r="O60" s="109">
        <f>'Input|Step changes'!O13*IF('Input|Step changes'!$F13="nominal",LOOKUP($F60,Nominal_to_Real,'Input|Rate of change'!S$25:S$30),INDEX('Input|Rate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3.9050312400000002E-2</v>
      </c>
      <c r="P60" s="109">
        <f>'Input|Step changes'!P13*IF('Input|Step changes'!$F13="nominal",LOOKUP($F60,Nominal_to_Real,'Input|Rate of change'!T$25:T$30),INDEX('Input|Rate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3.9050312400000002E-2</v>
      </c>
      <c r="Q60" s="109">
        <f>'Input|Step changes'!Q13*IF('Input|Step changes'!$F13="nominal",LOOKUP($F60,Nominal_to_Real,'Input|Rate of change'!U$25:U$30),INDEX('Input|Rate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3.9050312400000002E-2</v>
      </c>
      <c r="R60" s="109">
        <f>'Input|Step changes'!R13*IF('Input|Step changes'!$F13="nominal",LOOKUP($F60,Nominal_to_Real,'Input|Rate of change'!V$25:V$30),INDEX('Input|Rate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3.9050312400000002E-2</v>
      </c>
      <c r="S60" s="109">
        <f>'Input|Step changes'!S13*IF('Input|Step changes'!$F13="nominal",LOOKUP($F60,Nominal_to_Real,'Input|Rate of change'!W$25:W$30),INDEX('Input|Rate of change'!$C$14:$O$21,MATCH('Input|Step changes'!$F13,'Input|Rate of change'!$C$14:$C$21,0),MATCH('Calc|Opex forecast'!$F60,'Input|Rate of change'!$C$14:$O$14,0)))*IF('Input|Step changes'!$E13="$millions",1000000,IF('Input|Step changes'!$E13="$000",1000,1))/IF($E60="$millions",1000000,IF($E60="$000",1000,1))</f>
        <v>3.9050312400000002E-2</v>
      </c>
    </row>
    <row r="61" spans="1:23" outlineLevel="1">
      <c r="C61" s="103" t="str">
        <f>'Input|Step changes'!C14</f>
        <v>Southern Region metering technicians</v>
      </c>
      <c r="D61" s="92" t="s">
        <v>30</v>
      </c>
      <c r="E61" s="26" t="str">
        <f t="shared" si="5"/>
        <v>$millions</v>
      </c>
      <c r="F61" s="143">
        <f t="shared" si="6"/>
        <v>43617</v>
      </c>
      <c r="J61" s="109">
        <f>'Input|Step changes'!J14*IF('Input|Step changes'!$F14="nominal",LOOKUP($F61,Nominal_to_Real,'Input|Rate of change'!N$25:N$30),INDEX('Input|Rate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K61" s="109">
        <f>'Input|Step changes'!K14*IF('Input|Step changes'!$F14="nominal",LOOKUP($F61,Nominal_to_Real,'Input|Rate of change'!O$25:O$30),INDEX('Input|Rate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L61" s="109">
        <f>'Input|Step changes'!L14*IF('Input|Step changes'!$F14="nominal",LOOKUP($F61,Nominal_to_Real,'Input|Rate of change'!P$25:P$30),INDEX('Input|Rate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M61" s="109">
        <f>'Input|Step changes'!M14*IF('Input|Step changes'!$F14="nominal",LOOKUP($F61,Nominal_to_Real,'Input|Rate of change'!Q$25:Q$30),INDEX('Input|Rate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N61" s="109">
        <f>'Input|Step changes'!N14*IF('Input|Step changes'!$F14="nominal",LOOKUP($F61,Nominal_to_Real,'Input|Rate of change'!R$25:R$30),INDEX('Input|Rate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O61" s="109">
        <f>'Input|Step changes'!O14*IF('Input|Step changes'!$F14="nominal",LOOKUP($F61,Nominal_to_Real,'Input|Rate of change'!S$25:S$30),INDEX('Input|Rate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P61" s="109">
        <f>'Input|Step changes'!P14*IF('Input|Step changes'!$F14="nominal",LOOKUP($F61,Nominal_to_Real,'Input|Rate of change'!T$25:T$30),INDEX('Input|Rate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Q61" s="109">
        <f>'Input|Step changes'!Q14*IF('Input|Step changes'!$F14="nominal",LOOKUP($F61,Nominal_to_Real,'Input|Rate of change'!U$25:U$30),INDEX('Input|Rate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R61" s="109">
        <f>'Input|Step changes'!R14*IF('Input|Step changes'!$F14="nominal",LOOKUP($F61,Nominal_to_Real,'Input|Rate of change'!V$25:V$30),INDEX('Input|Rate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  <c r="S61" s="109">
        <f>'Input|Step changes'!S14*IF('Input|Step changes'!$F14="nominal",LOOKUP($F61,Nominal_to_Real,'Input|Rate of change'!W$25:W$30),INDEX('Input|Rate of change'!$C$14:$O$21,MATCH('Input|Step changes'!$F14,'Input|Rate of change'!$C$14:$C$21,0),MATCH('Calc|Opex forecast'!$F61,'Input|Rate of change'!$C$14:$O$14,0)))*IF('Input|Step changes'!$E14="$millions",1000000,IF('Input|Step changes'!$E14="$000",1000,1))/IF($E61="$millions",1000000,IF($E61="$000",1000,1))</f>
        <v>0</v>
      </c>
    </row>
    <row r="62" spans="1:23" outlineLevel="1">
      <c r="C62" s="103" t="str">
        <f>'Input|Step changes'!C15</f>
        <v>New and replacement meter policy</v>
      </c>
      <c r="D62" s="92" t="s">
        <v>30</v>
      </c>
      <c r="E62" s="26" t="str">
        <f t="shared" si="5"/>
        <v>$millions</v>
      </c>
      <c r="F62" s="143">
        <f t="shared" si="6"/>
        <v>43617</v>
      </c>
      <c r="J62" s="109">
        <f>'Input|Step changes'!J15*IF('Input|Step changes'!$F15="nominal",LOOKUP($F62,Nominal_to_Real,'Input|Rate of change'!N$25:N$30),INDEX('Input|Rate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0</v>
      </c>
      <c r="K62" s="109">
        <f>'Input|Step changes'!K15*IF('Input|Step changes'!$F15="nominal",LOOKUP($F62,Nominal_to_Real,'Input|Rate of change'!O$25:O$30),INDEX('Input|Rate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0</v>
      </c>
      <c r="L62" s="109">
        <f>'Input|Step changes'!L15*IF('Input|Step changes'!$F15="nominal",LOOKUP($F62,Nominal_to_Real,'Input|Rate of change'!P$25:P$30),INDEX('Input|Rate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0</v>
      </c>
      <c r="M62" s="109">
        <f>'Input|Step changes'!M15*IF('Input|Step changes'!$F15="nominal",LOOKUP($F62,Nominal_to_Real,'Input|Rate of change'!Q$25:Q$30),INDEX('Input|Rate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0</v>
      </c>
      <c r="N62" s="109">
        <f>'Input|Step changes'!N15*IF('Input|Step changes'!$F15="nominal",LOOKUP($F62,Nominal_to_Real,'Input|Rate of change'!R$25:R$30),INDEX('Input|Rate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0</v>
      </c>
      <c r="O62" s="109">
        <f>'Input|Step changes'!O15*IF('Input|Step changes'!$F15="nominal",LOOKUP($F62,Nominal_to_Real,'Input|Rate of change'!S$25:S$30),INDEX('Input|Rate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-0.49606308938561744</v>
      </c>
      <c r="P62" s="109">
        <f>'Input|Step changes'!P15*IF('Input|Step changes'!$F15="nominal",LOOKUP($F62,Nominal_to_Real,'Input|Rate of change'!T$25:T$30),INDEX('Input|Rate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-0.62699675984278214</v>
      </c>
      <c r="Q62" s="109">
        <f>'Input|Step changes'!Q15*IF('Input|Step changes'!$F15="nominal",LOOKUP($F62,Nominal_to_Real,'Input|Rate of change'!U$25:U$30),INDEX('Input|Rate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-0.76696190906383488</v>
      </c>
      <c r="R62" s="109">
        <f>'Input|Step changes'!R15*IF('Input|Step changes'!$F15="nominal",LOOKUP($F62,Nominal_to_Real,'Input|Rate of change'!V$25:V$30),INDEX('Input|Rate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-0.90777904658868902</v>
      </c>
      <c r="S62" s="109">
        <f>'Input|Step changes'!S15*IF('Input|Step changes'!$F15="nominal",LOOKUP($F62,Nominal_to_Real,'Input|Rate of change'!W$25:W$30),INDEX('Input|Rate of change'!$C$14:$O$21,MATCH('Input|Step changes'!$F15,'Input|Rate of change'!$C$14:$C$21,0),MATCH('Calc|Opex forecast'!$F62,'Input|Rate of change'!$C$14:$O$14,0)))*IF('Input|Step changes'!$E15="$millions",1000000,IF('Input|Step changes'!$E15="$000",1000,1))/IF($E62="$millions",1000000,IF($E62="$000",1000,1))</f>
        <v>-1.0438253580322296</v>
      </c>
    </row>
    <row r="63" spans="1:23" outlineLevel="1">
      <c r="C63" s="103">
        <f>'Input|Step changes'!C16</f>
        <v>0</v>
      </c>
      <c r="D63" s="92" t="s">
        <v>30</v>
      </c>
      <c r="E63" s="26" t="str">
        <f t="shared" si="5"/>
        <v>$millions</v>
      </c>
      <c r="F63" s="143">
        <f t="shared" si="6"/>
        <v>43617</v>
      </c>
      <c r="J63" s="109">
        <f>'Input|Step changes'!J16*IF('Input|Step changes'!$F16="nominal",LOOKUP($F63,Nominal_to_Real,'Input|Rate of change'!N$25:N$30),INDEX('Input|Rate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K63" s="109">
        <f>'Input|Step changes'!K16*IF('Input|Step changes'!$F16="nominal",LOOKUP($F63,Nominal_to_Real,'Input|Rate of change'!O$25:O$30),INDEX('Input|Rate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L63" s="109">
        <f>'Input|Step changes'!L16*IF('Input|Step changes'!$F16="nominal",LOOKUP($F63,Nominal_to_Real,'Input|Rate of change'!P$25:P$30),INDEX('Input|Rate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M63" s="109">
        <f>'Input|Step changes'!M16*IF('Input|Step changes'!$F16="nominal",LOOKUP($F63,Nominal_to_Real,'Input|Rate of change'!Q$25:Q$30),INDEX('Input|Rate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N63" s="109">
        <f>'Input|Step changes'!N16*IF('Input|Step changes'!$F16="nominal",LOOKUP($F63,Nominal_to_Real,'Input|Rate of change'!R$25:R$30),INDEX('Input|Rate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O63" s="109">
        <f>'Input|Step changes'!O16*IF('Input|Step changes'!$F16="nominal",LOOKUP($F63,Nominal_to_Real,'Input|Rate of change'!S$25:S$30),INDEX('Input|Rate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P63" s="109">
        <f>'Input|Step changes'!P16*IF('Input|Step changes'!$F16="nominal",LOOKUP($F63,Nominal_to_Real,'Input|Rate of change'!T$25:T$30),INDEX('Input|Rate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Q63" s="109">
        <f>'Input|Step changes'!Q16*IF('Input|Step changes'!$F16="nominal",LOOKUP($F63,Nominal_to_Real,'Input|Rate of change'!U$25:U$30),INDEX('Input|Rate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R63" s="109">
        <f>'Input|Step changes'!R16*IF('Input|Step changes'!$F16="nominal",LOOKUP($F63,Nominal_to_Real,'Input|Rate of change'!V$25:V$30),INDEX('Input|Rate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  <c r="S63" s="109">
        <f>'Input|Step changes'!S16*IF('Input|Step changes'!$F16="nominal",LOOKUP($F63,Nominal_to_Real,'Input|Rate of change'!W$25:W$30),INDEX('Input|Rate of change'!$C$14:$O$21,MATCH('Input|Step changes'!$F16,'Input|Rate of change'!$C$14:$C$21,0),MATCH('Calc|Opex forecast'!$F63,'Input|Rate of change'!$C$14:$O$14,0)))*IF('Input|Step changes'!$E16="$millions",1000000,IF('Input|Step changes'!$E16="$000",1000,1))/IF($E63="$millions",1000000,IF($E63="$000",1000,1))</f>
        <v>0</v>
      </c>
    </row>
    <row r="64" spans="1:23" outlineLevel="1">
      <c r="C64" s="103">
        <f>'Input|Step changes'!C17</f>
        <v>0</v>
      </c>
      <c r="D64" s="92" t="s">
        <v>30</v>
      </c>
      <c r="E64" s="26" t="str">
        <f t="shared" si="5"/>
        <v>$millions</v>
      </c>
      <c r="F64" s="143">
        <f t="shared" si="6"/>
        <v>43617</v>
      </c>
      <c r="J64" s="109">
        <f>'Input|Step changes'!J17*IF('Input|Step changes'!$F17="nominal",LOOKUP($F64,Nominal_to_Real,'Input|Rate of change'!N$25:N$30),INDEX('Input|Rate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K64" s="109">
        <f>'Input|Step changes'!K17*IF('Input|Step changes'!$F17="nominal",LOOKUP($F64,Nominal_to_Real,'Input|Rate of change'!O$25:O$30),INDEX('Input|Rate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L64" s="109">
        <f>'Input|Step changes'!L17*IF('Input|Step changes'!$F17="nominal",LOOKUP($F64,Nominal_to_Real,'Input|Rate of change'!P$25:P$30),INDEX('Input|Rate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M64" s="109">
        <f>'Input|Step changes'!M17*IF('Input|Step changes'!$F17="nominal",LOOKUP($F64,Nominal_to_Real,'Input|Rate of change'!Q$25:Q$30),INDEX('Input|Rate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N64" s="109">
        <f>'Input|Step changes'!N17*IF('Input|Step changes'!$F17="nominal",LOOKUP($F64,Nominal_to_Real,'Input|Rate of change'!R$25:R$30),INDEX('Input|Rate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O64" s="109">
        <f>'Input|Step changes'!O17*IF('Input|Step changes'!$F17="nominal",LOOKUP($F64,Nominal_to_Real,'Input|Rate of change'!S$25:S$30),INDEX('Input|Rate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P64" s="109">
        <f>'Input|Step changes'!P17*IF('Input|Step changes'!$F17="nominal",LOOKUP($F64,Nominal_to_Real,'Input|Rate of change'!T$25:T$30),INDEX('Input|Rate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Q64" s="109">
        <f>'Input|Step changes'!Q17*IF('Input|Step changes'!$F17="nominal",LOOKUP($F64,Nominal_to_Real,'Input|Rate of change'!U$25:U$30),INDEX('Input|Rate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R64" s="109">
        <f>'Input|Step changes'!R17*IF('Input|Step changes'!$F17="nominal",LOOKUP($F64,Nominal_to_Real,'Input|Rate of change'!V$25:V$30),INDEX('Input|Rate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  <c r="S64" s="109">
        <f>'Input|Step changes'!S17*IF('Input|Step changes'!$F17="nominal",LOOKUP($F64,Nominal_to_Real,'Input|Rate of change'!W$25:W$30),INDEX('Input|Rate of change'!$C$14:$O$21,MATCH('Input|Step changes'!$F17,'Input|Rate of change'!$C$14:$C$21,0),MATCH('Calc|Opex forecast'!$F64,'Input|Rate of change'!$C$14:$O$14,0)))*IF('Input|Step changes'!$E17="$millions",1000000,IF('Input|Step changes'!$E17="$000",1000,1))/IF($E64="$millions",1000000,IF($E64="$000",1000,1))</f>
        <v>0</v>
      </c>
    </row>
    <row r="65" spans="1:23" outlineLevel="1">
      <c r="C65" s="103">
        <f>'Input|Step changes'!C18</f>
        <v>0</v>
      </c>
      <c r="D65" s="92" t="s">
        <v>30</v>
      </c>
      <c r="E65" s="26" t="str">
        <f t="shared" si="5"/>
        <v>$millions</v>
      </c>
      <c r="F65" s="143">
        <f t="shared" si="6"/>
        <v>43617</v>
      </c>
      <c r="J65" s="109">
        <f>'Input|Step changes'!J18*IF('Input|Step changes'!$F18="nominal",LOOKUP($F65,Nominal_to_Real,'Input|Rate of change'!N$25:N$30),INDEX('Input|Rate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K65" s="109">
        <f>'Input|Step changes'!K18*IF('Input|Step changes'!$F18="nominal",LOOKUP($F65,Nominal_to_Real,'Input|Rate of change'!O$25:O$30),INDEX('Input|Rate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L65" s="109">
        <f>'Input|Step changes'!L18*IF('Input|Step changes'!$F18="nominal",LOOKUP($F65,Nominal_to_Real,'Input|Rate of change'!P$25:P$30),INDEX('Input|Rate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M65" s="109">
        <f>'Input|Step changes'!M18*IF('Input|Step changes'!$F18="nominal",LOOKUP($F65,Nominal_to_Real,'Input|Rate of change'!Q$25:Q$30),INDEX('Input|Rate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N65" s="109">
        <f>'Input|Step changes'!N18*IF('Input|Step changes'!$F18="nominal",LOOKUP($F65,Nominal_to_Real,'Input|Rate of change'!R$25:R$30),INDEX('Input|Rate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O65" s="109">
        <f>'Input|Step changes'!O18*IF('Input|Step changes'!$F18="nominal",LOOKUP($F65,Nominal_to_Real,'Input|Rate of change'!S$25:S$30),INDEX('Input|Rate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P65" s="109">
        <f>'Input|Step changes'!P18*IF('Input|Step changes'!$F18="nominal",LOOKUP($F65,Nominal_to_Real,'Input|Rate of change'!T$25:T$30),INDEX('Input|Rate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Q65" s="109">
        <f>'Input|Step changes'!Q18*IF('Input|Step changes'!$F18="nominal",LOOKUP($F65,Nominal_to_Real,'Input|Rate of change'!U$25:U$30),INDEX('Input|Rate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R65" s="109">
        <f>'Input|Step changes'!R18*IF('Input|Step changes'!$F18="nominal",LOOKUP($F65,Nominal_to_Real,'Input|Rate of change'!V$25:V$30),INDEX('Input|Rate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  <c r="S65" s="109">
        <f>'Input|Step changes'!S18*IF('Input|Step changes'!$F18="nominal",LOOKUP($F65,Nominal_to_Real,'Input|Rate of change'!W$25:W$30),INDEX('Input|Rate of change'!$C$14:$O$21,MATCH('Input|Step changes'!$F18,'Input|Rate of change'!$C$14:$C$21,0),MATCH('Calc|Opex forecast'!$F65,'Input|Rate of change'!$C$14:$O$14,0)))*IF('Input|Step changes'!$E18="$millions",1000000,IF('Input|Step changes'!$E18="$000",1000,1))/IF($E65="$millions",1000000,IF($E65="$000",1000,1))</f>
        <v>0</v>
      </c>
    </row>
    <row r="66" spans="1:23" outlineLevel="1">
      <c r="C66" s="103">
        <f>'Input|Step changes'!C19</f>
        <v>0</v>
      </c>
      <c r="D66" s="92" t="s">
        <v>30</v>
      </c>
      <c r="E66" s="26" t="str">
        <f t="shared" si="5"/>
        <v>$millions</v>
      </c>
      <c r="F66" s="143">
        <f t="shared" si="6"/>
        <v>43617</v>
      </c>
      <c r="J66" s="109">
        <f>'Input|Step changes'!J19*IF('Input|Step changes'!$F19="nominal",LOOKUP($F66,Nominal_to_Real,'Input|Rate of change'!N$25:N$30),INDEX('Input|Rate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K66" s="109">
        <f>'Input|Step changes'!K19*IF('Input|Step changes'!$F19="nominal",LOOKUP($F66,Nominal_to_Real,'Input|Rate of change'!O$25:O$30),INDEX('Input|Rate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L66" s="109">
        <f>'Input|Step changes'!L19*IF('Input|Step changes'!$F19="nominal",LOOKUP($F66,Nominal_to_Real,'Input|Rate of change'!P$25:P$30),INDEX('Input|Rate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M66" s="109">
        <f>'Input|Step changes'!M19*IF('Input|Step changes'!$F19="nominal",LOOKUP($F66,Nominal_to_Real,'Input|Rate of change'!Q$25:Q$30),INDEX('Input|Rate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N66" s="109">
        <f>'Input|Step changes'!N19*IF('Input|Step changes'!$F19="nominal",LOOKUP($F66,Nominal_to_Real,'Input|Rate of change'!R$25:R$30),INDEX('Input|Rate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O66" s="109">
        <f>'Input|Step changes'!O19*IF('Input|Step changes'!$F19="nominal",LOOKUP($F66,Nominal_to_Real,'Input|Rate of change'!S$25:S$30),INDEX('Input|Rate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P66" s="109">
        <f>'Input|Step changes'!P19*IF('Input|Step changes'!$F19="nominal",LOOKUP($F66,Nominal_to_Real,'Input|Rate of change'!T$25:T$30),INDEX('Input|Rate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Q66" s="109">
        <f>'Input|Step changes'!Q19*IF('Input|Step changes'!$F19="nominal",LOOKUP($F66,Nominal_to_Real,'Input|Rate of change'!U$25:U$30),INDEX('Input|Rate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R66" s="109">
        <f>'Input|Step changes'!R19*IF('Input|Step changes'!$F19="nominal",LOOKUP($F66,Nominal_to_Real,'Input|Rate of change'!V$25:V$30),INDEX('Input|Rate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  <c r="S66" s="109">
        <f>'Input|Step changes'!S19*IF('Input|Step changes'!$F19="nominal",LOOKUP($F66,Nominal_to_Real,'Input|Rate of change'!W$25:W$30),INDEX('Input|Rate of change'!$C$14:$O$21,MATCH('Input|Step changes'!$F19,'Input|Rate of change'!$C$14:$C$21,0),MATCH('Calc|Opex forecast'!$F66,'Input|Rate of change'!$C$14:$O$14,0)))*IF('Input|Step changes'!$E19="$millions",1000000,IF('Input|Step changes'!$E19="$000",1000,1))/IF($E66="$millions",1000000,IF($E66="$000",1000,1))</f>
        <v>0</v>
      </c>
    </row>
    <row r="67" spans="1:23" outlineLevel="1">
      <c r="C67" s="103">
        <f>'Input|Step changes'!C20</f>
        <v>0</v>
      </c>
      <c r="D67" s="92" t="s">
        <v>30</v>
      </c>
      <c r="E67" s="26" t="str">
        <f t="shared" si="5"/>
        <v>$millions</v>
      </c>
      <c r="F67" s="143">
        <f t="shared" si="6"/>
        <v>43617</v>
      </c>
      <c r="J67" s="109">
        <f>'Input|Step changes'!J20*IF('Input|Step changes'!$F20="nominal",LOOKUP($F67,Nominal_to_Real,'Input|Rate of change'!N$25:N$30),INDEX('Input|Rate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K67" s="109">
        <f>'Input|Step changes'!K20*IF('Input|Step changes'!$F20="nominal",LOOKUP($F67,Nominal_to_Real,'Input|Rate of change'!O$25:O$30),INDEX('Input|Rate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L67" s="109">
        <f>'Input|Step changes'!L20*IF('Input|Step changes'!$F20="nominal",LOOKUP($F67,Nominal_to_Real,'Input|Rate of change'!P$25:P$30),INDEX('Input|Rate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M67" s="109">
        <f>'Input|Step changes'!M20*IF('Input|Step changes'!$F20="nominal",LOOKUP($F67,Nominal_to_Real,'Input|Rate of change'!Q$25:Q$30),INDEX('Input|Rate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N67" s="109">
        <f>'Input|Step changes'!N20*IF('Input|Step changes'!$F20="nominal",LOOKUP($F67,Nominal_to_Real,'Input|Rate of change'!R$25:R$30),INDEX('Input|Rate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O67" s="109">
        <f>'Input|Step changes'!O20*IF('Input|Step changes'!$F20="nominal",LOOKUP($F67,Nominal_to_Real,'Input|Rate of change'!S$25:S$30),INDEX('Input|Rate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P67" s="109">
        <f>'Input|Step changes'!P20*IF('Input|Step changes'!$F20="nominal",LOOKUP($F67,Nominal_to_Real,'Input|Rate of change'!T$25:T$30),INDEX('Input|Rate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Q67" s="109">
        <f>'Input|Step changes'!Q20*IF('Input|Step changes'!$F20="nominal",LOOKUP($F67,Nominal_to_Real,'Input|Rate of change'!U$25:U$30),INDEX('Input|Rate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R67" s="109">
        <f>'Input|Step changes'!R20*IF('Input|Step changes'!$F20="nominal",LOOKUP($F67,Nominal_to_Real,'Input|Rate of change'!V$25:V$30),INDEX('Input|Rate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  <c r="S67" s="109">
        <f>'Input|Step changes'!S20*IF('Input|Step changes'!$F20="nominal",LOOKUP($F67,Nominal_to_Real,'Input|Rate of change'!W$25:W$30),INDEX('Input|Rate of change'!$C$14:$O$21,MATCH('Input|Step changes'!$F20,'Input|Rate of change'!$C$14:$C$21,0),MATCH('Calc|Opex forecast'!$F67,'Input|Rate of change'!$C$14:$O$14,0)))*IF('Input|Step changes'!$E20="$millions",1000000,IF('Input|Step changes'!$E20="$000",1000,1))/IF($E67="$millions",1000000,IF($E67="$000",1000,1))</f>
        <v>0</v>
      </c>
    </row>
    <row r="68" spans="1:23" outlineLevel="1">
      <c r="C68" s="103"/>
      <c r="D68" s="92"/>
      <c r="F68" s="94"/>
      <c r="J68" s="157"/>
      <c r="K68" s="157"/>
      <c r="L68" s="157"/>
      <c r="M68" s="157"/>
      <c r="N68" s="157"/>
      <c r="O68" s="157"/>
      <c r="P68" s="157"/>
      <c r="Q68" s="157"/>
      <c r="R68" s="157"/>
      <c r="S68" s="157"/>
    </row>
    <row r="69" spans="1:23" outlineLevel="1">
      <c r="C69" s="95" t="s">
        <v>49</v>
      </c>
      <c r="D69" s="104" t="s">
        <v>30</v>
      </c>
      <c r="E69" s="104" t="str">
        <f>$E$8</f>
        <v>$millions</v>
      </c>
      <c r="F69" s="156">
        <f t="shared" si="6"/>
        <v>43617</v>
      </c>
      <c r="G69" s="28"/>
      <c r="H69" s="28"/>
      <c r="I69" s="28"/>
      <c r="J69" s="158">
        <f>SUM(J58:J68)</f>
        <v>0</v>
      </c>
      <c r="K69" s="158">
        <f t="shared" ref="K69:S69" si="7">SUM(K58:K68)</f>
        <v>0</v>
      </c>
      <c r="L69" s="158">
        <f t="shared" si="7"/>
        <v>0</v>
      </c>
      <c r="M69" s="158">
        <f t="shared" si="7"/>
        <v>0</v>
      </c>
      <c r="N69" s="158">
        <f t="shared" si="7"/>
        <v>0</v>
      </c>
      <c r="O69" s="158">
        <f t="shared" si="7"/>
        <v>-0.14535765218561753</v>
      </c>
      <c r="P69" s="158">
        <f t="shared" si="7"/>
        <v>-0.27629132264278222</v>
      </c>
      <c r="Q69" s="158">
        <f t="shared" si="7"/>
        <v>-0.41625647186383496</v>
      </c>
      <c r="R69" s="158">
        <f t="shared" si="7"/>
        <v>-0.55707360938868911</v>
      </c>
      <c r="S69" s="158">
        <f t="shared" si="7"/>
        <v>-0.69311992083222973</v>
      </c>
    </row>
    <row r="70" spans="1:23">
      <c r="C70" s="105"/>
      <c r="D70" s="92"/>
      <c r="E70" s="92"/>
      <c r="F70" s="92"/>
      <c r="J70" s="89"/>
      <c r="K70" s="89"/>
      <c r="L70" s="89"/>
      <c r="M70" s="89"/>
      <c r="N70" s="20"/>
      <c r="O70" s="20"/>
      <c r="P70" s="20"/>
      <c r="Q70" s="20"/>
      <c r="R70" s="20"/>
      <c r="S70" s="20"/>
    </row>
    <row r="71" spans="1:23" s="85" customFormat="1" ht="12.75">
      <c r="A71" s="79"/>
      <c r="B71" s="80" t="s">
        <v>119</v>
      </c>
      <c r="C71" s="79"/>
      <c r="D71" s="79"/>
      <c r="E71" s="79"/>
      <c r="F71" s="81"/>
      <c r="G71" s="81"/>
      <c r="H71" s="81"/>
      <c r="I71" s="81"/>
      <c r="J71" s="82"/>
      <c r="K71" s="83"/>
      <c r="L71" s="82"/>
      <c r="M71" s="83"/>
      <c r="N71" s="82"/>
      <c r="O71" s="197"/>
      <c r="P71" s="82"/>
      <c r="Q71" s="82"/>
      <c r="R71" s="82"/>
      <c r="S71" s="82"/>
      <c r="T71" s="82"/>
      <c r="U71" s="82"/>
      <c r="V71" s="83"/>
      <c r="W71" s="83"/>
    </row>
    <row r="72" spans="1:23" outlineLevel="1">
      <c r="C72" s="88"/>
      <c r="J72" s="89"/>
      <c r="K72" s="89"/>
      <c r="L72" s="89"/>
    </row>
    <row r="73" spans="1:23" outlineLevel="1">
      <c r="C73" s="56" t="s">
        <v>114</v>
      </c>
      <c r="D73" s="28" t="s">
        <v>7</v>
      </c>
      <c r="E73" s="28" t="s">
        <v>8</v>
      </c>
      <c r="F73" s="28" t="s">
        <v>22</v>
      </c>
      <c r="J73" s="145" t="str">
        <f>IF(YEAR(J$4)&gt;='Input|General'!$G$13,IF(YEAR(J$4)&lt;='Input|General'!$G$14,J$4,""),"")</f>
        <v/>
      </c>
      <c r="K73" s="145" t="str">
        <f>IF(YEAR(K$4)&gt;='Input|General'!$G$13,IF(YEAR(K$4)&lt;='Input|General'!$G$14,K$4,""),"")</f>
        <v/>
      </c>
      <c r="L73" s="145" t="str">
        <f>IF(YEAR(L$4)&gt;='Input|General'!$G$13,IF(YEAR(L$4)&lt;='Input|General'!$G$14,L$4,""),"")</f>
        <v/>
      </c>
      <c r="M73" s="145" t="str">
        <f>IF(YEAR(M$4)&gt;='Input|General'!$G$13,IF(YEAR(M$4)&lt;='Input|General'!$G$14,M$4,""),"")</f>
        <v/>
      </c>
      <c r="N73" s="145" t="str">
        <f>IF(YEAR(N$4)&gt;='Input|General'!$G$13,IF(YEAR(N$4)&lt;='Input|General'!$G$14,N$4,""),"")</f>
        <v/>
      </c>
      <c r="O73" s="145">
        <f>IF(YEAR(O$4)&gt;='Input|General'!$G$13,IF(YEAR(O$4)&lt;='Input|General'!$G$14,O$4,""),"")</f>
        <v>43983</v>
      </c>
      <c r="P73" s="145">
        <f>IF(YEAR(P$4)&gt;='Input|General'!$G$13,IF(YEAR(P$4)&lt;='Input|General'!$G$14,P$4,""),"")</f>
        <v>44348</v>
      </c>
      <c r="Q73" s="145">
        <f>IF(YEAR(Q$4)&gt;='Input|General'!$G$13,IF(YEAR(Q$4)&lt;='Input|General'!$G$14,Q$4,""),"")</f>
        <v>44713</v>
      </c>
      <c r="R73" s="145">
        <f>IF(YEAR(R$4)&gt;='Input|General'!$G$13,IF(YEAR(R$4)&lt;='Input|General'!$G$14,R$4,""),"")</f>
        <v>45078</v>
      </c>
      <c r="S73" s="145">
        <f>IF(YEAR(S$4)&gt;='Input|General'!$G$13,IF(YEAR(S$4)&lt;='Input|General'!$G$14,S$4,""),"")</f>
        <v>45444</v>
      </c>
    </row>
    <row r="74" spans="1:23" outlineLevel="1">
      <c r="C74" s="56"/>
      <c r="J74" s="102"/>
      <c r="K74" s="102"/>
      <c r="L74" s="102"/>
      <c r="M74" s="102"/>
      <c r="N74" s="102"/>
      <c r="O74" s="102"/>
      <c r="P74" s="102"/>
      <c r="Q74" s="102"/>
      <c r="R74" s="102"/>
      <c r="S74" s="102"/>
    </row>
    <row r="75" spans="1:23" outlineLevel="1">
      <c r="C75" s="103">
        <f>'Input|Step changes'!C28</f>
        <v>0</v>
      </c>
      <c r="D75" s="92" t="s">
        <v>30</v>
      </c>
      <c r="E75" s="26" t="str">
        <f t="shared" si="5"/>
        <v>$millions</v>
      </c>
      <c r="F75" s="143">
        <f>$F$8</f>
        <v>43617</v>
      </c>
      <c r="J75" s="109">
        <f>'Input|Step changes'!J28*IF('Input|Step changes'!$F28="nominal",LOOKUP($F75,Nominal_to_Real,'Input|Rate of change'!N$25:N$30),INDEX('Input|Rate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K75" s="109">
        <f>'Input|Step changes'!K28*IF('Input|Step changes'!$F28="nominal",LOOKUP($F75,Nominal_to_Real,'Input|Rate of change'!O$25:O$30),INDEX('Input|Rate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L75" s="109">
        <f>'Input|Step changes'!L28*IF('Input|Step changes'!$F28="nominal",LOOKUP($F75,Nominal_to_Real,'Input|Rate of change'!P$25:P$30),INDEX('Input|Rate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M75" s="109">
        <f>'Input|Step changes'!M28*IF('Input|Step changes'!$F28="nominal",LOOKUP($F75,Nominal_to_Real,'Input|Rate of change'!Q$25:Q$30),INDEX('Input|Rate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N75" s="109">
        <f>'Input|Step changes'!N28*IF('Input|Step changes'!$F28="nominal",LOOKUP($F75,Nominal_to_Real,'Input|Rate of change'!R$25:R$30),INDEX('Input|Rate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O75" s="109">
        <f>'Input|Step changes'!O28*IF('Input|Step changes'!$F28="nominal",LOOKUP($F75,Nominal_to_Real,'Input|Rate of change'!S$25:S$30),INDEX('Input|Rate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P75" s="109">
        <f>'Input|Step changes'!P28*IF('Input|Step changes'!$F28="nominal",LOOKUP($F75,Nominal_to_Real,'Input|Rate of change'!T$25:T$30),INDEX('Input|Rate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Q75" s="109">
        <f>'Input|Step changes'!Q28*IF('Input|Step changes'!$F28="nominal",LOOKUP($F75,Nominal_to_Real,'Input|Rate of change'!U$25:U$30),INDEX('Input|Rate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R75" s="109">
        <f>'Input|Step changes'!R28*IF('Input|Step changes'!$F28="nominal",LOOKUP($F75,Nominal_to_Real,'Input|Rate of change'!V$25:V$30),INDEX('Input|Rate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  <c r="S75" s="109">
        <f>'Input|Step changes'!S28*IF('Input|Step changes'!$F28="nominal",LOOKUP($F75,Nominal_to_Real,'Input|Rate of change'!W$25:W$30),INDEX('Input|Rate of change'!$C$14:$O$21,MATCH('Input|Step changes'!$F28,'Input|Rate of change'!$C$14:$C$21,0),MATCH('Calc|Opex forecast'!$F75,'Input|Rate of change'!$C$14:$O$14,0)))*IF('Input|Step changes'!$E28="$millions",1000000,IF('Input|Step changes'!$E28="$000",1000,1))/IF($E75="$millions",1000000,IF($E75="$000",1000,1))</f>
        <v>0</v>
      </c>
    </row>
    <row r="76" spans="1:23" outlineLevel="1">
      <c r="C76" s="103">
        <f>'Input|Step changes'!C29</f>
        <v>0</v>
      </c>
      <c r="D76" s="92" t="s">
        <v>30</v>
      </c>
      <c r="E76" s="26" t="str">
        <f t="shared" si="5"/>
        <v>$millions</v>
      </c>
      <c r="F76" s="143">
        <f>$F$8</f>
        <v>43617</v>
      </c>
      <c r="J76" s="109">
        <f>'Input|Step changes'!J29*IF('Input|Step changes'!$F29="nominal",LOOKUP($F76,Nominal_to_Real,'Input|Rate of change'!N$25:N$30),INDEX('Input|Rate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K76" s="109">
        <f>'Input|Step changes'!K29*IF('Input|Step changes'!$F29="nominal",LOOKUP($F76,Nominal_to_Real,'Input|Rate of change'!O$25:O$30),INDEX('Input|Rate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L76" s="109">
        <f>'Input|Step changes'!L29*IF('Input|Step changes'!$F29="nominal",LOOKUP($F76,Nominal_to_Real,'Input|Rate of change'!P$25:P$30),INDEX('Input|Rate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M76" s="109">
        <f>'Input|Step changes'!M29*IF('Input|Step changes'!$F29="nominal",LOOKUP($F76,Nominal_to_Real,'Input|Rate of change'!Q$25:Q$30),INDEX('Input|Rate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N76" s="109">
        <f>'Input|Step changes'!N29*IF('Input|Step changes'!$F29="nominal",LOOKUP($F76,Nominal_to_Real,'Input|Rate of change'!R$25:R$30),INDEX('Input|Rate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O76" s="109">
        <f>'Input|Step changes'!O29*IF('Input|Step changes'!$F29="nominal",LOOKUP($F76,Nominal_to_Real,'Input|Rate of change'!S$25:S$30),INDEX('Input|Rate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P76" s="109">
        <f>'Input|Step changes'!P29*IF('Input|Step changes'!$F29="nominal",LOOKUP($F76,Nominal_to_Real,'Input|Rate of change'!T$25:T$30),INDEX('Input|Rate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Q76" s="109">
        <f>'Input|Step changes'!Q29*IF('Input|Step changes'!$F29="nominal",LOOKUP($F76,Nominal_to_Real,'Input|Rate of change'!U$25:U$30),INDEX('Input|Rate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R76" s="109">
        <f>'Input|Step changes'!R29*IF('Input|Step changes'!$F29="nominal",LOOKUP($F76,Nominal_to_Real,'Input|Rate of change'!V$25:V$30),INDEX('Input|Rate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  <c r="S76" s="109">
        <f>'Input|Step changes'!S29*IF('Input|Step changes'!$F29="nominal",LOOKUP($F76,Nominal_to_Real,'Input|Rate of change'!W$25:W$30),INDEX('Input|Rate of change'!$C$14:$O$21,MATCH('Input|Step changes'!$F29,'Input|Rate of change'!$C$14:$C$21,0),MATCH('Calc|Opex forecast'!$F76,'Input|Rate of change'!$C$14:$O$14,0)))*IF('Input|Step changes'!$E29="$millions",1000000,IF('Input|Step changes'!$E29="$000",1000,1))/IF($E76="$millions",1000000,IF($E76="$000",1000,1))</f>
        <v>0</v>
      </c>
    </row>
    <row r="77" spans="1:23" outlineLevel="1">
      <c r="C77" s="103">
        <f>'Input|Step changes'!C30</f>
        <v>0</v>
      </c>
      <c r="D77" s="92" t="s">
        <v>30</v>
      </c>
      <c r="E77" s="26" t="str">
        <f t="shared" si="5"/>
        <v>$millions</v>
      </c>
      <c r="F77" s="143">
        <f>$F$8</f>
        <v>43617</v>
      </c>
      <c r="J77" s="109">
        <f>'Input|Step changes'!J30*IF('Input|Step changes'!$F30="nominal",LOOKUP($F77,Nominal_to_Real,'Input|Rate of change'!N$25:N$30),INDEX('Input|Rate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K77" s="109">
        <f>'Input|Step changes'!K30*IF('Input|Step changes'!$F30="nominal",LOOKUP($F77,Nominal_to_Real,'Input|Rate of change'!O$25:O$30),INDEX('Input|Rate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L77" s="109">
        <f>'Input|Step changes'!L30*IF('Input|Step changes'!$F30="nominal",LOOKUP($F77,Nominal_to_Real,'Input|Rate of change'!P$25:P$30),INDEX('Input|Rate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M77" s="109">
        <f>'Input|Step changes'!M30*IF('Input|Step changes'!$F30="nominal",LOOKUP($F77,Nominal_to_Real,'Input|Rate of change'!Q$25:Q$30),INDEX('Input|Rate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N77" s="109">
        <f>'Input|Step changes'!N30*IF('Input|Step changes'!$F30="nominal",LOOKUP($F77,Nominal_to_Real,'Input|Rate of change'!R$25:R$30),INDEX('Input|Rate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O77" s="109">
        <f>'Input|Step changes'!O30*IF('Input|Step changes'!$F30="nominal",LOOKUP($F77,Nominal_to_Real,'Input|Rate of change'!S$25:S$30),INDEX('Input|Rate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P77" s="109">
        <f>'Input|Step changes'!P30*IF('Input|Step changes'!$F30="nominal",LOOKUP($F77,Nominal_to_Real,'Input|Rate of change'!T$25:T$30),INDEX('Input|Rate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Q77" s="109">
        <f>'Input|Step changes'!Q30*IF('Input|Step changes'!$F30="nominal",LOOKUP($F77,Nominal_to_Real,'Input|Rate of change'!U$25:U$30),INDEX('Input|Rate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R77" s="109">
        <f>'Input|Step changes'!R30*IF('Input|Step changes'!$F30="nominal",LOOKUP($F77,Nominal_to_Real,'Input|Rate of change'!V$25:V$30),INDEX('Input|Rate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  <c r="S77" s="109">
        <f>'Input|Step changes'!S30*IF('Input|Step changes'!$F30="nominal",LOOKUP($F77,Nominal_to_Real,'Input|Rate of change'!W$25:W$30),INDEX('Input|Rate of change'!$C$14:$O$21,MATCH('Input|Step changes'!$F30,'Input|Rate of change'!$C$14:$C$21,0),MATCH('Calc|Opex forecast'!$F77,'Input|Rate of change'!$C$14:$O$14,0)))*IF('Input|Step changes'!$E30="$millions",1000000,IF('Input|Step changes'!$E30="$000",1000,1))/IF($E77="$millions",1000000,IF($E77="$000",1000,1))</f>
        <v>0</v>
      </c>
    </row>
    <row r="78" spans="1:23" outlineLevel="1">
      <c r="C78" s="103"/>
      <c r="D78" s="90"/>
      <c r="F78" s="94"/>
      <c r="J78" s="157"/>
      <c r="K78" s="157"/>
      <c r="L78" s="157"/>
      <c r="M78" s="157"/>
      <c r="N78" s="157"/>
      <c r="O78" s="157"/>
      <c r="P78" s="157"/>
      <c r="Q78" s="157"/>
      <c r="R78" s="157"/>
      <c r="S78" s="157"/>
      <c r="T78" s="89"/>
      <c r="U78" s="89"/>
      <c r="V78" s="89"/>
      <c r="W78" s="89"/>
    </row>
    <row r="79" spans="1:23" outlineLevel="1">
      <c r="C79" s="95" t="s">
        <v>120</v>
      </c>
      <c r="D79" s="104" t="s">
        <v>30</v>
      </c>
      <c r="E79" s="104" t="str">
        <f>$E$8</f>
        <v>$millions</v>
      </c>
      <c r="F79" s="156">
        <f>$F$8</f>
        <v>43617</v>
      </c>
      <c r="G79" s="28"/>
      <c r="H79" s="28"/>
      <c r="I79" s="28"/>
      <c r="J79" s="110">
        <f>SUM(J74:J78)</f>
        <v>0</v>
      </c>
      <c r="K79" s="110">
        <f t="shared" ref="K79:S79" si="8">SUM(K74:K78)</f>
        <v>0</v>
      </c>
      <c r="L79" s="110">
        <f t="shared" si="8"/>
        <v>0</v>
      </c>
      <c r="M79" s="110">
        <f t="shared" si="8"/>
        <v>0</v>
      </c>
      <c r="N79" s="110">
        <f t="shared" si="8"/>
        <v>0</v>
      </c>
      <c r="O79" s="110">
        <f t="shared" si="8"/>
        <v>0</v>
      </c>
      <c r="P79" s="110">
        <f t="shared" si="8"/>
        <v>0</v>
      </c>
      <c r="Q79" s="110">
        <f t="shared" si="8"/>
        <v>0</v>
      </c>
      <c r="R79" s="110">
        <f t="shared" si="8"/>
        <v>0</v>
      </c>
      <c r="S79" s="110">
        <f t="shared" si="8"/>
        <v>0</v>
      </c>
    </row>
    <row r="80" spans="1:23">
      <c r="C80" s="105"/>
      <c r="D80" s="92"/>
      <c r="E80" s="92"/>
      <c r="F80" s="92"/>
      <c r="J80" s="89"/>
      <c r="K80" s="89"/>
      <c r="L80" s="89"/>
      <c r="M80" s="89"/>
      <c r="N80" s="20"/>
      <c r="O80" s="20"/>
      <c r="P80" s="20"/>
      <c r="Q80" s="20"/>
      <c r="R80" s="20"/>
      <c r="S80" s="20"/>
    </row>
    <row r="81" spans="1:23" s="85" customFormat="1" ht="12.75">
      <c r="A81" s="79"/>
      <c r="B81" s="80" t="s">
        <v>95</v>
      </c>
      <c r="C81" s="79"/>
      <c r="D81" s="79"/>
      <c r="E81" s="79"/>
      <c r="F81" s="81"/>
      <c r="G81" s="81"/>
      <c r="H81" s="81"/>
      <c r="I81" s="81"/>
      <c r="J81" s="82"/>
      <c r="K81" s="83"/>
      <c r="L81" s="82"/>
      <c r="M81" s="83"/>
      <c r="N81" s="82"/>
      <c r="O81" s="82"/>
      <c r="P81" s="82"/>
      <c r="Q81" s="82"/>
      <c r="R81" s="82"/>
      <c r="S81" s="82"/>
      <c r="T81" s="82"/>
      <c r="U81" s="82"/>
      <c r="V81" s="83"/>
      <c r="W81" s="83"/>
    </row>
    <row r="82" spans="1:23" outlineLevel="1">
      <c r="C82" s="88"/>
      <c r="J82" s="89"/>
      <c r="K82" s="89"/>
      <c r="L82" s="89"/>
    </row>
    <row r="83" spans="1:23" outlineLevel="1">
      <c r="C83" s="56"/>
      <c r="J83" s="145" t="str">
        <f>IF(YEAR(J$4)&gt;='Input|General'!$G$13,IF(YEAR(J$4)&lt;='Input|General'!$G$14,J$4,""),"")</f>
        <v/>
      </c>
      <c r="K83" s="145" t="str">
        <f>IF(YEAR(K$4)&gt;='Input|General'!$G$13,IF(YEAR(K$4)&lt;='Input|General'!$G$14,K$4,""),"")</f>
        <v/>
      </c>
      <c r="L83" s="145" t="str">
        <f>IF(YEAR(L$4)&gt;='Input|General'!$G$13,IF(YEAR(L$4)&lt;='Input|General'!$G$14,L$4,""),"")</f>
        <v/>
      </c>
      <c r="M83" s="145" t="str">
        <f>IF(YEAR(M$4)&gt;='Input|General'!$G$13,IF(YEAR(M$4)&lt;='Input|General'!$G$14,M$4,""),"")</f>
        <v/>
      </c>
      <c r="N83" s="145" t="str">
        <f>IF(YEAR(N$4)&gt;='Input|General'!$G$13,IF(YEAR(N$4)&lt;='Input|General'!$G$14,N$4,""),"")</f>
        <v/>
      </c>
      <c r="O83" s="145">
        <f>IF(YEAR(O$4)&gt;='Input|General'!$G$13,IF(YEAR(O$4)&lt;='Input|General'!$G$14,O$4,""),"")</f>
        <v>43983</v>
      </c>
      <c r="P83" s="145">
        <f>IF(YEAR(P$4)&gt;='Input|General'!$G$13,IF(YEAR(P$4)&lt;='Input|General'!$G$14,P$4,""),"")</f>
        <v>44348</v>
      </c>
      <c r="Q83" s="145">
        <f>IF(YEAR(Q$4)&gt;='Input|General'!$G$13,IF(YEAR(Q$4)&lt;='Input|General'!$G$14,Q$4,""),"")</f>
        <v>44713</v>
      </c>
      <c r="R83" s="145">
        <f>IF(YEAR(R$4)&gt;='Input|General'!$G$13,IF(YEAR(R$4)&lt;='Input|General'!$G$14,R$4,""),"")</f>
        <v>45078</v>
      </c>
      <c r="S83" s="145">
        <f>IF(YEAR(S$4)&gt;='Input|General'!$G$13,IF(YEAR(S$4)&lt;='Input|General'!$G$14,S$4,""),"")</f>
        <v>45444</v>
      </c>
    </row>
    <row r="84" spans="1:23" outlineLevel="1">
      <c r="C84" s="106"/>
      <c r="D84" s="92"/>
      <c r="E84" s="92"/>
      <c r="F84" s="92"/>
      <c r="J84" s="107"/>
      <c r="K84" s="107"/>
      <c r="L84" s="107"/>
      <c r="M84" s="107"/>
      <c r="N84" s="107"/>
      <c r="O84" s="107"/>
      <c r="P84" s="107"/>
      <c r="Q84" s="107"/>
      <c r="R84" s="107"/>
      <c r="S84" s="107"/>
    </row>
    <row r="85" spans="1:23" outlineLevel="1">
      <c r="C85" s="105" t="s">
        <v>136</v>
      </c>
      <c r="D85" s="108" t="s">
        <v>30</v>
      </c>
      <c r="E85" s="108" t="str">
        <f>$E$8</f>
        <v>$millions</v>
      </c>
      <c r="F85" s="156">
        <f>$F$8</f>
        <v>43617</v>
      </c>
      <c r="J85" s="133" t="str">
        <f t="shared" ref="J85:S85" si="9">IF(YEAR(J$4)&gt;=FPFirstYear,IF(YEAR(J$4)&lt;=FPLastYear,IF(ISBLANK(J83),"",(1+J53)*SUM($J39:$S39)+J69),""),"")</f>
        <v/>
      </c>
      <c r="K85" s="133" t="str">
        <f t="shared" si="9"/>
        <v/>
      </c>
      <c r="L85" s="133" t="str">
        <f t="shared" si="9"/>
        <v/>
      </c>
      <c r="M85" s="133" t="str">
        <f t="shared" si="9"/>
        <v/>
      </c>
      <c r="N85" s="133" t="str">
        <f t="shared" si="9"/>
        <v/>
      </c>
      <c r="O85" s="133">
        <f t="shared" si="9"/>
        <v>5.4389480822671592</v>
      </c>
      <c r="P85" s="133">
        <f t="shared" si="9"/>
        <v>5.3630365625668626</v>
      </c>
      <c r="Q85" s="133">
        <f t="shared" si="9"/>
        <v>5.2991906326552387</v>
      </c>
      <c r="R85" s="133">
        <f t="shared" si="9"/>
        <v>5.2243107794154735</v>
      </c>
      <c r="S85" s="133">
        <f t="shared" si="9"/>
        <v>5.1549017042943275</v>
      </c>
    </row>
    <row r="86" spans="1:23" outlineLevel="1">
      <c r="C86" s="105" t="s">
        <v>112</v>
      </c>
      <c r="D86" s="108" t="s">
        <v>30</v>
      </c>
      <c r="E86" s="108" t="str">
        <f>$E$8</f>
        <v>$millions</v>
      </c>
      <c r="F86" s="156">
        <f>$F$8</f>
        <v>43617</v>
      </c>
      <c r="J86" s="133" t="str">
        <f t="shared" ref="J86:S86" si="10">IF(YEAR(J$4)&gt;=FPFirstYear,IF(YEAR(J$4)&lt;=FPLastYear,IF(ISBLANK(J83),"",(1+J53)*SUM($J39:$S39)+J69+J79),""),"")</f>
        <v/>
      </c>
      <c r="K86" s="133" t="str">
        <f t="shared" si="10"/>
        <v/>
      </c>
      <c r="L86" s="133" t="str">
        <f t="shared" si="10"/>
        <v/>
      </c>
      <c r="M86" s="133" t="str">
        <f t="shared" si="10"/>
        <v/>
      </c>
      <c r="N86" s="133" t="str">
        <f t="shared" si="10"/>
        <v/>
      </c>
      <c r="O86" s="133">
        <f t="shared" si="10"/>
        <v>5.4389480822671592</v>
      </c>
      <c r="P86" s="133">
        <f t="shared" si="10"/>
        <v>5.3630365625668626</v>
      </c>
      <c r="Q86" s="133">
        <f t="shared" si="10"/>
        <v>5.2991906326552387</v>
      </c>
      <c r="R86" s="133">
        <f t="shared" si="10"/>
        <v>5.2243107794154735</v>
      </c>
      <c r="S86" s="133">
        <f t="shared" si="10"/>
        <v>5.1549017042943275</v>
      </c>
    </row>
    <row r="87" spans="1:23" outlineLevel="1">
      <c r="C87" s="105" t="s">
        <v>113</v>
      </c>
      <c r="D87" s="108" t="s">
        <v>30</v>
      </c>
      <c r="E87" s="108" t="str">
        <f>$E$8</f>
        <v>$millions</v>
      </c>
      <c r="F87" s="156">
        <f>$F$8</f>
        <v>43617</v>
      </c>
      <c r="J87" s="133" t="str">
        <f>IF(YEAR(J$4)&gt;=FPFirstYear,IF(YEAR(J$4)&lt;=FPLastYear,J86+'Input|Step changes'!J38,""),"")</f>
        <v/>
      </c>
      <c r="K87" s="133" t="str">
        <f>IF(YEAR(K$4)&gt;=FPFirstYear,IF(YEAR(K$4)&lt;=FPLastYear,K86+'Input|Step changes'!K38,""),"")</f>
        <v/>
      </c>
      <c r="L87" s="133" t="str">
        <f>IF(YEAR(L$4)&gt;=FPFirstYear,IF(YEAR(L$4)&lt;=FPLastYear,L86+'Input|Step changes'!L38,""),"")</f>
        <v/>
      </c>
      <c r="M87" s="133" t="str">
        <f>IF(YEAR(M$4)&gt;=FPFirstYear,IF(YEAR(M$4)&lt;=FPLastYear,M86+'Input|Step changes'!M38,""),"")</f>
        <v/>
      </c>
      <c r="N87" s="133" t="str">
        <f>IF(YEAR(N$4)&gt;=FPFirstYear,IF(YEAR(N$4)&lt;=FPLastYear,N86+'Input|Step changes'!N38,""),"")</f>
        <v/>
      </c>
      <c r="O87" s="133">
        <f>IF(YEAR(O$4)&gt;=FPFirstYear,IF(YEAR(O$4)&lt;=FPLastYear,O86+'Input|Step changes'!O38,""),"")</f>
        <v>5.446253238557702</v>
      </c>
      <c r="P87" s="133">
        <f>IF(YEAR(P$4)&gt;=FPFirstYear,IF(YEAR(P$4)&lt;=FPLastYear,P86+'Input|Step changes'!P38,""),"")</f>
        <v>5.3733644693778482</v>
      </c>
      <c r="Q87" s="133">
        <f>IF(YEAR(Q$4)&gt;=FPFirstYear,IF(YEAR(Q$4)&lt;=FPLastYear,Q86+'Input|Step changes'!Q38,""),"")</f>
        <v>5.3106908102397714</v>
      </c>
      <c r="R87" s="133">
        <f>IF(YEAR(R$4)&gt;=FPFirstYear,IF(YEAR(R$4)&lt;=FPLastYear,R86+'Input|Step changes'!R38,""),"")</f>
        <v>5.2369672672519441</v>
      </c>
      <c r="S87" s="133">
        <f>IF(YEAR(S$4)&gt;=FPFirstYear,IF(YEAR(S$4)&lt;=FPLastYear,S86+'Input|Step changes'!S38,""),"")</f>
        <v>5.1705711442676536</v>
      </c>
    </row>
    <row r="88" spans="1:23">
      <c r="C88" s="105"/>
      <c r="D88" s="92"/>
      <c r="E88" s="92"/>
      <c r="F88" s="92"/>
      <c r="J88" s="89"/>
      <c r="K88" s="89"/>
      <c r="L88" s="89"/>
      <c r="M88" s="89"/>
      <c r="N88" s="20"/>
      <c r="O88" s="20"/>
      <c r="P88" s="20"/>
      <c r="Q88" s="20"/>
      <c r="R88" s="20"/>
      <c r="S88" s="20"/>
    </row>
    <row r="89" spans="1:23" s="85" customFormat="1" ht="12.75">
      <c r="A89" s="79"/>
      <c r="B89" s="80" t="s">
        <v>21</v>
      </c>
      <c r="C89" s="79"/>
      <c r="D89" s="79"/>
      <c r="E89" s="79"/>
      <c r="F89" s="81"/>
      <c r="G89" s="81"/>
      <c r="H89" s="81"/>
      <c r="I89" s="81"/>
      <c r="J89" s="82"/>
      <c r="K89" s="83"/>
      <c r="L89" s="82"/>
      <c r="M89" s="83"/>
      <c r="N89" s="82"/>
      <c r="O89" s="82"/>
      <c r="P89" s="82"/>
      <c r="Q89" s="82"/>
      <c r="R89" s="82"/>
      <c r="S89" s="82"/>
      <c r="T89" s="82"/>
      <c r="U89" s="82"/>
      <c r="V89" s="83"/>
      <c r="W89" s="83"/>
    </row>
    <row r="90" spans="1:23">
      <c r="D90" s="25"/>
      <c r="E90" s="25"/>
      <c r="F90" s="25"/>
      <c r="G90" s="25"/>
      <c r="H90" s="25"/>
      <c r="I90" s="25"/>
    </row>
    <row r="91" spans="1:23">
      <c r="D91" s="25"/>
      <c r="E91" s="25"/>
      <c r="F91" s="25"/>
      <c r="G91" s="25"/>
      <c r="H91" s="25"/>
      <c r="I91" s="25"/>
    </row>
    <row r="92" spans="1:23">
      <c r="D92" s="25"/>
      <c r="E92" s="25"/>
      <c r="F92" s="25"/>
      <c r="G92" s="25"/>
      <c r="H92" s="25"/>
      <c r="I92" s="25"/>
    </row>
    <row r="93" spans="1:23">
      <c r="D93" s="25"/>
      <c r="E93" s="25"/>
      <c r="F93" s="25"/>
      <c r="G93" s="25"/>
      <c r="H93" s="25"/>
      <c r="I93" s="25"/>
    </row>
    <row r="94" spans="1:23">
      <c r="D94" s="25"/>
      <c r="E94" s="25"/>
      <c r="F94" s="25"/>
      <c r="G94" s="25"/>
      <c r="H94" s="25"/>
      <c r="I94" s="25"/>
    </row>
    <row r="95" spans="1:23">
      <c r="D95" s="25"/>
      <c r="E95" s="25"/>
      <c r="F95" s="25"/>
      <c r="G95" s="25"/>
      <c r="H95" s="25"/>
      <c r="I95" s="25"/>
    </row>
    <row r="96" spans="1:23">
      <c r="D96" s="25"/>
      <c r="E96" s="25"/>
      <c r="F96" s="25"/>
      <c r="G96" s="25"/>
      <c r="H96" s="25"/>
      <c r="I96" s="25"/>
    </row>
    <row r="97" spans="4:9">
      <c r="D97" s="25"/>
      <c r="E97" s="25"/>
      <c r="F97" s="25"/>
      <c r="G97" s="25"/>
      <c r="H97" s="25"/>
      <c r="I97" s="25"/>
    </row>
    <row r="98" spans="4:9">
      <c r="D98" s="25"/>
      <c r="E98" s="25"/>
      <c r="F98" s="25"/>
      <c r="G98" s="25"/>
      <c r="H98" s="25"/>
      <c r="I98" s="25"/>
    </row>
    <row r="99" spans="4:9">
      <c r="D99" s="25"/>
      <c r="E99" s="25"/>
      <c r="F99" s="25"/>
      <c r="G99" s="25"/>
      <c r="H99" s="25"/>
      <c r="I99" s="25"/>
    </row>
    <row r="100" spans="4:9">
      <c r="D100" s="25"/>
      <c r="E100" s="25"/>
      <c r="F100" s="25"/>
      <c r="G100" s="25"/>
      <c r="H100" s="25"/>
      <c r="I100" s="25"/>
    </row>
    <row r="101" spans="4:9">
      <c r="D101" s="25"/>
      <c r="E101" s="25"/>
      <c r="F101" s="25"/>
      <c r="G101" s="25"/>
      <c r="H101" s="25"/>
      <c r="I101" s="25"/>
    </row>
    <row r="102" spans="4:9">
      <c r="D102" s="25"/>
      <c r="E102" s="25"/>
      <c r="F102" s="25"/>
      <c r="G102" s="25"/>
      <c r="H102" s="25"/>
      <c r="I102" s="25"/>
    </row>
    <row r="103" spans="4:9">
      <c r="D103" s="25"/>
      <c r="E103" s="25"/>
      <c r="F103" s="25"/>
      <c r="G103" s="25"/>
      <c r="H103" s="25"/>
      <c r="I103" s="25"/>
    </row>
    <row r="104" spans="4:9">
      <c r="D104" s="25"/>
      <c r="E104" s="25"/>
      <c r="F104" s="25"/>
      <c r="G104" s="25"/>
      <c r="H104" s="25"/>
      <c r="I104" s="25"/>
    </row>
    <row r="105" spans="4:9">
      <c r="D105" s="25"/>
      <c r="E105" s="25"/>
      <c r="F105" s="25"/>
      <c r="G105" s="25"/>
      <c r="H105" s="25"/>
      <c r="I105" s="25"/>
    </row>
    <row r="106" spans="4:9">
      <c r="D106" s="25"/>
      <c r="E106" s="25"/>
      <c r="F106" s="25"/>
      <c r="G106" s="25"/>
      <c r="H106" s="25"/>
      <c r="I106" s="25"/>
    </row>
    <row r="107" spans="4:9">
      <c r="D107" s="25"/>
      <c r="E107" s="25"/>
      <c r="F107" s="25"/>
      <c r="G107" s="25"/>
      <c r="H107" s="25"/>
      <c r="I107" s="25"/>
    </row>
    <row r="108" spans="4:9">
      <c r="D108" s="25"/>
      <c r="E108" s="25"/>
      <c r="F108" s="25"/>
      <c r="G108" s="25"/>
      <c r="H108" s="25"/>
      <c r="I108" s="25"/>
    </row>
    <row r="109" spans="4:9">
      <c r="D109" s="25"/>
      <c r="E109" s="25"/>
      <c r="F109" s="25"/>
      <c r="G109" s="25"/>
      <c r="H109" s="25"/>
      <c r="I109" s="25"/>
    </row>
    <row r="110" spans="4:9">
      <c r="D110" s="25"/>
      <c r="E110" s="25"/>
      <c r="F110" s="25"/>
      <c r="G110" s="25"/>
      <c r="H110" s="25"/>
      <c r="I110" s="25"/>
    </row>
    <row r="111" spans="4:9">
      <c r="D111" s="25"/>
      <c r="E111" s="25"/>
      <c r="F111" s="25"/>
      <c r="G111" s="25"/>
      <c r="H111" s="25"/>
      <c r="I111" s="25"/>
    </row>
    <row r="112" spans="4:9">
      <c r="D112" s="25"/>
      <c r="E112" s="25"/>
      <c r="F112" s="25"/>
      <c r="G112" s="25"/>
      <c r="H112" s="25"/>
      <c r="I112" s="25"/>
    </row>
    <row r="113" spans="4:9">
      <c r="D113" s="25"/>
      <c r="E113" s="25"/>
      <c r="F113" s="25"/>
      <c r="G113" s="25"/>
      <c r="H113" s="25"/>
      <c r="I113" s="25"/>
    </row>
    <row r="114" spans="4:9">
      <c r="D114" s="25"/>
      <c r="E114" s="25"/>
      <c r="F114" s="25"/>
      <c r="G114" s="25"/>
      <c r="H114" s="25"/>
      <c r="I114" s="25"/>
    </row>
    <row r="115" spans="4:9">
      <c r="D115" s="25"/>
      <c r="E115" s="25"/>
      <c r="F115" s="25"/>
      <c r="G115" s="25"/>
      <c r="H115" s="25"/>
      <c r="I115" s="25"/>
    </row>
    <row r="116" spans="4:9">
      <c r="D116" s="25"/>
      <c r="E116" s="25"/>
      <c r="F116" s="25"/>
      <c r="G116" s="25"/>
      <c r="H116" s="25"/>
      <c r="I116" s="25"/>
    </row>
    <row r="117" spans="4:9">
      <c r="D117" s="25"/>
      <c r="E117" s="25"/>
      <c r="F117" s="25"/>
      <c r="G117" s="25"/>
      <c r="H117" s="25"/>
      <c r="I117" s="25"/>
    </row>
    <row r="118" spans="4:9">
      <c r="D118" s="25"/>
      <c r="E118" s="25"/>
      <c r="F118" s="25"/>
      <c r="G118" s="25"/>
      <c r="H118" s="25"/>
      <c r="I118" s="25"/>
    </row>
    <row r="119" spans="4:9">
      <c r="D119" s="25"/>
      <c r="E119" s="25"/>
      <c r="F119" s="25"/>
      <c r="G119" s="25"/>
      <c r="H119" s="25"/>
      <c r="I119" s="25"/>
    </row>
    <row r="120" spans="4:9">
      <c r="D120" s="25"/>
      <c r="E120" s="25"/>
      <c r="F120" s="25"/>
      <c r="G120" s="25"/>
      <c r="H120" s="25"/>
      <c r="I120" s="25"/>
    </row>
    <row r="121" spans="4:9">
      <c r="D121" s="25"/>
      <c r="E121" s="25"/>
      <c r="F121" s="25"/>
      <c r="G121" s="25"/>
      <c r="H121" s="25"/>
      <c r="I121" s="25"/>
    </row>
    <row r="122" spans="4:9">
      <c r="D122" s="25"/>
      <c r="E122" s="25"/>
      <c r="F122" s="25"/>
      <c r="G122" s="25"/>
      <c r="H122" s="25"/>
      <c r="I122" s="25"/>
    </row>
    <row r="123" spans="4:9">
      <c r="D123" s="25"/>
      <c r="E123" s="25"/>
      <c r="F123" s="25"/>
      <c r="G123" s="25"/>
      <c r="H123" s="25"/>
      <c r="I123" s="25"/>
    </row>
    <row r="124" spans="4:9">
      <c r="D124" s="25"/>
      <c r="E124" s="25"/>
      <c r="F124" s="25"/>
      <c r="G124" s="25"/>
      <c r="H124" s="25"/>
      <c r="I124" s="25"/>
    </row>
    <row r="125" spans="4:9">
      <c r="D125" s="25"/>
      <c r="E125" s="25"/>
      <c r="F125" s="25"/>
      <c r="G125" s="25"/>
      <c r="H125" s="25"/>
      <c r="I125" s="25"/>
    </row>
    <row r="126" spans="4:9">
      <c r="D126" s="25"/>
      <c r="E126" s="25"/>
      <c r="F126" s="25"/>
      <c r="G126" s="25"/>
      <c r="H126" s="25"/>
      <c r="I126" s="25"/>
    </row>
    <row r="127" spans="4:9">
      <c r="D127" s="25"/>
      <c r="E127" s="25"/>
      <c r="F127" s="25"/>
      <c r="G127" s="25"/>
      <c r="H127" s="25"/>
      <c r="I127" s="25"/>
    </row>
    <row r="128" spans="4:9">
      <c r="D128" s="25"/>
      <c r="E128" s="25"/>
      <c r="F128" s="25"/>
      <c r="G128" s="25"/>
      <c r="H128" s="25"/>
      <c r="I128" s="25"/>
    </row>
    <row r="129" spans="4:9">
      <c r="D129" s="25"/>
      <c r="E129" s="25"/>
      <c r="F129" s="25"/>
      <c r="G129" s="25"/>
      <c r="H129" s="25"/>
      <c r="I129" s="25"/>
    </row>
    <row r="130" spans="4:9">
      <c r="D130" s="25"/>
      <c r="E130" s="25"/>
      <c r="F130" s="25"/>
      <c r="G130" s="25"/>
      <c r="H130" s="25"/>
      <c r="I130" s="25"/>
    </row>
    <row r="131" spans="4:9">
      <c r="D131" s="25"/>
      <c r="E131" s="25"/>
      <c r="F131" s="25"/>
      <c r="G131" s="25"/>
      <c r="H131" s="25"/>
      <c r="I131" s="25"/>
    </row>
    <row r="132" spans="4:9">
      <c r="D132" s="25"/>
      <c r="E132" s="25"/>
      <c r="F132" s="25"/>
      <c r="G132" s="25"/>
      <c r="H132" s="25"/>
      <c r="I132" s="25"/>
    </row>
    <row r="133" spans="4:9">
      <c r="D133" s="25"/>
      <c r="E133" s="25"/>
      <c r="F133" s="25"/>
      <c r="G133" s="25"/>
      <c r="H133" s="25"/>
      <c r="I133" s="25"/>
    </row>
    <row r="134" spans="4:9">
      <c r="D134" s="25"/>
      <c r="E134" s="25"/>
      <c r="F134" s="25"/>
      <c r="G134" s="25"/>
      <c r="H134" s="25"/>
      <c r="I134" s="25"/>
    </row>
    <row r="135" spans="4:9">
      <c r="D135" s="25"/>
      <c r="E135" s="25"/>
      <c r="F135" s="25"/>
      <c r="G135" s="25"/>
      <c r="H135" s="25"/>
      <c r="I135" s="25"/>
    </row>
    <row r="136" spans="4:9">
      <c r="D136" s="25"/>
      <c r="E136" s="25"/>
      <c r="F136" s="25"/>
      <c r="G136" s="25"/>
      <c r="H136" s="25"/>
      <c r="I136" s="25"/>
    </row>
    <row r="137" spans="4:9">
      <c r="D137" s="25"/>
      <c r="E137" s="25"/>
      <c r="F137" s="25"/>
      <c r="G137" s="25"/>
      <c r="H137" s="25"/>
      <c r="I137" s="25"/>
    </row>
    <row r="138" spans="4:9">
      <c r="D138" s="25"/>
      <c r="E138" s="25"/>
      <c r="F138" s="25"/>
      <c r="G138" s="25"/>
      <c r="H138" s="25"/>
      <c r="I138" s="25"/>
    </row>
    <row r="139" spans="4:9">
      <c r="D139" s="25"/>
      <c r="E139" s="25"/>
      <c r="F139" s="25"/>
      <c r="G139" s="25"/>
      <c r="H139" s="25"/>
      <c r="I139" s="25"/>
    </row>
    <row r="140" spans="4:9">
      <c r="D140" s="25"/>
      <c r="E140" s="25"/>
      <c r="F140" s="25"/>
      <c r="G140" s="25"/>
      <c r="H140" s="25"/>
      <c r="I140" s="25"/>
    </row>
    <row r="141" spans="4:9">
      <c r="D141" s="25"/>
      <c r="E141" s="25"/>
      <c r="F141" s="25"/>
      <c r="G141" s="25"/>
      <c r="H141" s="25"/>
      <c r="I141" s="25"/>
    </row>
    <row r="142" spans="4:9">
      <c r="D142" s="25"/>
      <c r="E142" s="25"/>
      <c r="F142" s="25"/>
      <c r="G142" s="25"/>
      <c r="H142" s="25"/>
      <c r="I142" s="25"/>
    </row>
    <row r="143" spans="4:9">
      <c r="D143" s="25"/>
      <c r="E143" s="25"/>
      <c r="F143" s="25"/>
      <c r="G143" s="25"/>
      <c r="H143" s="25"/>
      <c r="I143" s="25"/>
    </row>
    <row r="144" spans="4:9">
      <c r="D144" s="25"/>
      <c r="E144" s="25"/>
      <c r="F144" s="25"/>
      <c r="G144" s="25"/>
      <c r="H144" s="25"/>
      <c r="I144" s="25"/>
    </row>
    <row r="145" spans="4:9">
      <c r="D145" s="25"/>
      <c r="E145" s="25"/>
      <c r="F145" s="25"/>
      <c r="G145" s="25"/>
      <c r="H145" s="25"/>
      <c r="I145" s="25"/>
    </row>
    <row r="146" spans="4:9">
      <c r="D146" s="25"/>
      <c r="E146" s="25"/>
      <c r="F146" s="25"/>
      <c r="G146" s="25"/>
      <c r="H146" s="25"/>
      <c r="I146" s="25"/>
    </row>
    <row r="147" spans="4:9">
      <c r="D147" s="25"/>
      <c r="E147" s="25"/>
      <c r="F147" s="25"/>
      <c r="G147" s="25"/>
      <c r="H147" s="25"/>
      <c r="I147" s="25"/>
    </row>
    <row r="148" spans="4:9">
      <c r="D148" s="25"/>
      <c r="E148" s="25"/>
      <c r="F148" s="25"/>
      <c r="G148" s="25"/>
      <c r="H148" s="25"/>
      <c r="I148" s="25"/>
    </row>
    <row r="149" spans="4:9">
      <c r="D149" s="25"/>
      <c r="E149" s="25"/>
      <c r="F149" s="25"/>
      <c r="G149" s="25"/>
      <c r="H149" s="25"/>
      <c r="I149" s="25"/>
    </row>
    <row r="150" spans="4:9">
      <c r="D150" s="25"/>
      <c r="E150" s="25"/>
      <c r="F150" s="25"/>
      <c r="G150" s="25"/>
      <c r="H150" s="25"/>
      <c r="I150" s="25"/>
    </row>
    <row r="151" spans="4:9">
      <c r="D151" s="25"/>
      <c r="E151" s="25"/>
      <c r="F151" s="25"/>
      <c r="G151" s="25"/>
      <c r="H151" s="25"/>
      <c r="I151" s="25"/>
    </row>
    <row r="152" spans="4:9">
      <c r="D152" s="25"/>
      <c r="E152" s="25"/>
      <c r="F152" s="25"/>
      <c r="G152" s="25"/>
      <c r="H152" s="25"/>
      <c r="I152" s="25"/>
    </row>
    <row r="153" spans="4:9">
      <c r="D153" s="25"/>
      <c r="E153" s="25"/>
      <c r="F153" s="25"/>
      <c r="G153" s="25"/>
      <c r="H153" s="25"/>
      <c r="I153" s="25"/>
    </row>
    <row r="154" spans="4:9">
      <c r="D154" s="25"/>
      <c r="E154" s="25"/>
      <c r="F154" s="25"/>
      <c r="G154" s="25"/>
      <c r="H154" s="25"/>
      <c r="I154" s="25"/>
    </row>
    <row r="155" spans="4:9">
      <c r="D155" s="25"/>
      <c r="E155" s="25"/>
      <c r="F155" s="25"/>
      <c r="G155" s="25"/>
      <c r="H155" s="25"/>
      <c r="I155" s="25"/>
    </row>
    <row r="156" spans="4:9">
      <c r="D156" s="25"/>
      <c r="E156" s="25"/>
      <c r="F156" s="25"/>
      <c r="G156" s="25"/>
      <c r="H156" s="25"/>
      <c r="I156" s="25"/>
    </row>
    <row r="157" spans="4:9">
      <c r="D157" s="25"/>
      <c r="E157" s="25"/>
      <c r="F157" s="25"/>
      <c r="G157" s="25"/>
      <c r="H157" s="25"/>
      <c r="I157" s="25"/>
    </row>
    <row r="158" spans="4:9">
      <c r="D158" s="25"/>
      <c r="E158" s="25"/>
      <c r="F158" s="25"/>
      <c r="G158" s="25"/>
      <c r="H158" s="25"/>
      <c r="I158" s="25"/>
    </row>
    <row r="159" spans="4:9">
      <c r="D159" s="25"/>
      <c r="E159" s="25"/>
      <c r="F159" s="25"/>
      <c r="G159" s="25"/>
      <c r="H159" s="25"/>
      <c r="I159" s="25"/>
    </row>
    <row r="160" spans="4:9">
      <c r="D160" s="25"/>
      <c r="E160" s="25"/>
      <c r="F160" s="25"/>
      <c r="G160" s="25"/>
      <c r="H160" s="25"/>
      <c r="I160" s="25"/>
    </row>
    <row r="161" spans="4:9">
      <c r="D161" s="25"/>
      <c r="E161" s="25"/>
      <c r="F161" s="25"/>
      <c r="G161" s="25"/>
      <c r="H161" s="25"/>
      <c r="I161" s="25"/>
    </row>
    <row r="162" spans="4:9">
      <c r="D162" s="25"/>
      <c r="E162" s="25"/>
      <c r="F162" s="25"/>
      <c r="G162" s="25"/>
      <c r="H162" s="25"/>
      <c r="I162" s="25"/>
    </row>
    <row r="163" spans="4:9">
      <c r="D163" s="25"/>
      <c r="E163" s="25"/>
      <c r="F163" s="25"/>
      <c r="G163" s="25"/>
      <c r="H163" s="25"/>
      <c r="I163" s="25"/>
    </row>
    <row r="164" spans="4:9">
      <c r="D164" s="25"/>
      <c r="E164" s="25"/>
      <c r="F164" s="25"/>
      <c r="G164" s="25"/>
      <c r="H164" s="25"/>
      <c r="I164" s="25"/>
    </row>
    <row r="165" spans="4:9">
      <c r="D165" s="25"/>
      <c r="E165" s="25"/>
      <c r="F165" s="25"/>
      <c r="G165" s="25"/>
      <c r="H165" s="25"/>
      <c r="I165" s="25"/>
    </row>
    <row r="166" spans="4:9">
      <c r="D166" s="25"/>
      <c r="E166" s="25"/>
      <c r="F166" s="25"/>
      <c r="G166" s="25"/>
      <c r="H166" s="25"/>
      <c r="I166" s="25"/>
    </row>
    <row r="167" spans="4:9">
      <c r="D167" s="25"/>
      <c r="E167" s="25"/>
      <c r="F167" s="25"/>
      <c r="G167" s="25"/>
      <c r="H167" s="25"/>
      <c r="I167" s="25"/>
    </row>
    <row r="168" spans="4:9">
      <c r="D168" s="25"/>
      <c r="E168" s="25"/>
      <c r="F168" s="25"/>
      <c r="G168" s="25"/>
      <c r="H168" s="25"/>
      <c r="I168" s="25"/>
    </row>
    <row r="169" spans="4:9">
      <c r="D169" s="25"/>
      <c r="E169" s="25"/>
      <c r="F169" s="25"/>
      <c r="G169" s="25"/>
      <c r="H169" s="25"/>
      <c r="I169" s="25"/>
    </row>
    <row r="170" spans="4:9">
      <c r="D170" s="25"/>
      <c r="E170" s="25"/>
      <c r="F170" s="25"/>
      <c r="G170" s="25"/>
      <c r="H170" s="25"/>
      <c r="I170" s="25"/>
    </row>
    <row r="171" spans="4:9">
      <c r="D171" s="25"/>
      <c r="E171" s="25"/>
      <c r="F171" s="25"/>
      <c r="G171" s="25"/>
      <c r="H171" s="25"/>
      <c r="I171" s="25"/>
    </row>
    <row r="172" spans="4:9">
      <c r="D172" s="25"/>
      <c r="E172" s="25"/>
      <c r="F172" s="25"/>
      <c r="G172" s="25"/>
      <c r="H172" s="25"/>
      <c r="I172" s="25"/>
    </row>
    <row r="173" spans="4:9">
      <c r="D173" s="25"/>
      <c r="E173" s="25"/>
      <c r="F173" s="25"/>
      <c r="G173" s="25"/>
      <c r="H173" s="25"/>
      <c r="I173" s="25"/>
    </row>
    <row r="174" spans="4:9">
      <c r="D174" s="25"/>
      <c r="E174" s="25"/>
      <c r="F174" s="25"/>
      <c r="G174" s="25"/>
      <c r="H174" s="25"/>
      <c r="I174" s="25"/>
    </row>
    <row r="175" spans="4:9">
      <c r="D175" s="25"/>
      <c r="E175" s="25"/>
      <c r="F175" s="25"/>
      <c r="G175" s="25"/>
      <c r="H175" s="25"/>
      <c r="I175" s="25"/>
    </row>
    <row r="176" spans="4:9">
      <c r="D176" s="25"/>
      <c r="E176" s="25"/>
      <c r="F176" s="25"/>
      <c r="G176" s="25"/>
      <c r="H176" s="25"/>
      <c r="I176" s="25"/>
    </row>
    <row r="177" spans="4:9">
      <c r="D177" s="25"/>
      <c r="E177" s="25"/>
      <c r="F177" s="25"/>
      <c r="G177" s="25"/>
      <c r="H177" s="25"/>
      <c r="I177" s="25"/>
    </row>
    <row r="178" spans="4:9">
      <c r="D178" s="25"/>
      <c r="E178" s="25"/>
      <c r="F178" s="25"/>
      <c r="G178" s="25"/>
      <c r="H178" s="25"/>
      <c r="I178" s="25"/>
    </row>
    <row r="179" spans="4:9">
      <c r="D179" s="25"/>
      <c r="E179" s="25"/>
      <c r="F179" s="25"/>
      <c r="G179" s="25"/>
      <c r="H179" s="25"/>
      <c r="I179" s="25"/>
    </row>
    <row r="180" spans="4:9">
      <c r="D180" s="25"/>
      <c r="E180" s="25"/>
      <c r="F180" s="25"/>
      <c r="G180" s="25"/>
      <c r="H180" s="25"/>
      <c r="I180" s="25"/>
    </row>
    <row r="181" spans="4:9">
      <c r="D181" s="25"/>
      <c r="E181" s="25"/>
      <c r="F181" s="25"/>
      <c r="G181" s="25"/>
      <c r="H181" s="25"/>
      <c r="I181" s="25"/>
    </row>
    <row r="182" spans="4:9">
      <c r="D182" s="25"/>
      <c r="E182" s="25"/>
      <c r="F182" s="25"/>
      <c r="G182" s="25"/>
      <c r="H182" s="25"/>
      <c r="I182" s="25"/>
    </row>
    <row r="183" spans="4:9">
      <c r="D183" s="25"/>
      <c r="E183" s="25"/>
      <c r="F183" s="25"/>
      <c r="G183" s="25"/>
      <c r="H183" s="25"/>
      <c r="I183" s="25"/>
    </row>
    <row r="184" spans="4:9">
      <c r="D184" s="25"/>
      <c r="E184" s="25"/>
      <c r="F184" s="25"/>
      <c r="G184" s="25"/>
      <c r="H184" s="25"/>
      <c r="I184" s="25"/>
    </row>
    <row r="185" spans="4:9">
      <c r="D185" s="25"/>
      <c r="E185" s="25"/>
      <c r="F185" s="25"/>
      <c r="G185" s="25"/>
      <c r="H185" s="25"/>
      <c r="I185" s="25"/>
    </row>
    <row r="186" spans="4:9">
      <c r="D186" s="25"/>
      <c r="E186" s="25"/>
      <c r="F186" s="25"/>
      <c r="G186" s="25"/>
      <c r="H186" s="25"/>
      <c r="I186" s="25"/>
    </row>
    <row r="187" spans="4:9">
      <c r="D187" s="25"/>
      <c r="E187" s="25"/>
      <c r="F187" s="25"/>
      <c r="G187" s="25"/>
      <c r="H187" s="25"/>
      <c r="I187" s="25"/>
    </row>
    <row r="188" spans="4:9">
      <c r="D188" s="25"/>
      <c r="E188" s="25"/>
      <c r="F188" s="25"/>
      <c r="G188" s="25"/>
      <c r="H188" s="25"/>
      <c r="I188" s="25"/>
    </row>
    <row r="189" spans="4:9">
      <c r="D189" s="25"/>
      <c r="E189" s="25"/>
      <c r="F189" s="25"/>
      <c r="G189" s="25"/>
      <c r="H189" s="25"/>
      <c r="I189" s="25"/>
    </row>
    <row r="190" spans="4:9">
      <c r="D190" s="25"/>
      <c r="E190" s="25"/>
      <c r="F190" s="25"/>
      <c r="G190" s="25"/>
      <c r="H190" s="25"/>
      <c r="I190" s="25"/>
    </row>
    <row r="191" spans="4:9">
      <c r="D191" s="25"/>
      <c r="E191" s="25"/>
      <c r="F191" s="25"/>
      <c r="G191" s="25"/>
      <c r="H191" s="25"/>
      <c r="I191" s="25"/>
    </row>
  </sheetData>
  <mergeCells count="1">
    <mergeCell ref="N3:S3"/>
  </mergeCells>
  <conditionalFormatting sqref="S1">
    <cfRule type="cellIs" dxfId="79" priority="103" operator="equal">
      <formula>"Check"</formula>
    </cfRule>
    <cfRule type="cellIs" dxfId="78" priority="104" operator="equal">
      <formula>"Ok"</formula>
    </cfRule>
  </conditionalFormatting>
  <conditionalFormatting sqref="V1">
    <cfRule type="cellIs" dxfId="77" priority="105" operator="equal">
      <formula>"Check"</formula>
    </cfRule>
    <cfRule type="cellIs" dxfId="76" priority="106" operator="equal">
      <formula>"Ok"</formula>
    </cfRule>
  </conditionalFormatting>
  <conditionalFormatting sqref="R24:S24 R27:S27 R30:S30 R33:S33 J12:S14">
    <cfRule type="cellIs" dxfId="75" priority="102" operator="equal">
      <formula>0</formula>
    </cfRule>
  </conditionalFormatting>
  <conditionalFormatting sqref="J13:S13">
    <cfRule type="cellIs" dxfId="74" priority="101" operator="equal">
      <formula>0</formula>
    </cfRule>
  </conditionalFormatting>
  <conditionalFormatting sqref="J46:M50 O46:S50">
    <cfRule type="cellIs" dxfId="73" priority="96" operator="equal">
      <formula>0</formula>
    </cfRule>
  </conditionalFormatting>
  <conditionalFormatting sqref="J59:S67 J75:S77">
    <cfRule type="cellIs" dxfId="72" priority="94" operator="equal">
      <formula>0</formula>
    </cfRule>
  </conditionalFormatting>
  <conditionalFormatting sqref="J21:S21 J36:S39">
    <cfRule type="cellIs" dxfId="71" priority="91" operator="equal">
      <formula>0</formula>
    </cfRule>
  </conditionalFormatting>
  <conditionalFormatting sqref="J86:S87">
    <cfRule type="cellIs" dxfId="70" priority="90" operator="equal">
      <formula>0</formula>
    </cfRule>
  </conditionalFormatting>
  <conditionalFormatting sqref="J86:S87">
    <cfRule type="cellIs" dxfId="69" priority="89" operator="equal">
      <formula>0</formula>
    </cfRule>
  </conditionalFormatting>
  <conditionalFormatting sqref="J31:S31">
    <cfRule type="cellIs" dxfId="68" priority="52" operator="equal">
      <formula>0</formula>
    </cfRule>
  </conditionalFormatting>
  <conditionalFormatting sqref="J24:Q24 J27:Q27 J30:Q30">
    <cfRule type="cellIs" dxfId="67" priority="70" operator="equal">
      <formula>0</formula>
    </cfRule>
  </conditionalFormatting>
  <conditionalFormatting sqref="J24:Q24 J27:Q27 J30:Q30">
    <cfRule type="cellIs" dxfId="66" priority="69" operator="equal">
      <formula>0</formula>
    </cfRule>
  </conditionalFormatting>
  <conditionalFormatting sqref="J22:S22">
    <cfRule type="cellIs" dxfId="65" priority="65" operator="equal">
      <formula>0</formula>
    </cfRule>
  </conditionalFormatting>
  <conditionalFormatting sqref="J22:S22">
    <cfRule type="cellIs" dxfId="64" priority="64" operator="equal">
      <formula>0</formula>
    </cfRule>
  </conditionalFormatting>
  <conditionalFormatting sqref="J33:Q33">
    <cfRule type="cellIs" dxfId="63" priority="55" operator="equal">
      <formula>0</formula>
    </cfRule>
  </conditionalFormatting>
  <conditionalFormatting sqref="J33:Q33">
    <cfRule type="cellIs" dxfId="62" priority="54" operator="equal">
      <formula>0</formula>
    </cfRule>
  </conditionalFormatting>
  <conditionalFormatting sqref="J25:S25">
    <cfRule type="cellIs" dxfId="61" priority="61" operator="equal">
      <formula>0</formula>
    </cfRule>
  </conditionalFormatting>
  <conditionalFormatting sqref="J25:S25">
    <cfRule type="cellIs" dxfId="60" priority="60" operator="equal">
      <formula>0</formula>
    </cfRule>
  </conditionalFormatting>
  <conditionalFormatting sqref="J31:S31">
    <cfRule type="cellIs" dxfId="59" priority="53" operator="equal">
      <formula>0</formula>
    </cfRule>
  </conditionalFormatting>
  <conditionalFormatting sqref="J28:S28">
    <cfRule type="cellIs" dxfId="58" priority="57" operator="equal">
      <formula>0</formula>
    </cfRule>
  </conditionalFormatting>
  <conditionalFormatting sqref="J28:S28">
    <cfRule type="cellIs" dxfId="57" priority="56" operator="equal">
      <formula>0</formula>
    </cfRule>
  </conditionalFormatting>
  <conditionalFormatting sqref="J34:S34">
    <cfRule type="cellIs" dxfId="56" priority="47" operator="equal">
      <formula>0</formula>
    </cfRule>
  </conditionalFormatting>
  <conditionalFormatting sqref="J34:S34">
    <cfRule type="cellIs" dxfId="55" priority="48" operator="equal">
      <formula>0</formula>
    </cfRule>
  </conditionalFormatting>
  <conditionalFormatting sqref="J23:S23">
    <cfRule type="cellIs" dxfId="54" priority="46" operator="equal">
      <formula>0</formula>
    </cfRule>
  </conditionalFormatting>
  <conditionalFormatting sqref="J23:S23">
    <cfRule type="cellIs" dxfId="53" priority="45" operator="equal">
      <formula>0</formula>
    </cfRule>
  </conditionalFormatting>
  <conditionalFormatting sqref="J26:S26">
    <cfRule type="cellIs" dxfId="52" priority="44" operator="equal">
      <formula>0</formula>
    </cfRule>
  </conditionalFormatting>
  <conditionalFormatting sqref="J26:S26">
    <cfRule type="cellIs" dxfId="51" priority="43" operator="equal">
      <formula>0</formula>
    </cfRule>
  </conditionalFormatting>
  <conditionalFormatting sqref="J29:S29">
    <cfRule type="cellIs" dxfId="50" priority="42" operator="equal">
      <formula>0</formula>
    </cfRule>
  </conditionalFormatting>
  <conditionalFormatting sqref="J29:S29">
    <cfRule type="cellIs" dxfId="49" priority="41" operator="equal">
      <formula>0</formula>
    </cfRule>
  </conditionalFormatting>
  <conditionalFormatting sqref="J32:S32">
    <cfRule type="cellIs" dxfId="48" priority="40" operator="equal">
      <formula>0</formula>
    </cfRule>
  </conditionalFormatting>
  <conditionalFormatting sqref="J32:S32">
    <cfRule type="cellIs" dxfId="47" priority="39" operator="equal">
      <formula>0</formula>
    </cfRule>
  </conditionalFormatting>
  <conditionalFormatting sqref="J35:S35">
    <cfRule type="cellIs" dxfId="46" priority="38" operator="equal">
      <formula>0</formula>
    </cfRule>
  </conditionalFormatting>
  <conditionalFormatting sqref="J35:S35">
    <cfRule type="cellIs" dxfId="45" priority="37" operator="equal">
      <formula>0</formula>
    </cfRule>
  </conditionalFormatting>
  <conditionalFormatting sqref="J85:S85">
    <cfRule type="cellIs" dxfId="44" priority="26" operator="equal">
      <formula>0</formula>
    </cfRule>
  </conditionalFormatting>
  <conditionalFormatting sqref="J85:S85">
    <cfRule type="cellIs" dxfId="43" priority="25" operator="equal">
      <formula>0</formula>
    </cfRule>
  </conditionalFormatting>
  <conditionalFormatting sqref="J10:S10">
    <cfRule type="expression" dxfId="42" priority="24">
      <formula>J$10=J$4</formula>
    </cfRule>
  </conditionalFormatting>
  <conditionalFormatting sqref="J17:S17">
    <cfRule type="expression" dxfId="41" priority="23">
      <formula>J$10=J$4</formula>
    </cfRule>
  </conditionalFormatting>
  <conditionalFormatting sqref="J39:S39">
    <cfRule type="expression" dxfId="40" priority="22">
      <formula>J$10=J$4</formula>
    </cfRule>
  </conditionalFormatting>
  <conditionalFormatting sqref="J18:S19">
    <cfRule type="cellIs" dxfId="39" priority="19" operator="equal">
      <formula>0</formula>
    </cfRule>
  </conditionalFormatting>
  <conditionalFormatting sqref="J53:M53 O53:S53">
    <cfRule type="cellIs" dxfId="38" priority="15" operator="equal">
      <formula>0</formula>
    </cfRule>
  </conditionalFormatting>
  <conditionalFormatting sqref="J20:S20">
    <cfRule type="cellIs" dxfId="37" priority="14" operator="equal">
      <formula>0</formula>
    </cfRule>
  </conditionalFormatting>
  <conditionalFormatting sqref="J20:S20">
    <cfRule type="cellIs" dxfId="36" priority="13" operator="equal">
      <formula>0</formula>
    </cfRule>
  </conditionalFormatting>
  <conditionalFormatting sqref="J15:S16">
    <cfRule type="cellIs" dxfId="35" priority="10" operator="equal">
      <formula>0</formula>
    </cfRule>
  </conditionalFormatting>
  <conditionalFormatting sqref="J16:S16">
    <cfRule type="cellIs" dxfId="34" priority="9" operator="equal">
      <formula>0</formula>
    </cfRule>
  </conditionalFormatting>
  <conditionalFormatting sqref="J52:M52 O52:S52">
    <cfRule type="expression" dxfId="33" priority="141">
      <formula>J$43=J$4</formula>
    </cfRule>
    <cfRule type="cellIs" dxfId="32" priority="142" operator="equal">
      <formula>0</formula>
    </cfRule>
  </conditionalFormatting>
  <conditionalFormatting sqref="J79:S79">
    <cfRule type="expression" dxfId="31" priority="143">
      <formula>J$73=J$4</formula>
    </cfRule>
    <cfRule type="cellIs" dxfId="30" priority="144" operator="equal">
      <formula>0</formula>
    </cfRule>
  </conditionalFormatting>
  <conditionalFormatting sqref="J69:S69">
    <cfRule type="expression" dxfId="29" priority="145">
      <formula>J$57=J$4</formula>
    </cfRule>
    <cfRule type="cellIs" dxfId="28" priority="146" operator="equal">
      <formula>0</formula>
    </cfRule>
  </conditionalFormatting>
  <conditionalFormatting sqref="J57:S57 J73:S73 J43:S43">
    <cfRule type="expression" dxfId="27" priority="147">
      <formula>J$43=J$4</formula>
    </cfRule>
  </conditionalFormatting>
  <conditionalFormatting sqref="J83:S83">
    <cfRule type="expression" dxfId="26" priority="150">
      <formula>J$83=J$4</formula>
    </cfRule>
  </conditionalFormatting>
  <conditionalFormatting sqref="N46:N50">
    <cfRule type="cellIs" dxfId="25" priority="2" operator="equal">
      <formula>0</formula>
    </cfRule>
  </conditionalFormatting>
  <conditionalFormatting sqref="N53">
    <cfRule type="cellIs" dxfId="24" priority="1" operator="equal">
      <formula>0</formula>
    </cfRule>
  </conditionalFormatting>
  <conditionalFormatting sqref="N52">
    <cfRule type="expression" dxfId="23" priority="3">
      <formula>N$43=N$4</formula>
    </cfRule>
    <cfRule type="cellIs" dxfId="22" priority="4" operator="equal">
      <formula>0</formula>
    </cfRule>
  </conditionalFormatting>
  <dataValidations disablePrompts="1" count="2">
    <dataValidation type="list" allowBlank="1" showInputMessage="1" showErrorMessage="1" sqref="F80 F78 F88 F70">
      <formula1>"Real 2010,Real 2011,Real 2012,Real 2013,Real 2014,Real 2015,Nominal"</formula1>
    </dataValidation>
    <dataValidation type="list" allowBlank="1" showInputMessage="1" showErrorMessage="1" sqref="F68">
      <formula1>$G$45:$G$51</formula1>
    </dataValidation>
  </dataValidations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disablePrompts="1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'Lookup|Tables'!$H$65:$H$69</xm:f>
          </x14:formula1>
          <xm:sqref>F8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3" tint="0.59999389629810485"/>
  </sheetPr>
  <dimension ref="A1:AU53"/>
  <sheetViews>
    <sheetView showGridLines="0" tabSelected="1" zoomScaleNormal="100" workbookViewId="0">
      <selection activeCell="O13" sqref="O13:S13"/>
    </sheetView>
  </sheetViews>
  <sheetFormatPr defaultColWidth="0" defaultRowHeight="11.25" zeroHeight="1"/>
  <cols>
    <col min="1" max="2" width="1.5" style="25" customWidth="1"/>
    <col min="3" max="3" width="59.6640625" style="25" bestFit="1" customWidth="1"/>
    <col min="4" max="4" width="27.6640625" style="26" customWidth="1"/>
    <col min="5" max="5" width="15.83203125" style="26" customWidth="1"/>
    <col min="6" max="6" width="10.6640625" style="26" customWidth="1"/>
    <col min="7" max="9" width="3.33203125" style="26" customWidth="1"/>
    <col min="10" max="23" width="10.83203125" style="25" customWidth="1"/>
    <col min="24" max="47" width="9.33203125" style="25" customWidth="1"/>
    <col min="48" max="16384" width="10.5" style="25" hidden="1"/>
  </cols>
  <sheetData>
    <row r="1" spans="1:23" s="58" customFormat="1" ht="15.75">
      <c r="B1" s="59" t="str">
        <f>Index!$B$1</f>
        <v>AER opex model</v>
      </c>
      <c r="C1" s="59"/>
      <c r="D1" s="59"/>
      <c r="E1" s="59"/>
      <c r="F1" s="60"/>
      <c r="G1" s="60"/>
      <c r="H1" s="60"/>
      <c r="I1" s="60"/>
      <c r="J1" s="33" t="s">
        <v>2</v>
      </c>
      <c r="L1" s="61" t="s">
        <v>3</v>
      </c>
      <c r="M1" s="62" t="s">
        <v>4</v>
      </c>
      <c r="N1" s="63" t="s">
        <v>5</v>
      </c>
      <c r="O1" s="64" t="s">
        <v>6</v>
      </c>
      <c r="R1" s="61" t="s">
        <v>86</v>
      </c>
      <c r="S1" s="65" t="s">
        <v>36</v>
      </c>
      <c r="U1" s="169" t="s">
        <v>24</v>
      </c>
      <c r="V1" s="65" t="str">
        <f>'Check|List'!$S$1</f>
        <v>Ok</v>
      </c>
    </row>
    <row r="2" spans="1:23" s="66" customFormat="1" ht="13.5" thickBot="1">
      <c r="B2" s="67" t="str">
        <f>Index!$C$13</f>
        <v>Output | Models</v>
      </c>
      <c r="C2" s="67"/>
      <c r="D2" s="67"/>
      <c r="E2" s="67"/>
      <c r="F2" s="68"/>
      <c r="G2" s="68"/>
      <c r="H2" s="68"/>
      <c r="I2" s="68"/>
    </row>
    <row r="3" spans="1:23" s="69" customFormat="1">
      <c r="C3" s="70"/>
      <c r="D3" s="164"/>
      <c r="E3" s="164"/>
      <c r="F3" s="164"/>
      <c r="G3" s="164"/>
      <c r="H3" s="164"/>
      <c r="I3" s="164"/>
      <c r="J3" s="154" t="s">
        <v>121</v>
      </c>
      <c r="K3" s="154"/>
      <c r="L3" s="154"/>
      <c r="M3" s="164"/>
      <c r="N3" s="210"/>
      <c r="O3" s="210"/>
      <c r="P3" s="210"/>
      <c r="Q3" s="210"/>
      <c r="R3" s="210"/>
      <c r="S3" s="210"/>
      <c r="T3" s="71"/>
      <c r="U3" s="71"/>
      <c r="V3" s="71"/>
      <c r="W3" s="71"/>
    </row>
    <row r="4" spans="1:23" s="85" customFormat="1">
      <c r="A4" s="72"/>
      <c r="B4" s="72"/>
      <c r="C4" s="72"/>
      <c r="D4" s="73" t="s">
        <v>7</v>
      </c>
      <c r="E4" s="73" t="s">
        <v>8</v>
      </c>
      <c r="F4" s="74" t="s">
        <v>22</v>
      </c>
      <c r="G4" s="75"/>
      <c r="H4" s="75"/>
      <c r="I4" s="75"/>
      <c r="J4" s="138">
        <f>DATE(PPFirstYear,MONTH('Input|General'!$G$9),1)</f>
        <v>42156</v>
      </c>
      <c r="K4" s="138">
        <f>DATE(PPFirstYear+1,MONTH('Input|General'!$G$9),1)</f>
        <v>42522</v>
      </c>
      <c r="L4" s="138">
        <f>DATE(PPFirstYear+2,MONTH('Input|General'!$G$9),1)</f>
        <v>42887</v>
      </c>
      <c r="M4" s="138">
        <f>DATE(PPFirstYear+3,MONTH('Input|General'!$G$9),1)</f>
        <v>43252</v>
      </c>
      <c r="N4" s="138">
        <f>DATE(PPFirstYear+4,MONTH('Input|General'!$G$9),1)</f>
        <v>43617</v>
      </c>
      <c r="O4" s="138">
        <f>DATE(PPFirstYear+5,MONTH('Input|General'!$G$9),1)</f>
        <v>43983</v>
      </c>
      <c r="P4" s="138">
        <f>DATE(PPFirstYear+6,MONTH('Input|General'!$G$9),1)</f>
        <v>44348</v>
      </c>
      <c r="Q4" s="138">
        <f>DATE(PPFirstYear+7,MONTH('Input|General'!$G$9),1)</f>
        <v>44713</v>
      </c>
      <c r="R4" s="138">
        <f>DATE(PPFirstYear+8,MONTH('Input|General'!$G$9),1)</f>
        <v>45078</v>
      </c>
      <c r="S4" s="138">
        <f>DATE(PPFirstYear+9,MONTH('Input|General'!$G$9),1)</f>
        <v>45444</v>
      </c>
      <c r="T4" s="76"/>
      <c r="U4" s="76"/>
      <c r="V4" s="77"/>
      <c r="W4" s="77"/>
    </row>
    <row r="5" spans="1:23" s="23" customFormat="1" ht="3" customHeight="1">
      <c r="D5" s="24"/>
      <c r="E5" s="24"/>
      <c r="F5" s="24"/>
      <c r="G5" s="24"/>
      <c r="H5" s="24"/>
      <c r="I5" s="24"/>
    </row>
    <row r="6" spans="1:23" s="23" customFormat="1" ht="9" customHeight="1">
      <c r="D6" s="24"/>
      <c r="E6" s="24"/>
      <c r="F6" s="24"/>
      <c r="G6" s="24"/>
      <c r="H6" s="24"/>
      <c r="I6" s="24"/>
    </row>
    <row r="7" spans="1:23" s="23" customFormat="1" ht="3" customHeight="1">
      <c r="D7" s="24"/>
      <c r="E7" s="24"/>
      <c r="F7" s="24"/>
      <c r="G7" s="24"/>
      <c r="H7" s="24"/>
      <c r="I7" s="24"/>
    </row>
    <row r="8" spans="1:23" s="85" customFormat="1" ht="12.75">
      <c r="A8" s="79"/>
      <c r="B8" s="80" t="s">
        <v>58</v>
      </c>
      <c r="C8" s="79"/>
      <c r="D8" s="79"/>
      <c r="E8" s="57" t="s">
        <v>15</v>
      </c>
      <c r="F8" s="188">
        <f>DATE(PPLastYear,MONTH('Input|General'!$G$9),1)</f>
        <v>43617</v>
      </c>
      <c r="G8" s="81"/>
      <c r="H8" s="81"/>
      <c r="I8" s="81"/>
      <c r="J8" s="131" t="s">
        <v>59</v>
      </c>
      <c r="K8" s="83"/>
      <c r="L8" s="82"/>
      <c r="M8" s="83"/>
      <c r="N8" s="82"/>
      <c r="O8" s="82"/>
      <c r="P8" s="82"/>
      <c r="Q8" s="82"/>
      <c r="R8" s="82"/>
      <c r="S8" s="82"/>
      <c r="T8" s="82"/>
      <c r="U8" s="82"/>
      <c r="V8" s="83"/>
      <c r="W8" s="83"/>
    </row>
    <row r="9" spans="1:23" ht="4.7" customHeight="1"/>
    <row r="10" spans="1:23">
      <c r="M10" s="89"/>
      <c r="N10" s="89"/>
      <c r="O10" s="89"/>
      <c r="P10" s="89"/>
      <c r="Q10" s="89"/>
      <c r="R10" s="89"/>
      <c r="S10" s="89"/>
    </row>
    <row r="11" spans="1:23">
      <c r="C11" s="56" t="s">
        <v>46</v>
      </c>
      <c r="D11" s="28" t="s">
        <v>7</v>
      </c>
      <c r="E11" s="28" t="s">
        <v>8</v>
      </c>
      <c r="F11" s="28" t="s">
        <v>22</v>
      </c>
      <c r="H11" s="28"/>
      <c r="I11" s="28"/>
      <c r="J11" s="145" t="str">
        <f>IF(YEAR(J$4)&gt;='Input|General'!$G$13,IF(YEAR(J$4)&lt;='Input|General'!$G$14,J$4,""),"")</f>
        <v/>
      </c>
      <c r="K11" s="145" t="str">
        <f>IF(YEAR(K$4)&gt;='Input|General'!$G$13,IF(YEAR(K$4)&lt;='Input|General'!$G$14,K$4,""),"")</f>
        <v/>
      </c>
      <c r="L11" s="145" t="str">
        <f>IF(YEAR(L$4)&gt;='Input|General'!$G$13,IF(YEAR(L$4)&lt;='Input|General'!$G$14,L$4,""),"")</f>
        <v/>
      </c>
      <c r="M11" s="145" t="str">
        <f>IF(YEAR(M$4)&gt;='Input|General'!$G$13,IF(YEAR(M$4)&lt;='Input|General'!$G$14,M$4,""),"")</f>
        <v/>
      </c>
      <c r="N11" s="145" t="str">
        <f>IF(YEAR(N$4)&gt;='Input|General'!$G$13,IF(YEAR(N$4)&lt;='Input|General'!$G$14,N$4,""),"")</f>
        <v/>
      </c>
      <c r="O11" s="145">
        <f>IF(YEAR(O$4)&gt;='Input|General'!$G$13,IF(YEAR(O$4)&lt;='Input|General'!$G$14,O$4,""),"")</f>
        <v>43983</v>
      </c>
      <c r="P11" s="145">
        <f>IF(YEAR(P$4)&gt;='Input|General'!$G$13,IF(YEAR(P$4)&lt;='Input|General'!$G$14,P$4,""),"")</f>
        <v>44348</v>
      </c>
      <c r="Q11" s="145">
        <f>IF(YEAR(Q$4)&gt;='Input|General'!$G$13,IF(YEAR(Q$4)&lt;='Input|General'!$G$14,Q$4,""),"")</f>
        <v>44713</v>
      </c>
      <c r="R11" s="145">
        <f>IF(YEAR(R$4)&gt;='Input|General'!$G$13,IF(YEAR(R$4)&lt;='Input|General'!$G$14,R$4,""),"")</f>
        <v>45078</v>
      </c>
      <c r="S11" s="145">
        <f>IF(YEAR(S$4)&gt;='Input|General'!$G$13,IF(YEAR(S$4)&lt;='Input|General'!$G$14,S$4,""),"")</f>
        <v>45444</v>
      </c>
      <c r="U11" s="119" t="s">
        <v>57</v>
      </c>
      <c r="V11" s="120"/>
      <c r="W11" s="120"/>
    </row>
    <row r="12" spans="1:23">
      <c r="C12" s="56"/>
      <c r="D12" s="28"/>
      <c r="E12" s="28"/>
      <c r="F12" s="28"/>
      <c r="H12" s="28"/>
      <c r="I12" s="28"/>
      <c r="J12" s="145"/>
      <c r="K12" s="145"/>
      <c r="L12" s="145"/>
      <c r="M12" s="145"/>
      <c r="N12" s="145"/>
      <c r="O12" s="145"/>
      <c r="P12" s="145"/>
      <c r="Q12" s="145"/>
      <c r="R12" s="145"/>
      <c r="S12" s="145"/>
      <c r="U12" s="106"/>
      <c r="V12" s="124"/>
      <c r="W12" s="124"/>
    </row>
    <row r="13" spans="1:23">
      <c r="C13" s="93" t="str">
        <f>'Calc|Opex forecast'!C85</f>
        <v>Total forecast opex, excluding category specific forecasts</v>
      </c>
      <c r="D13" s="30" t="s">
        <v>109</v>
      </c>
      <c r="E13" s="26" t="str">
        <f>$E$8</f>
        <v>$millions</v>
      </c>
      <c r="F13" s="143">
        <f>$F$8</f>
        <v>43617</v>
      </c>
      <c r="H13" s="28"/>
      <c r="I13" s="28"/>
      <c r="J13" s="162">
        <f>IF(J11="",0,'Calc|Opex forecast'!J85*IF('Calc|Opex forecast'!$F$85="nominal",LOOKUP($F13,Nominal_to_Real,'Input|Rate of change'!P$25:P$30),INDEX('Input|Rate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0</v>
      </c>
      <c r="K13" s="162">
        <f>IF(K11="",0,'Calc|Opex forecast'!K85*IF('Calc|Opex forecast'!$F$85="nominal",LOOKUP($F13,Nominal_to_Real,'Input|Rate of change'!Q$25:Q$30),INDEX('Input|Rate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0</v>
      </c>
      <c r="L13" s="162">
        <f>IF(L11="",0,'Calc|Opex forecast'!L85*IF('Calc|Opex forecast'!$F$85="nominal",LOOKUP($F13,Nominal_to_Real,'Input|Rate of change'!R$25:R$30),INDEX('Input|Rate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0</v>
      </c>
      <c r="M13" s="162">
        <f>IF(M11="",0,'Calc|Opex forecast'!M85*IF('Calc|Opex forecast'!$F$85="nominal",LOOKUP($F13,Nominal_to_Real,'Input|Rate of change'!S$25:S$30),INDEX('Input|Rate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0</v>
      </c>
      <c r="N13" s="162">
        <f>IF(N11="",0,'Calc|Opex forecast'!N85*IF('Calc|Opex forecast'!$F$85="nominal",LOOKUP($F13,Nominal_to_Real,'Input|Rate of change'!T$25:T$30),INDEX('Input|Rate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0</v>
      </c>
      <c r="O13" s="162">
        <f>IF(O11="",0,'Calc|Opex forecast'!O85*IF('Calc|Opex forecast'!$F$85="nominal",LOOKUP($F13,Nominal_to_Real,'Input|Rate of change'!U$25:U$30),INDEX('Input|Rate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5.4389480822671592</v>
      </c>
      <c r="P13" s="162">
        <f>IF(P11="",0,'Calc|Opex forecast'!P85*IF('Calc|Opex forecast'!$F$85="nominal",LOOKUP($F13,Nominal_to_Real,'Input|Rate of change'!V$25:V$30),INDEX('Input|Rate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5.3630365625668626</v>
      </c>
      <c r="Q13" s="162">
        <f>IF(Q11="",0,'Calc|Opex forecast'!Q85*IF('Calc|Opex forecast'!$F$85="nominal",LOOKUP($F13,Nominal_to_Real,'Input|Rate of change'!W$25:W$30),INDEX('Input|Rate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5.2991906326552387</v>
      </c>
      <c r="R13" s="162">
        <f>IF(R11="",0,'Calc|Opex forecast'!R85*IF('Calc|Opex forecast'!$F$85="nominal",LOOKUP($F13,Nominal_to_Real,'Input|Rate of change'!#REF!),INDEX('Input|Rate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5.2243107794154735</v>
      </c>
      <c r="S13" s="162">
        <f>IF(S11="",0,'Calc|Opex forecast'!S85*IF('Calc|Opex forecast'!$F$85="nominal",LOOKUP($F13,Nominal_to_Real,'Input|Rate of change'!#REF!),INDEX('Input|Rate of change'!$C$14:$O$21,MATCH('Calc|Opex forecast'!$F$85,'Input|Rate of change'!$C$14:$C$21,0),MATCH('Output|Models'!$F13,'Input|Rate of change'!$C$14:$O$14,0)))*IF('Calc|Opex forecast'!$E$85="$millions",1000000,IF('Calc|Opex forecast'!$E$85="$000",1000,1))/IF($E13="$millions",1000000,IF($E13="$000",1000,1)))</f>
        <v>5.1549017042943275</v>
      </c>
      <c r="T13" s="93"/>
      <c r="U13" s="134"/>
    </row>
    <row r="14" spans="1:23">
      <c r="C14" s="93">
        <f>'Input|Step changes'!C28</f>
        <v>0</v>
      </c>
      <c r="D14" s="30" t="s">
        <v>109</v>
      </c>
      <c r="E14" s="26" t="str">
        <f>$E$8</f>
        <v>$millions</v>
      </c>
      <c r="F14" s="143">
        <f>$F$8</f>
        <v>43617</v>
      </c>
      <c r="H14" s="28"/>
      <c r="I14" s="28"/>
      <c r="J14" s="162">
        <f>IF(J$11="",0,'Calc|Opex forecast'!J75*IF('Calc|Opex forecast'!$F75="nominal",LOOKUP($F14,Nominal_to_Real,'Input|Rate of change'!P$25:P$30),INDEX('Input|Rate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K14" s="162">
        <f>IF(K$11="",0,'Calc|Opex forecast'!K75*IF('Calc|Opex forecast'!$F75="nominal",LOOKUP($F14,Nominal_to_Real,'Input|Rate of change'!Q$25:Q$30),INDEX('Input|Rate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L14" s="162">
        <f>IF(L$11="",0,'Calc|Opex forecast'!L75*IF('Calc|Opex forecast'!$F75="nominal",LOOKUP($F14,Nominal_to_Real,'Input|Rate of change'!R$25:R$30),INDEX('Input|Rate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M14" s="162">
        <f>IF(M$11="",0,'Calc|Opex forecast'!M75*IF('Calc|Opex forecast'!$F75="nominal",LOOKUP($F14,Nominal_to_Real,'Input|Rate of change'!S$25:S$30),INDEX('Input|Rate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N14" s="162">
        <f>IF(N$11="",0,'Calc|Opex forecast'!N75*IF('Calc|Opex forecast'!$F75="nominal",LOOKUP($F14,Nominal_to_Real,'Input|Rate of change'!T$25:T$30),INDEX('Input|Rate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O14" s="162">
        <f>IF(O$11="",0,'Calc|Opex forecast'!O75*IF('Calc|Opex forecast'!$F75="nominal",LOOKUP($F14,Nominal_to_Real,'Input|Rate of change'!U$25:U$30),INDEX('Input|Rate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P14" s="162">
        <f>IF(P$11="",0,'Calc|Opex forecast'!P75*IF('Calc|Opex forecast'!$F75="nominal",LOOKUP($F14,Nominal_to_Real,'Input|Rate of change'!V$25:V$30),INDEX('Input|Rate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Q14" s="162">
        <f>IF(Q$11="",0,'Calc|Opex forecast'!Q75*IF('Calc|Opex forecast'!$F75="nominal",LOOKUP($F14,Nominal_to_Real,'Input|Rate of change'!W$25:W$30),INDEX('Input|Rate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R14" s="162">
        <f>IF(R$11="",0,'Calc|Opex forecast'!R75*IF('Calc|Opex forecast'!$F75="nominal",LOOKUP($F14,Nominal_to_Real,'Input|Rate of change'!#REF!),INDEX('Input|Rate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S14" s="162">
        <f>IF(S$11="",0,'Calc|Opex forecast'!S75*IF('Calc|Opex forecast'!$F75="nominal",LOOKUP($F14,Nominal_to_Real,'Input|Rate of change'!#REF!),INDEX('Input|Rate of change'!$C$14:$O$21,MATCH('Calc|Opex forecast'!$F75,'Input|Rate of change'!$C$14:$C$21,0),MATCH('Output|Models'!$F14,'Input|Rate of change'!$C$14:$O$14,0)))*IF('Calc|Opex forecast'!$E75="$millions",1000000,IF('Calc|Opex forecast'!$E75="$000",1000,1))/IF($E14="$millions",1000000,IF($E14="$000",1000,1)))</f>
        <v>0</v>
      </c>
      <c r="T14" s="93"/>
      <c r="U14" s="134"/>
    </row>
    <row r="15" spans="1:23">
      <c r="C15" s="93">
        <f>'Input|Step changes'!C29</f>
        <v>0</v>
      </c>
      <c r="D15" s="30" t="s">
        <v>109</v>
      </c>
      <c r="E15" s="26" t="str">
        <f>$E$8</f>
        <v>$millions</v>
      </c>
      <c r="F15" s="143">
        <f>$F$8</f>
        <v>43617</v>
      </c>
      <c r="H15" s="28"/>
      <c r="I15" s="28"/>
      <c r="J15" s="162">
        <f>IF(J$11="",0,'Calc|Opex forecast'!J76*IF('Calc|Opex forecast'!$F76="nominal",LOOKUP($F15,Nominal_to_Real,'Input|Rate of change'!P$25:P$30),INDEX('Input|Rate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K15" s="162">
        <f>IF(K$11="",0,'Calc|Opex forecast'!K76*IF('Calc|Opex forecast'!$F76="nominal",LOOKUP($F15,Nominal_to_Real,'Input|Rate of change'!Q$25:Q$30),INDEX('Input|Rate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L15" s="162">
        <f>IF(L$11="",0,'Calc|Opex forecast'!L76*IF('Calc|Opex forecast'!$F76="nominal",LOOKUP($F15,Nominal_to_Real,'Input|Rate of change'!R$25:R$30),INDEX('Input|Rate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M15" s="162">
        <f>IF(M$11="",0,'Calc|Opex forecast'!M76*IF('Calc|Opex forecast'!$F76="nominal",LOOKUP($F15,Nominal_to_Real,'Input|Rate of change'!S$25:S$30),INDEX('Input|Rate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N15" s="162">
        <f>IF(N$11="",0,'Calc|Opex forecast'!N76*IF('Calc|Opex forecast'!$F76="nominal",LOOKUP($F15,Nominal_to_Real,'Input|Rate of change'!T$25:T$30),INDEX('Input|Rate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O15" s="162">
        <f>IF(O$11="",0,'Calc|Opex forecast'!O76*IF('Calc|Opex forecast'!$F76="nominal",LOOKUP($F15,Nominal_to_Real,'Input|Rate of change'!U$25:U$30),INDEX('Input|Rate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P15" s="162">
        <f>IF(P$11="",0,'Calc|Opex forecast'!P76*IF('Calc|Opex forecast'!$F76="nominal",LOOKUP($F15,Nominal_to_Real,'Input|Rate of change'!V$25:V$30),INDEX('Input|Rate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Q15" s="162">
        <f>IF(Q$11="",0,'Calc|Opex forecast'!Q76*IF('Calc|Opex forecast'!$F76="nominal",LOOKUP($F15,Nominal_to_Real,'Input|Rate of change'!W$25:W$30),INDEX('Input|Rate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R15" s="162">
        <f>IF(R$11="",0,'Calc|Opex forecast'!R76*IF('Calc|Opex forecast'!$F76="nominal",LOOKUP($F15,Nominal_to_Real,'Input|Rate of change'!#REF!),INDEX('Input|Rate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S15" s="162">
        <f>IF(S$11="",0,'Calc|Opex forecast'!S76*IF('Calc|Opex forecast'!$F76="nominal",LOOKUP($F15,Nominal_to_Real,'Input|Rate of change'!#REF!),INDEX('Input|Rate of change'!$C$14:$O$21,MATCH('Calc|Opex forecast'!$F76,'Input|Rate of change'!$C$14:$C$21,0),MATCH('Output|Models'!$F15,'Input|Rate of change'!$C$14:$O$14,0)))*IF('Calc|Opex forecast'!$E76="$millions",1000000,IF('Calc|Opex forecast'!$E76="$000",1000,1))/IF($E15="$millions",1000000,IF($E15="$000",1000,1)))</f>
        <v>0</v>
      </c>
      <c r="T15" s="93"/>
      <c r="U15" s="134"/>
    </row>
    <row r="16" spans="1:23">
      <c r="C16" s="93">
        <f>'Input|Step changes'!C30</f>
        <v>0</v>
      </c>
      <c r="D16" s="30" t="s">
        <v>109</v>
      </c>
      <c r="E16" s="26" t="str">
        <f>$E$8</f>
        <v>$millions</v>
      </c>
      <c r="F16" s="143">
        <f>$F$8</f>
        <v>43617</v>
      </c>
      <c r="H16" s="28"/>
      <c r="I16" s="28"/>
      <c r="J16" s="162">
        <f>IF(J$11="",0,'Calc|Opex forecast'!J77*IF('Calc|Opex forecast'!$F77="nominal",LOOKUP($F16,Nominal_to_Real,'Input|Rate of change'!P$25:P$30),INDEX('Input|Rate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K16" s="162">
        <f>IF(K$11="",0,'Calc|Opex forecast'!K77*IF('Calc|Opex forecast'!$F77="nominal",LOOKUP($F16,Nominal_to_Real,'Input|Rate of change'!Q$25:Q$30),INDEX('Input|Rate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L16" s="162">
        <f>IF(L$11="",0,'Calc|Opex forecast'!L77*IF('Calc|Opex forecast'!$F77="nominal",LOOKUP($F16,Nominal_to_Real,'Input|Rate of change'!R$25:R$30),INDEX('Input|Rate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M16" s="162">
        <f>IF(M$11="",0,'Calc|Opex forecast'!M77*IF('Calc|Opex forecast'!$F77="nominal",LOOKUP($F16,Nominal_to_Real,'Input|Rate of change'!S$25:S$30),INDEX('Input|Rate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N16" s="162">
        <f>IF(N$11="",0,'Calc|Opex forecast'!N77*IF('Calc|Opex forecast'!$F77="nominal",LOOKUP($F16,Nominal_to_Real,'Input|Rate of change'!T$25:T$30),INDEX('Input|Rate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O16" s="162">
        <f>IF(O$11="",0,'Calc|Opex forecast'!O77*IF('Calc|Opex forecast'!$F77="nominal",LOOKUP($F16,Nominal_to_Real,'Input|Rate of change'!U$25:U$30),INDEX('Input|Rate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P16" s="162">
        <f>IF(P$11="",0,'Calc|Opex forecast'!P77*IF('Calc|Opex forecast'!$F77="nominal",LOOKUP($F16,Nominal_to_Real,'Input|Rate of change'!V$25:V$30),INDEX('Input|Rate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Q16" s="162">
        <f>IF(Q$11="",0,'Calc|Opex forecast'!Q77*IF('Calc|Opex forecast'!$F77="nominal",LOOKUP($F16,Nominal_to_Real,'Input|Rate of change'!W$25:W$30),INDEX('Input|Rate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R16" s="162">
        <f>IF(R$11="",0,'Calc|Opex forecast'!R77*IF('Calc|Opex forecast'!$F77="nominal",LOOKUP($F16,Nominal_to_Real,'Input|Rate of change'!#REF!),INDEX('Input|Rate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S16" s="162">
        <f>IF(S$11="",0,'Calc|Opex forecast'!S77*IF('Calc|Opex forecast'!$F77="nominal",LOOKUP($F16,Nominal_to_Real,'Input|Rate of change'!#REF!),INDEX('Input|Rate of change'!$C$14:$O$21,MATCH('Calc|Opex forecast'!$F77,'Input|Rate of change'!$C$14:$C$21,0),MATCH('Output|Models'!$F16,'Input|Rate of change'!$C$14:$O$14,0)))*IF('Calc|Opex forecast'!$E77="$millions",1000000,IF('Calc|Opex forecast'!$E77="$000",1000,1))/IF($E16="$millions",1000000,IF($E16="$000",1000,1)))</f>
        <v>0</v>
      </c>
      <c r="T16" s="93"/>
      <c r="U16" s="189"/>
    </row>
    <row r="17" spans="1:23">
      <c r="D17" s="30"/>
      <c r="H17" s="28"/>
      <c r="I17" s="28"/>
      <c r="N17" s="124"/>
      <c r="S17" s="20"/>
    </row>
    <row r="18" spans="1:23" s="85" customFormat="1" ht="12.75">
      <c r="A18" s="79"/>
      <c r="B18" s="80" t="s">
        <v>21</v>
      </c>
      <c r="C18" s="79"/>
      <c r="D18" s="79"/>
      <c r="E18" s="79"/>
      <c r="F18" s="81"/>
      <c r="G18" s="81"/>
      <c r="H18" s="81"/>
      <c r="I18" s="81"/>
      <c r="J18" s="82"/>
      <c r="K18" s="83"/>
      <c r="L18" s="82"/>
      <c r="M18" s="83"/>
      <c r="N18" s="82"/>
      <c r="O18" s="82"/>
      <c r="P18" s="82"/>
      <c r="Q18" s="82"/>
      <c r="R18" s="82"/>
      <c r="S18" s="82"/>
      <c r="T18" s="82"/>
      <c r="U18" s="82"/>
      <c r="V18" s="83"/>
      <c r="W18" s="83"/>
    </row>
    <row r="19" spans="1:23" hidden="1">
      <c r="D19" s="25"/>
      <c r="E19" s="25"/>
      <c r="F19" s="25"/>
      <c r="G19" s="25"/>
      <c r="H19" s="25"/>
      <c r="I19" s="25"/>
    </row>
    <row r="20" spans="1:23" hidden="1">
      <c r="C20" s="93"/>
      <c r="D20" s="25"/>
      <c r="E20" s="25"/>
      <c r="F20" s="25"/>
      <c r="G20" s="25"/>
      <c r="H20" s="25"/>
      <c r="I20" s="25"/>
    </row>
    <row r="21" spans="1:23" hidden="1">
      <c r="C21" s="93"/>
      <c r="D21" s="25"/>
      <c r="E21" s="25"/>
      <c r="F21" s="25"/>
      <c r="G21" s="25"/>
      <c r="H21" s="25"/>
      <c r="I21" s="25"/>
    </row>
    <row r="22" spans="1:23" hidden="1">
      <c r="D22" s="25"/>
      <c r="E22" s="25"/>
      <c r="F22" s="25"/>
      <c r="G22" s="25"/>
      <c r="H22" s="25"/>
      <c r="I22" s="25"/>
    </row>
    <row r="23" spans="1:23" hidden="1">
      <c r="D23" s="25"/>
      <c r="E23" s="25"/>
      <c r="F23" s="25"/>
      <c r="G23" s="25"/>
      <c r="H23" s="25"/>
      <c r="I23" s="25"/>
    </row>
    <row r="24" spans="1:23" hidden="1">
      <c r="D24" s="25"/>
      <c r="E24" s="25"/>
      <c r="F24" s="25"/>
      <c r="G24" s="25"/>
      <c r="H24" s="25"/>
      <c r="I24" s="25"/>
    </row>
    <row r="25" spans="1:23" hidden="1">
      <c r="D25" s="25"/>
      <c r="E25" s="25"/>
      <c r="F25" s="25"/>
      <c r="G25" s="25"/>
      <c r="H25" s="25"/>
      <c r="I25" s="25"/>
    </row>
    <row r="26" spans="1:23" hidden="1">
      <c r="D26" s="25"/>
      <c r="E26" s="25"/>
      <c r="F26" s="25"/>
      <c r="G26" s="25"/>
      <c r="H26" s="25"/>
      <c r="I26" s="25"/>
    </row>
    <row r="27" spans="1:23" hidden="1">
      <c r="D27" s="25"/>
      <c r="E27" s="25"/>
      <c r="F27" s="25"/>
      <c r="G27" s="25"/>
      <c r="H27" s="25"/>
      <c r="I27" s="25"/>
    </row>
    <row r="28" spans="1:23" hidden="1">
      <c r="D28" s="25"/>
      <c r="E28" s="25"/>
      <c r="F28" s="25"/>
      <c r="G28" s="25"/>
      <c r="H28" s="25"/>
      <c r="I28" s="25"/>
    </row>
    <row r="29" spans="1:23" hidden="1">
      <c r="D29" s="25"/>
      <c r="E29" s="25"/>
      <c r="F29" s="25"/>
      <c r="G29" s="25"/>
      <c r="H29" s="25"/>
      <c r="I29" s="25"/>
    </row>
    <row r="30" spans="1:23" hidden="1">
      <c r="D30" s="25"/>
      <c r="E30" s="25"/>
      <c r="F30" s="25"/>
      <c r="G30" s="25"/>
      <c r="H30" s="25"/>
      <c r="I30" s="25"/>
    </row>
    <row r="31" spans="1:23" hidden="1">
      <c r="D31" s="25"/>
      <c r="E31" s="25"/>
      <c r="F31" s="25"/>
      <c r="G31" s="25"/>
      <c r="H31" s="25"/>
      <c r="I31" s="25"/>
    </row>
    <row r="32" spans="1:23" hidden="1">
      <c r="D32" s="25"/>
      <c r="E32" s="25"/>
      <c r="F32" s="25"/>
      <c r="G32" s="25"/>
      <c r="H32" s="25"/>
      <c r="I32" s="25"/>
    </row>
    <row r="33" spans="4:9" hidden="1">
      <c r="D33" s="25"/>
      <c r="E33" s="25"/>
      <c r="F33" s="25"/>
      <c r="G33" s="25"/>
      <c r="H33" s="25"/>
      <c r="I33" s="25"/>
    </row>
    <row r="34" spans="4:9" hidden="1">
      <c r="D34" s="25"/>
      <c r="E34" s="25"/>
      <c r="F34" s="25"/>
      <c r="G34" s="25"/>
      <c r="H34" s="25"/>
      <c r="I34" s="25"/>
    </row>
    <row r="35" spans="4:9" hidden="1">
      <c r="D35" s="25"/>
      <c r="E35" s="25"/>
      <c r="F35" s="25"/>
      <c r="G35" s="25"/>
      <c r="H35" s="25"/>
      <c r="I35" s="25"/>
    </row>
    <row r="36" spans="4:9" hidden="1">
      <c r="D36" s="25"/>
      <c r="E36" s="25"/>
      <c r="F36" s="25"/>
      <c r="G36" s="25"/>
      <c r="H36" s="25"/>
      <c r="I36" s="25"/>
    </row>
    <row r="37" spans="4:9" hidden="1">
      <c r="D37" s="25"/>
      <c r="E37" s="25"/>
      <c r="F37" s="25"/>
      <c r="G37" s="25"/>
      <c r="H37" s="25"/>
      <c r="I37" s="25"/>
    </row>
    <row r="38" spans="4:9" hidden="1">
      <c r="D38" s="25"/>
      <c r="E38" s="25"/>
      <c r="F38" s="25"/>
      <c r="G38" s="25"/>
      <c r="H38" s="25"/>
      <c r="I38" s="25"/>
    </row>
    <row r="39" spans="4:9" hidden="1">
      <c r="D39" s="25"/>
      <c r="E39" s="25"/>
      <c r="F39" s="25"/>
      <c r="G39" s="25"/>
      <c r="H39" s="25"/>
      <c r="I39" s="25"/>
    </row>
    <row r="40" spans="4:9" hidden="1">
      <c r="D40" s="25"/>
      <c r="E40" s="25"/>
      <c r="F40" s="25"/>
      <c r="G40" s="25"/>
      <c r="H40" s="25"/>
      <c r="I40" s="25"/>
    </row>
    <row r="41" spans="4:9" hidden="1">
      <c r="D41" s="25"/>
      <c r="E41" s="25"/>
      <c r="F41" s="25"/>
      <c r="G41" s="25"/>
      <c r="H41" s="25"/>
      <c r="I41" s="25"/>
    </row>
    <row r="42" spans="4:9" hidden="1">
      <c r="D42" s="25"/>
      <c r="E42" s="25"/>
      <c r="F42" s="25"/>
      <c r="G42" s="25"/>
      <c r="H42" s="25"/>
      <c r="I42" s="25"/>
    </row>
    <row r="43" spans="4:9" hidden="1">
      <c r="D43" s="25"/>
      <c r="E43" s="25"/>
      <c r="F43" s="25"/>
      <c r="G43" s="25"/>
      <c r="H43" s="25"/>
      <c r="I43" s="25"/>
    </row>
    <row r="44" spans="4:9" hidden="1">
      <c r="D44" s="25"/>
      <c r="E44" s="25"/>
      <c r="F44" s="25"/>
      <c r="G44" s="25"/>
      <c r="H44" s="25"/>
      <c r="I44" s="25"/>
    </row>
    <row r="45" spans="4:9" hidden="1">
      <c r="D45" s="25"/>
      <c r="E45" s="25"/>
      <c r="F45" s="25"/>
      <c r="G45" s="25"/>
      <c r="H45" s="25"/>
      <c r="I45" s="25"/>
    </row>
    <row r="46" spans="4:9" hidden="1">
      <c r="D46" s="25"/>
      <c r="E46" s="25"/>
      <c r="F46" s="25"/>
      <c r="G46" s="25"/>
      <c r="H46" s="25"/>
      <c r="I46" s="25"/>
    </row>
    <row r="47" spans="4:9" hidden="1">
      <c r="D47" s="25"/>
      <c r="E47" s="25"/>
      <c r="F47" s="25"/>
      <c r="G47" s="25"/>
      <c r="H47" s="25"/>
      <c r="I47" s="25"/>
    </row>
    <row r="48" spans="4:9" hidden="1">
      <c r="D48" s="25"/>
      <c r="E48" s="25"/>
      <c r="F48" s="25"/>
      <c r="G48" s="25"/>
      <c r="H48" s="25"/>
      <c r="I48" s="25"/>
    </row>
    <row r="49" spans="4:9" hidden="1">
      <c r="D49" s="25"/>
      <c r="E49" s="25"/>
      <c r="F49" s="25"/>
      <c r="G49" s="25"/>
      <c r="H49" s="25"/>
      <c r="I49" s="25"/>
    </row>
    <row r="50" spans="4:9" hidden="1">
      <c r="D50" s="25"/>
      <c r="E50" s="25"/>
      <c r="F50" s="25"/>
      <c r="G50" s="25"/>
      <c r="H50" s="25"/>
      <c r="I50" s="25"/>
    </row>
    <row r="51" spans="4:9" hidden="1">
      <c r="D51" s="25"/>
      <c r="E51" s="25"/>
      <c r="F51" s="25"/>
      <c r="G51" s="25"/>
      <c r="H51" s="25"/>
      <c r="I51" s="25"/>
    </row>
    <row r="52" spans="4:9" hidden="1">
      <c r="D52" s="25"/>
      <c r="E52" s="25"/>
      <c r="F52" s="25"/>
      <c r="G52" s="25"/>
      <c r="H52" s="25"/>
      <c r="I52" s="25"/>
    </row>
    <row r="53" spans="4:9" hidden="1">
      <c r="D53" s="25"/>
      <c r="E53" s="25"/>
      <c r="F53" s="25"/>
      <c r="G53" s="25"/>
      <c r="H53" s="25"/>
      <c r="I53" s="25"/>
    </row>
  </sheetData>
  <mergeCells count="1">
    <mergeCell ref="N3:S3"/>
  </mergeCells>
  <conditionalFormatting sqref="V1">
    <cfRule type="cellIs" dxfId="21" priority="17" operator="equal">
      <formula>"Check"</formula>
    </cfRule>
    <cfRule type="cellIs" dxfId="20" priority="18" operator="equal">
      <formula>"Ok"</formula>
    </cfRule>
  </conditionalFormatting>
  <conditionalFormatting sqref="J13:S16">
    <cfRule type="expression" dxfId="19" priority="7">
      <formula>AND($C13=0,J$11=J$4)</formula>
    </cfRule>
    <cfRule type="expression" dxfId="18" priority="8">
      <formula>NOT(J$11=J$4)</formula>
    </cfRule>
    <cfRule type="expression" dxfId="17" priority="9">
      <formula>J$11=J$4</formula>
    </cfRule>
  </conditionalFormatting>
  <conditionalFormatting sqref="J11:S11">
    <cfRule type="expression" dxfId="16" priority="11">
      <formula>J$11=J$4</formula>
    </cfRule>
  </conditionalFormatting>
  <conditionalFormatting sqref="S1">
    <cfRule type="cellIs" dxfId="15" priority="5" operator="equal">
      <formula>"Check"</formula>
    </cfRule>
    <cfRule type="cellIs" dxfId="14" priority="6" operator="equal">
      <formula>"Ok"</formula>
    </cfRule>
  </conditionalFormatting>
  <dataValidations count="2">
    <dataValidation type="list" allowBlank="1" showInputMessage="1" showErrorMessage="1" sqref="F17">
      <formula1>#REF!</formula1>
    </dataValidation>
    <dataValidation type="list" allowBlank="1" showInputMessage="1" showErrorMessage="1" sqref="F13:F16">
      <formula1>#REF!</formula1>
    </dataValidation>
  </dataValidations>
  <hyperlinks>
    <hyperlink ref="J1" location="Index!A1" display="Back to Index"/>
    <hyperlink ref="D13" location="'Calc|Opex forecast'!A1" display="Calc | Opex forecast"/>
    <hyperlink ref="D14" location="'Calc|Opex forecast'!A1" display="Calc | Opex forecast"/>
    <hyperlink ref="D15" location="'Calc|Opex forecast'!A1" display="Calc | Opex forecast"/>
    <hyperlink ref="D16" location="'Calc|Opex forecast'!A1" display="Calc | Opex forecast"/>
    <hyperlink ref="U1" location="'Check|List'!A1" display="Overall Check:"/>
  </hyperlinks>
  <pageMargins left="0.7" right="0.7" top="0.75" bottom="0.75" header="0.3" footer="0.3"/>
  <pageSetup paperSize="9" orientation="portrait" verticalDpi="4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'Lookup|Tables'!$G$10:$G$12</xm:f>
          </x14:formula1>
          <xm:sqref>E8</xm:sqref>
        </x14:dataValidation>
        <x14:dataValidation type="list" allowBlank="1" showInputMessage="1" showErrorMessage="1">
          <x14:formula1>
            <xm:f>'Lookup|Tables'!$H$41:$H$60</xm:f>
          </x14:formula1>
          <xm:sqref>F8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1"/>
  </sheetPr>
  <dimension ref="A1:W111"/>
  <sheetViews>
    <sheetView showGridLines="0" workbookViewId="0"/>
  </sheetViews>
  <sheetFormatPr defaultColWidth="10.5" defaultRowHeight="11.25" zeroHeight="1"/>
  <cols>
    <col min="1" max="2" width="1.5" style="5" customWidth="1"/>
    <col min="3" max="3" width="42" style="5" customWidth="1"/>
    <col min="4" max="4" width="17" style="4" customWidth="1"/>
    <col min="5" max="5" width="15.83203125" style="4" customWidth="1"/>
    <col min="6" max="6" width="10.6640625" style="4" customWidth="1"/>
    <col min="7" max="7" width="15" style="13" customWidth="1"/>
    <col min="8" max="9" width="15" style="5" customWidth="1"/>
    <col min="10" max="23" width="10.83203125" style="5" customWidth="1"/>
    <col min="24" max="16371" width="10.5" style="5" customWidth="1"/>
    <col min="16372" max="16372" width="10.5" style="5"/>
    <col min="16373" max="16384" width="10.5" style="5" customWidth="1"/>
  </cols>
  <sheetData>
    <row r="1" spans="1:23" s="34" customFormat="1" ht="15.75">
      <c r="B1" s="31" t="str">
        <f>Index!$B$1</f>
        <v>AER opex model</v>
      </c>
      <c r="C1" s="31"/>
      <c r="D1" s="31"/>
      <c r="E1" s="31"/>
      <c r="F1" s="32"/>
      <c r="G1" s="32"/>
      <c r="H1" s="32"/>
      <c r="I1" s="32"/>
      <c r="J1" s="33" t="s">
        <v>2</v>
      </c>
      <c r="L1" s="35" t="s">
        <v>3</v>
      </c>
      <c r="M1" s="48" t="s">
        <v>4</v>
      </c>
      <c r="N1" s="8" t="s">
        <v>5</v>
      </c>
      <c r="O1" s="9" t="s">
        <v>6</v>
      </c>
      <c r="R1" s="35"/>
      <c r="S1" s="36"/>
      <c r="U1" s="163" t="s">
        <v>24</v>
      </c>
      <c r="V1" s="36" t="str">
        <f>'Check|List'!$S$1</f>
        <v>Ok</v>
      </c>
    </row>
    <row r="2" spans="1:23" s="34" customFormat="1" ht="12.75">
      <c r="B2" s="45" t="str">
        <f>Index!$C$14</f>
        <v>Lookup | Tables</v>
      </c>
      <c r="C2" s="45"/>
      <c r="D2" s="45"/>
      <c r="E2" s="45"/>
      <c r="F2" s="46"/>
      <c r="G2" s="46"/>
      <c r="H2" s="46"/>
      <c r="I2" s="46"/>
    </row>
    <row r="3" spans="1:23" s="47" customFormat="1" ht="12.75">
      <c r="A3" s="39"/>
      <c r="B3" s="43"/>
      <c r="C3" s="39"/>
      <c r="D3" s="39"/>
      <c r="E3" s="39"/>
      <c r="F3" s="40"/>
      <c r="G3" s="40"/>
      <c r="H3" s="40"/>
      <c r="I3" s="40"/>
      <c r="J3" s="41"/>
      <c r="K3" s="42"/>
      <c r="L3" s="41"/>
      <c r="M3" s="42"/>
      <c r="N3" s="41"/>
      <c r="O3" s="41"/>
      <c r="P3" s="41"/>
      <c r="Q3" s="41"/>
      <c r="R3" s="41"/>
      <c r="S3" s="41"/>
      <c r="T3" s="41"/>
      <c r="U3" s="41"/>
      <c r="V3" s="42"/>
      <c r="W3" s="42"/>
    </row>
    <row r="4" spans="1:23" s="3" customFormat="1" ht="3" customHeight="1">
      <c r="D4" s="17"/>
      <c r="E4" s="17"/>
    </row>
    <row r="5" spans="1:23" s="3" customFormat="1" ht="9" customHeight="1">
      <c r="D5" s="17"/>
      <c r="E5" s="17"/>
    </row>
    <row r="6" spans="1:23" s="3" customFormat="1" ht="3" customHeight="1">
      <c r="D6" s="17"/>
      <c r="E6" s="17"/>
    </row>
    <row r="7" spans="1:23" customFormat="1" ht="12.75">
      <c r="A7" s="39"/>
      <c r="B7" s="43" t="s">
        <v>19</v>
      </c>
      <c r="C7" s="39"/>
      <c r="D7" s="39"/>
      <c r="E7" s="39"/>
      <c r="F7" s="40"/>
      <c r="G7" s="40"/>
      <c r="H7" s="40"/>
      <c r="I7" s="40"/>
      <c r="J7" s="41"/>
      <c r="K7" s="42"/>
      <c r="L7" s="41"/>
      <c r="M7" s="42"/>
      <c r="N7" s="41"/>
      <c r="O7" s="41"/>
      <c r="P7" s="41"/>
      <c r="Q7" s="41"/>
      <c r="R7" s="41"/>
      <c r="S7" s="41"/>
      <c r="T7" s="41"/>
      <c r="U7" s="41"/>
      <c r="V7" s="42"/>
      <c r="W7" s="42"/>
    </row>
    <row r="8" spans="1:23"/>
    <row r="9" spans="1:23">
      <c r="C9" s="10" t="str">
        <f>B7</f>
        <v>Unit Denominations</v>
      </c>
      <c r="D9" s="18" t="s">
        <v>7</v>
      </c>
      <c r="E9" s="18"/>
      <c r="F9" s="11"/>
      <c r="G9" s="11" t="s">
        <v>9</v>
      </c>
      <c r="H9" s="11"/>
    </row>
    <row r="10" spans="1:23">
      <c r="C10" s="12" t="s">
        <v>10</v>
      </c>
      <c r="D10" s="13" t="s">
        <v>73</v>
      </c>
      <c r="E10" s="13"/>
      <c r="F10" s="13"/>
      <c r="G10" s="44" t="s">
        <v>12</v>
      </c>
    </row>
    <row r="11" spans="1:23">
      <c r="C11" s="12" t="s">
        <v>13</v>
      </c>
      <c r="D11" s="13" t="s">
        <v>73</v>
      </c>
      <c r="E11" s="13"/>
      <c r="F11" s="13"/>
      <c r="G11" s="44" t="s">
        <v>20</v>
      </c>
    </row>
    <row r="12" spans="1:23">
      <c r="C12" s="12" t="s">
        <v>14</v>
      </c>
      <c r="D12" s="13" t="s">
        <v>73</v>
      </c>
      <c r="E12" s="13"/>
      <c r="F12" s="13"/>
      <c r="G12" s="44" t="s">
        <v>15</v>
      </c>
      <c r="T12" s="14"/>
    </row>
    <row r="13" spans="1:23">
      <c r="F13" s="5"/>
      <c r="G13" s="5"/>
    </row>
    <row r="14" spans="1:23">
      <c r="C14" s="12" t="s">
        <v>16</v>
      </c>
      <c r="D14" s="13" t="s">
        <v>73</v>
      </c>
      <c r="E14" s="13"/>
      <c r="F14" s="13"/>
      <c r="G14" s="44" t="s">
        <v>31</v>
      </c>
    </row>
    <row r="15" spans="1:23">
      <c r="C15" s="12" t="s">
        <v>8</v>
      </c>
      <c r="D15" s="13" t="s">
        <v>73</v>
      </c>
      <c r="E15" s="13"/>
      <c r="F15" s="13"/>
      <c r="G15" s="44" t="s">
        <v>11</v>
      </c>
    </row>
    <row r="16" spans="1:23">
      <c r="C16" s="12" t="s">
        <v>17</v>
      </c>
      <c r="D16" s="13" t="s">
        <v>73</v>
      </c>
      <c r="E16" s="13"/>
      <c r="F16" s="13"/>
      <c r="G16" s="44" t="s">
        <v>18</v>
      </c>
    </row>
    <row r="17" spans="1:23">
      <c r="C17" s="12" t="s">
        <v>37</v>
      </c>
      <c r="D17" s="13" t="s">
        <v>73</v>
      </c>
      <c r="E17" s="13"/>
      <c r="F17" s="13"/>
      <c r="G17" s="44" t="s">
        <v>38</v>
      </c>
    </row>
    <row r="18" spans="1:23">
      <c r="C18" s="12"/>
      <c r="D18" s="13"/>
      <c r="E18" s="13"/>
      <c r="F18" s="13"/>
      <c r="G18" s="5"/>
    </row>
    <row r="19" spans="1:23">
      <c r="C19" s="12" t="s">
        <v>23</v>
      </c>
      <c r="D19" s="13" t="s">
        <v>73</v>
      </c>
      <c r="E19" s="13"/>
      <c r="F19" s="13"/>
      <c r="G19" s="44" t="s">
        <v>23</v>
      </c>
    </row>
    <row r="20" spans="1:23">
      <c r="C20" s="12" t="s">
        <v>78</v>
      </c>
      <c r="D20" s="13" t="s">
        <v>73</v>
      </c>
      <c r="E20" s="13"/>
      <c r="F20" s="13"/>
      <c r="G20" s="44" t="s">
        <v>78</v>
      </c>
    </row>
    <row r="21" spans="1:23">
      <c r="C21" s="12"/>
      <c r="D21" s="13"/>
      <c r="E21" s="13"/>
      <c r="F21" s="13"/>
      <c r="G21" s="5"/>
    </row>
    <row r="22" spans="1:23" customFormat="1" ht="12.75">
      <c r="A22" s="39"/>
      <c r="B22" s="43" t="s">
        <v>122</v>
      </c>
      <c r="C22" s="39"/>
      <c r="D22" s="39"/>
      <c r="E22" s="39"/>
      <c r="F22" s="40"/>
      <c r="G22" s="40"/>
      <c r="H22" s="40"/>
      <c r="I22" s="40"/>
      <c r="J22" s="41"/>
      <c r="K22" s="42"/>
      <c r="L22" s="41"/>
      <c r="M22" s="42"/>
      <c r="N22" s="41"/>
      <c r="O22" s="41"/>
      <c r="P22" s="41"/>
      <c r="Q22" s="41"/>
      <c r="R22" s="41"/>
      <c r="S22" s="41"/>
      <c r="T22" s="41"/>
      <c r="U22" s="41"/>
      <c r="V22" s="42"/>
      <c r="W22" s="42"/>
    </row>
    <row r="23" spans="1:23"/>
    <row r="24" spans="1:23">
      <c r="C24" s="10" t="str">
        <f>B22</f>
        <v>Months</v>
      </c>
      <c r="D24" s="18" t="s">
        <v>7</v>
      </c>
      <c r="E24" s="18"/>
      <c r="F24" s="11"/>
      <c r="G24" s="11" t="s">
        <v>9</v>
      </c>
      <c r="H24" s="11"/>
    </row>
    <row r="25" spans="1:23">
      <c r="C25" s="12" t="s">
        <v>123</v>
      </c>
      <c r="D25" s="13" t="s">
        <v>73</v>
      </c>
      <c r="E25" s="13"/>
      <c r="F25" s="13"/>
      <c r="G25" s="136">
        <v>36526</v>
      </c>
      <c r="H25" s="11"/>
    </row>
    <row r="26" spans="1:23">
      <c r="C26" s="12" t="s">
        <v>124</v>
      </c>
      <c r="D26" s="13" t="s">
        <v>73</v>
      </c>
      <c r="E26" s="13"/>
      <c r="F26" s="13"/>
      <c r="G26" s="136">
        <v>36557</v>
      </c>
      <c r="H26" s="11"/>
    </row>
    <row r="27" spans="1:23">
      <c r="C27" s="12" t="s">
        <v>125</v>
      </c>
      <c r="D27" s="13" t="s">
        <v>73</v>
      </c>
      <c r="E27" s="13"/>
      <c r="F27" s="13"/>
      <c r="G27" s="136">
        <v>36586</v>
      </c>
      <c r="H27" s="11"/>
    </row>
    <row r="28" spans="1:23">
      <c r="C28" s="12" t="s">
        <v>126</v>
      </c>
      <c r="D28" s="13" t="s">
        <v>73</v>
      </c>
      <c r="E28" s="13"/>
      <c r="F28" s="13"/>
      <c r="G28" s="136">
        <v>36617</v>
      </c>
    </row>
    <row r="29" spans="1:23">
      <c r="C29" s="12" t="s">
        <v>127</v>
      </c>
      <c r="D29" s="13" t="s">
        <v>73</v>
      </c>
      <c r="E29" s="13"/>
      <c r="F29" s="13"/>
      <c r="G29" s="136">
        <v>36647</v>
      </c>
    </row>
    <row r="30" spans="1:23">
      <c r="C30" s="12" t="s">
        <v>128</v>
      </c>
      <c r="D30" s="13" t="s">
        <v>73</v>
      </c>
      <c r="E30" s="13"/>
      <c r="F30" s="13"/>
      <c r="G30" s="136">
        <v>36678</v>
      </c>
      <c r="T30" s="14"/>
    </row>
    <row r="31" spans="1:23">
      <c r="C31" s="12" t="s">
        <v>129</v>
      </c>
      <c r="D31" s="13" t="s">
        <v>73</v>
      </c>
      <c r="E31" s="13"/>
      <c r="F31" s="13"/>
      <c r="G31" s="136">
        <v>36708</v>
      </c>
      <c r="T31" s="14"/>
    </row>
    <row r="32" spans="1:23">
      <c r="C32" s="12" t="s">
        <v>130</v>
      </c>
      <c r="D32" s="13" t="s">
        <v>73</v>
      </c>
      <c r="E32" s="13"/>
      <c r="F32" s="13"/>
      <c r="G32" s="136">
        <v>36739</v>
      </c>
      <c r="T32" s="14"/>
    </row>
    <row r="33" spans="1:23">
      <c r="C33" s="12" t="s">
        <v>131</v>
      </c>
      <c r="D33" s="13" t="s">
        <v>73</v>
      </c>
      <c r="E33" s="13"/>
      <c r="F33" s="13"/>
      <c r="G33" s="136">
        <v>36770</v>
      </c>
      <c r="T33" s="14"/>
    </row>
    <row r="34" spans="1:23">
      <c r="C34" s="12" t="s">
        <v>132</v>
      </c>
      <c r="D34" s="13" t="s">
        <v>73</v>
      </c>
      <c r="E34" s="13"/>
      <c r="F34" s="13"/>
      <c r="G34" s="136">
        <v>36800</v>
      </c>
      <c r="T34" s="14"/>
    </row>
    <row r="35" spans="1:23">
      <c r="C35" s="12" t="s">
        <v>133</v>
      </c>
      <c r="D35" s="13" t="s">
        <v>73</v>
      </c>
      <c r="E35" s="13"/>
      <c r="F35" s="13"/>
      <c r="G35" s="136">
        <v>36831</v>
      </c>
      <c r="T35" s="14"/>
    </row>
    <row r="36" spans="1:23">
      <c r="C36" s="12" t="s">
        <v>134</v>
      </c>
      <c r="D36" s="13" t="s">
        <v>73</v>
      </c>
      <c r="E36" s="13"/>
      <c r="F36" s="13"/>
      <c r="G36" s="136">
        <v>36861</v>
      </c>
      <c r="T36" s="14"/>
    </row>
    <row r="37" spans="1:23">
      <c r="C37" s="12"/>
      <c r="D37" s="13"/>
      <c r="E37" s="13"/>
      <c r="F37" s="13"/>
      <c r="T37" s="14"/>
    </row>
    <row r="38" spans="1:23" customFormat="1" ht="12.75">
      <c r="A38" s="39"/>
      <c r="B38" s="43" t="s">
        <v>74</v>
      </c>
      <c r="C38" s="39"/>
      <c r="D38" s="39"/>
      <c r="E38" s="39"/>
      <c r="F38" s="40"/>
      <c r="G38" s="40"/>
      <c r="H38" s="40"/>
      <c r="I38" s="40"/>
      <c r="J38" s="41"/>
      <c r="K38" s="42"/>
      <c r="L38" s="41"/>
      <c r="M38" s="42"/>
      <c r="N38" s="41"/>
      <c r="O38" s="41"/>
      <c r="P38" s="41"/>
      <c r="Q38" s="41"/>
      <c r="R38" s="41"/>
      <c r="S38" s="41"/>
      <c r="T38" s="41"/>
      <c r="U38" s="41"/>
      <c r="V38" s="42"/>
      <c r="W38" s="42"/>
    </row>
    <row r="39" spans="1:23"/>
    <row r="40" spans="1:23">
      <c r="C40" s="10" t="str">
        <f>B38</f>
        <v>Years</v>
      </c>
      <c r="D40" s="18" t="s">
        <v>7</v>
      </c>
      <c r="E40" s="18"/>
      <c r="F40" s="11"/>
      <c r="G40" s="11" t="s">
        <v>158</v>
      </c>
      <c r="H40" s="11" t="s">
        <v>156</v>
      </c>
      <c r="I40" s="11" t="s">
        <v>157</v>
      </c>
    </row>
    <row r="41" spans="1:23">
      <c r="C41" s="142">
        <v>40695</v>
      </c>
      <c r="D41" s="13" t="s">
        <v>73</v>
      </c>
      <c r="E41" s="13"/>
      <c r="F41" s="13"/>
      <c r="G41" s="137">
        <v>2011</v>
      </c>
      <c r="H41" s="167">
        <f>DATE(G41,MONTH('Input|General'!$G$9),1)</f>
        <v>40695</v>
      </c>
      <c r="I41" s="165" t="str">
        <f>G41-1&amp;"–"&amp;RIGHT(G41,2)</f>
        <v>2010–11</v>
      </c>
    </row>
    <row r="42" spans="1:23">
      <c r="C42" s="142">
        <v>41061</v>
      </c>
      <c r="D42" s="13" t="s">
        <v>73</v>
      </c>
      <c r="E42" s="13"/>
      <c r="F42" s="13"/>
      <c r="G42" s="137">
        <v>2012</v>
      </c>
      <c r="H42" s="167">
        <f>DATE(G42,MONTH('Input|General'!$G$9),1)</f>
        <v>41061</v>
      </c>
      <c r="I42" s="165" t="str">
        <f t="shared" ref="I42:I60" si="0">G42-1&amp;"–"&amp;RIGHT(G42,2)</f>
        <v>2011–12</v>
      </c>
    </row>
    <row r="43" spans="1:23">
      <c r="C43" s="142">
        <v>41426</v>
      </c>
      <c r="D43" s="13" t="s">
        <v>73</v>
      </c>
      <c r="E43" s="13"/>
      <c r="F43" s="13"/>
      <c r="G43" s="137">
        <v>2013</v>
      </c>
      <c r="H43" s="167">
        <f>DATE(G43,MONTH('Input|General'!$G$9),1)</f>
        <v>41426</v>
      </c>
      <c r="I43" s="165" t="str">
        <f t="shared" si="0"/>
        <v>2012–13</v>
      </c>
    </row>
    <row r="44" spans="1:23">
      <c r="C44" s="142">
        <v>41791</v>
      </c>
      <c r="D44" s="13" t="s">
        <v>73</v>
      </c>
      <c r="E44" s="13"/>
      <c r="F44" s="13"/>
      <c r="G44" s="137">
        <v>2014</v>
      </c>
      <c r="H44" s="167">
        <f>DATE(G44,MONTH('Input|General'!$G$9),1)</f>
        <v>41791</v>
      </c>
      <c r="I44" s="165" t="str">
        <f t="shared" si="0"/>
        <v>2013–14</v>
      </c>
    </row>
    <row r="45" spans="1:23">
      <c r="C45" s="142">
        <v>42156</v>
      </c>
      <c r="D45" s="13" t="s">
        <v>73</v>
      </c>
      <c r="E45" s="13"/>
      <c r="F45" s="13"/>
      <c r="G45" s="137">
        <v>2015</v>
      </c>
      <c r="H45" s="167">
        <f>DATE(G45,MONTH('Input|General'!$G$9),1)</f>
        <v>42156</v>
      </c>
      <c r="I45" s="165" t="str">
        <f t="shared" si="0"/>
        <v>2014–15</v>
      </c>
      <c r="T45" s="14"/>
    </row>
    <row r="46" spans="1:23">
      <c r="C46" s="142">
        <v>42522</v>
      </c>
      <c r="D46" s="13" t="s">
        <v>73</v>
      </c>
      <c r="E46" s="13"/>
      <c r="F46" s="13"/>
      <c r="G46" s="137">
        <v>2016</v>
      </c>
      <c r="H46" s="167">
        <f>DATE(G46,MONTH('Input|General'!$G$9),1)</f>
        <v>42522</v>
      </c>
      <c r="I46" s="165" t="str">
        <f t="shared" si="0"/>
        <v>2015–16</v>
      </c>
      <c r="T46" s="14"/>
    </row>
    <row r="47" spans="1:23">
      <c r="C47" s="142">
        <v>42887</v>
      </c>
      <c r="D47" s="13" t="s">
        <v>73</v>
      </c>
      <c r="E47" s="13"/>
      <c r="F47" s="13"/>
      <c r="G47" s="137">
        <v>2017</v>
      </c>
      <c r="H47" s="167">
        <f>DATE(G47,MONTH('Input|General'!$G$9),1)</f>
        <v>42887</v>
      </c>
      <c r="I47" s="165" t="str">
        <f t="shared" si="0"/>
        <v>2016–17</v>
      </c>
      <c r="T47" s="14"/>
    </row>
    <row r="48" spans="1:23">
      <c r="C48" s="142">
        <v>43252</v>
      </c>
      <c r="D48" s="13" t="s">
        <v>73</v>
      </c>
      <c r="E48" s="13"/>
      <c r="F48" s="13"/>
      <c r="G48" s="137">
        <v>2018</v>
      </c>
      <c r="H48" s="167">
        <f>DATE(G48,MONTH('Input|General'!$G$9),1)</f>
        <v>43252</v>
      </c>
      <c r="I48" s="165" t="str">
        <f t="shared" si="0"/>
        <v>2017–18</v>
      </c>
      <c r="T48" s="14"/>
    </row>
    <row r="49" spans="1:23">
      <c r="C49" s="142">
        <v>43617</v>
      </c>
      <c r="D49" s="13" t="s">
        <v>73</v>
      </c>
      <c r="E49" s="13"/>
      <c r="F49" s="13"/>
      <c r="G49" s="137">
        <v>2019</v>
      </c>
      <c r="H49" s="167">
        <f>DATE(G49,MONTH('Input|General'!$G$9),1)</f>
        <v>43617</v>
      </c>
      <c r="I49" s="165" t="str">
        <f t="shared" si="0"/>
        <v>2018–19</v>
      </c>
      <c r="T49" s="14"/>
    </row>
    <row r="50" spans="1:23">
      <c r="C50" s="142">
        <v>43983</v>
      </c>
      <c r="D50" s="13" t="s">
        <v>73</v>
      </c>
      <c r="E50" s="13"/>
      <c r="F50" s="13"/>
      <c r="G50" s="137">
        <v>2020</v>
      </c>
      <c r="H50" s="167">
        <f>DATE(G50,MONTH('Input|General'!$G$9),1)</f>
        <v>43983</v>
      </c>
      <c r="I50" s="165" t="str">
        <f t="shared" si="0"/>
        <v>2019–20</v>
      </c>
      <c r="T50" s="14"/>
    </row>
    <row r="51" spans="1:23">
      <c r="C51" s="142">
        <v>44348</v>
      </c>
      <c r="D51" s="13" t="s">
        <v>73</v>
      </c>
      <c r="E51" s="13"/>
      <c r="F51" s="13"/>
      <c r="G51" s="137">
        <v>2021</v>
      </c>
      <c r="H51" s="167">
        <f>DATE(G51,MONTH('Input|General'!$G$9),1)</f>
        <v>44348</v>
      </c>
      <c r="I51" s="165" t="str">
        <f t="shared" si="0"/>
        <v>2020–21</v>
      </c>
      <c r="T51" s="14"/>
    </row>
    <row r="52" spans="1:23">
      <c r="C52" s="142">
        <v>44713</v>
      </c>
      <c r="D52" s="13" t="s">
        <v>73</v>
      </c>
      <c r="E52" s="13"/>
      <c r="F52" s="13"/>
      <c r="G52" s="137">
        <v>2022</v>
      </c>
      <c r="H52" s="167">
        <f>DATE(G52,MONTH('Input|General'!$G$9),1)</f>
        <v>44713</v>
      </c>
      <c r="I52" s="165" t="str">
        <f t="shared" si="0"/>
        <v>2021–22</v>
      </c>
      <c r="T52" s="14"/>
    </row>
    <row r="53" spans="1:23">
      <c r="C53" s="142">
        <v>45078</v>
      </c>
      <c r="D53" s="13" t="s">
        <v>73</v>
      </c>
      <c r="E53" s="13"/>
      <c r="F53" s="13"/>
      <c r="G53" s="137">
        <v>2023</v>
      </c>
      <c r="H53" s="167">
        <f>DATE(G53,MONTH('Input|General'!$G$9),1)</f>
        <v>45078</v>
      </c>
      <c r="I53" s="165" t="str">
        <f t="shared" si="0"/>
        <v>2022–23</v>
      </c>
      <c r="T53" s="14"/>
    </row>
    <row r="54" spans="1:23">
      <c r="C54" s="142">
        <v>45444</v>
      </c>
      <c r="D54" s="13" t="s">
        <v>73</v>
      </c>
      <c r="E54" s="13"/>
      <c r="F54" s="13"/>
      <c r="G54" s="137">
        <v>2024</v>
      </c>
      <c r="H54" s="167">
        <f>DATE(G54,MONTH('Input|General'!$G$9),1)</f>
        <v>45444</v>
      </c>
      <c r="I54" s="165" t="str">
        <f t="shared" si="0"/>
        <v>2023–24</v>
      </c>
      <c r="T54" s="14"/>
    </row>
    <row r="55" spans="1:23">
      <c r="C55" s="142">
        <v>45809</v>
      </c>
      <c r="D55" s="13" t="s">
        <v>73</v>
      </c>
      <c r="E55" s="13"/>
      <c r="F55" s="13"/>
      <c r="G55" s="137">
        <v>2025</v>
      </c>
      <c r="H55" s="167">
        <f>DATE(G55,MONTH('Input|General'!$G$9),1)</f>
        <v>45809</v>
      </c>
      <c r="I55" s="165" t="str">
        <f t="shared" si="0"/>
        <v>2024–25</v>
      </c>
      <c r="T55" s="14"/>
    </row>
    <row r="56" spans="1:23">
      <c r="C56" s="142">
        <v>46174</v>
      </c>
      <c r="D56" s="13" t="s">
        <v>73</v>
      </c>
      <c r="E56" s="13"/>
      <c r="F56" s="13"/>
      <c r="G56" s="137">
        <v>2026</v>
      </c>
      <c r="H56" s="167">
        <f>DATE(G56,MONTH('Input|General'!$G$9),1)</f>
        <v>46174</v>
      </c>
      <c r="I56" s="165" t="str">
        <f t="shared" si="0"/>
        <v>2025–26</v>
      </c>
      <c r="T56" s="14"/>
    </row>
    <row r="57" spans="1:23">
      <c r="C57" s="142">
        <v>46539</v>
      </c>
      <c r="D57" s="13" t="s">
        <v>73</v>
      </c>
      <c r="E57" s="13"/>
      <c r="F57" s="13"/>
      <c r="G57" s="137">
        <v>2027</v>
      </c>
      <c r="H57" s="167">
        <f>DATE(G57,MONTH('Input|General'!$G$9),1)</f>
        <v>46539</v>
      </c>
      <c r="I57" s="165" t="str">
        <f t="shared" si="0"/>
        <v>2026–27</v>
      </c>
      <c r="T57" s="14"/>
    </row>
    <row r="58" spans="1:23">
      <c r="C58" s="142">
        <v>46905</v>
      </c>
      <c r="D58" s="13" t="s">
        <v>73</v>
      </c>
      <c r="E58" s="13"/>
      <c r="F58" s="13"/>
      <c r="G58" s="137">
        <v>2028</v>
      </c>
      <c r="H58" s="167">
        <f>DATE(G58,MONTH('Input|General'!$G$9),1)</f>
        <v>46905</v>
      </c>
      <c r="I58" s="165" t="str">
        <f t="shared" si="0"/>
        <v>2027–28</v>
      </c>
      <c r="T58" s="14"/>
    </row>
    <row r="59" spans="1:23">
      <c r="C59" s="142">
        <v>47270</v>
      </c>
      <c r="D59" s="13" t="s">
        <v>73</v>
      </c>
      <c r="E59" s="13"/>
      <c r="F59" s="13"/>
      <c r="G59" s="137">
        <v>2029</v>
      </c>
      <c r="H59" s="167">
        <f>DATE(G59,MONTH('Input|General'!$G$9),1)</f>
        <v>47270</v>
      </c>
      <c r="I59" s="165" t="str">
        <f t="shared" si="0"/>
        <v>2028–29</v>
      </c>
      <c r="T59" s="14"/>
    </row>
    <row r="60" spans="1:23">
      <c r="C60" s="142">
        <v>47635</v>
      </c>
      <c r="D60" s="13" t="s">
        <v>73</v>
      </c>
      <c r="E60" s="13"/>
      <c r="F60" s="13"/>
      <c r="G60" s="137">
        <v>2030</v>
      </c>
      <c r="H60" s="167">
        <f>DATE(G60,MONTH('Input|General'!$G$9),1)</f>
        <v>47635</v>
      </c>
      <c r="I60" s="165" t="str">
        <f t="shared" si="0"/>
        <v>2029–30</v>
      </c>
      <c r="T60" s="14"/>
    </row>
    <row r="61" spans="1:23"/>
    <row r="62" spans="1:23" customFormat="1" ht="12.75">
      <c r="A62" s="39"/>
      <c r="B62" s="43" t="s">
        <v>154</v>
      </c>
      <c r="C62" s="39"/>
      <c r="D62" s="39"/>
      <c r="E62" s="39"/>
      <c r="F62" s="40"/>
      <c r="G62" s="40"/>
      <c r="H62" s="40"/>
      <c r="I62" s="40"/>
      <c r="J62" s="41"/>
      <c r="K62" s="42"/>
      <c r="L62" s="41"/>
      <c r="M62" s="42"/>
      <c r="N62" s="41"/>
      <c r="O62" s="41"/>
      <c r="P62" s="41"/>
      <c r="Q62" s="41"/>
      <c r="R62" s="41"/>
      <c r="S62" s="41"/>
      <c r="T62" s="41"/>
      <c r="U62" s="41"/>
      <c r="V62" s="42"/>
      <c r="W62" s="42"/>
    </row>
    <row r="63" spans="1:23"/>
    <row r="64" spans="1:23">
      <c r="C64" s="10" t="str">
        <f>B62</f>
        <v>Regulatory years</v>
      </c>
      <c r="D64" s="18" t="s">
        <v>7</v>
      </c>
      <c r="E64" s="18"/>
      <c r="F64" s="11"/>
      <c r="G64" s="11" t="s">
        <v>155</v>
      </c>
      <c r="H64" s="11" t="s">
        <v>121</v>
      </c>
    </row>
    <row r="65" spans="1:23">
      <c r="C65" s="12" t="s">
        <v>142</v>
      </c>
      <c r="D65" s="13" t="s">
        <v>103</v>
      </c>
      <c r="E65" s="13"/>
      <c r="F65" s="13"/>
      <c r="G65" s="165" t="str">
        <f>IF(MONTH('Input|General'!$G$9)=12,PPFirstYear,PPFirstYear-1&amp;"–"&amp;RIGHT(PPFirstYear,2))</f>
        <v>2014–15</v>
      </c>
      <c r="H65" s="167">
        <f>DATE(PPFirstYear,MONTH('Input|General'!$G$9),1)</f>
        <v>42156</v>
      </c>
    </row>
    <row r="66" spans="1:23">
      <c r="C66" s="12" t="s">
        <v>143</v>
      </c>
      <c r="D66" s="13" t="s">
        <v>103</v>
      </c>
      <c r="E66" s="13"/>
      <c r="F66" s="13"/>
      <c r="G66" s="166" t="str">
        <f>IF(PPLastYear-PPFirstYear&lt;1,"",LEFT(G65,4)+1&amp;"–"&amp;RIGHT(G65,2)+1)</f>
        <v>2015–16</v>
      </c>
      <c r="H66" s="167">
        <f>IF(PPLastYear-PPFirstYear&lt;1,"",DATE(PPFirstYear+1,MONTH('Input|General'!$G$9),1))</f>
        <v>42522</v>
      </c>
    </row>
    <row r="67" spans="1:23">
      <c r="C67" s="12" t="s">
        <v>144</v>
      </c>
      <c r="D67" s="13" t="s">
        <v>103</v>
      </c>
      <c r="E67" s="13"/>
      <c r="F67" s="13"/>
      <c r="G67" s="166" t="str">
        <f>IF(PPLastYear-PPFirstYear&lt;2,"",LEFT(G66,4)+1&amp;"–"&amp;RIGHT(G66,2)+1)</f>
        <v>2016–17</v>
      </c>
      <c r="H67" s="167">
        <f>IF(PPLastYear-PPFirstYear&lt;2,"",DATE(PPFirstYear+2,MONTH('Input|General'!$G$9),1))</f>
        <v>42887</v>
      </c>
    </row>
    <row r="68" spans="1:23">
      <c r="C68" s="12" t="s">
        <v>145</v>
      </c>
      <c r="D68" s="13" t="s">
        <v>103</v>
      </c>
      <c r="E68" s="13"/>
      <c r="F68" s="13"/>
      <c r="G68" s="166" t="str">
        <f>IF(PPLastYear-PPFirstYear&lt;3,"",LEFT(G67,4)+1&amp;"–"&amp;RIGHT(G67,2)+1)</f>
        <v>2017–18</v>
      </c>
      <c r="H68" s="167">
        <f>IF(PPLastYear-PPFirstYear&lt;3,"",DATE(PPFirstYear+3,MONTH('Input|General'!$G$9),1))</f>
        <v>43252</v>
      </c>
    </row>
    <row r="69" spans="1:23">
      <c r="C69" s="12" t="s">
        <v>146</v>
      </c>
      <c r="D69" s="13" t="s">
        <v>103</v>
      </c>
      <c r="E69" s="13"/>
      <c r="F69" s="13"/>
      <c r="G69" s="166" t="str">
        <f>IF(PPLastYear-PPFirstYear&lt;4,"",LEFT(G68,4)+1&amp;"–"&amp;RIGHT(G68,2)+1)</f>
        <v>2018–19</v>
      </c>
      <c r="H69" s="167">
        <f>IF(PPLastYear-PPFirstYear&lt;4,"",DATE(PPFirstYear+4,MONTH('Input|General'!$G$9),1))</f>
        <v>43617</v>
      </c>
    </row>
    <row r="70" spans="1:23">
      <c r="C70" s="12" t="s">
        <v>147</v>
      </c>
      <c r="D70" s="13" t="s">
        <v>103</v>
      </c>
      <c r="E70" s="13"/>
      <c r="F70" s="13"/>
      <c r="G70" s="166" t="str">
        <f>IF(MONTH('Input|General'!$G$9)=12,FPFirstYear,FPFirstYear-1&amp;"–"&amp;RIGHT(FPFirstYear,2))</f>
        <v>2019–20</v>
      </c>
      <c r="H70" s="167">
        <f>DATE(FPFirstYear,MONTH('Input|General'!$G$9),1)</f>
        <v>43983</v>
      </c>
      <c r="T70" s="14"/>
    </row>
    <row r="71" spans="1:23">
      <c r="C71" s="12" t="s">
        <v>148</v>
      </c>
      <c r="D71" s="13" t="s">
        <v>103</v>
      </c>
      <c r="E71" s="13"/>
      <c r="F71" s="13"/>
      <c r="G71" s="166" t="str">
        <f>IF(FPLastYear-FPFirstYear&lt;1,"",LEFT(G70,4)+1&amp;"–"&amp;RIGHT(G70,2)+1)</f>
        <v>2020–21</v>
      </c>
      <c r="H71" s="167">
        <f>IF(FPLastYear-FPFirstYear&lt;1,"",DATE(FPFirstYear+1,MONTH('Input|General'!$G$9),1))</f>
        <v>44348</v>
      </c>
      <c r="T71" s="14"/>
    </row>
    <row r="72" spans="1:23">
      <c r="C72" s="12" t="s">
        <v>149</v>
      </c>
      <c r="D72" s="13" t="s">
        <v>103</v>
      </c>
      <c r="E72" s="13"/>
      <c r="F72" s="13"/>
      <c r="G72" s="166" t="str">
        <f>IF(FPLastYear-FPFirstYear&lt;2,"",LEFT(G71,4)+1&amp;"–"&amp;RIGHT(G71,2)+1)</f>
        <v>2021–22</v>
      </c>
      <c r="H72" s="167">
        <f>IF(FPLastYear-FPFirstYear&lt;2,"",DATE(FPFirstYear+2,MONTH('Input|General'!$G$9),1))</f>
        <v>44713</v>
      </c>
      <c r="T72" s="14"/>
    </row>
    <row r="73" spans="1:23">
      <c r="C73" s="12" t="s">
        <v>150</v>
      </c>
      <c r="D73" s="13" t="s">
        <v>103</v>
      </c>
      <c r="E73" s="13"/>
      <c r="F73" s="13"/>
      <c r="G73" s="166" t="str">
        <f>IF(FPLastYear-FPFirstYear&lt;3,"",LEFT(G72,4)+1&amp;"–"&amp;RIGHT(G72,2)+1)</f>
        <v>2022–23</v>
      </c>
      <c r="H73" s="167">
        <f>IF(FPLastYear-FPFirstYear&lt;3,"",DATE(FPFirstYear+3,MONTH('Input|General'!$G$9),1))</f>
        <v>45078</v>
      </c>
      <c r="T73" s="14"/>
    </row>
    <row r="74" spans="1:23">
      <c r="C74" s="12" t="s">
        <v>151</v>
      </c>
      <c r="D74" s="13" t="s">
        <v>103</v>
      </c>
      <c r="E74" s="13"/>
      <c r="F74" s="13"/>
      <c r="G74" s="166" t="str">
        <f>IF(FPLastYear-FPFirstYear&lt;4,"",LEFT(G73,4)+1&amp;"–"&amp;RIGHT(G73,2)+1)</f>
        <v>2023–24</v>
      </c>
      <c r="H74" s="167">
        <f>IF(FPLastYear-FPFirstYear&lt;4,"",DATE(FPFirstYear+4,MONTH('Input|General'!$G$9),1))</f>
        <v>45444</v>
      </c>
      <c r="T74" s="14"/>
    </row>
    <row r="75" spans="1:23"/>
    <row r="76" spans="1:23" customFormat="1" ht="12.75">
      <c r="A76" s="39"/>
      <c r="B76" s="43" t="s">
        <v>21</v>
      </c>
      <c r="C76" s="39"/>
      <c r="D76" s="39"/>
      <c r="E76" s="39"/>
      <c r="F76" s="40"/>
      <c r="G76" s="40"/>
      <c r="H76" s="40"/>
      <c r="I76" s="40"/>
      <c r="J76" s="41"/>
      <c r="K76" s="42"/>
      <c r="L76" s="41"/>
      <c r="M76" s="42"/>
      <c r="N76" s="41"/>
      <c r="O76" s="41"/>
      <c r="P76" s="41"/>
      <c r="Q76" s="41"/>
      <c r="R76" s="41"/>
      <c r="S76" s="41"/>
      <c r="T76" s="41"/>
      <c r="U76" s="41"/>
      <c r="V76" s="42"/>
      <c r="W76" s="42"/>
    </row>
    <row r="77" spans="1:23" hidden="1">
      <c r="D77" s="5"/>
      <c r="E77" s="5"/>
      <c r="F77" s="5"/>
      <c r="G77" s="5"/>
    </row>
    <row r="78" spans="1:23" hidden="1">
      <c r="D78" s="5"/>
      <c r="E78" s="5"/>
      <c r="F78" s="5"/>
      <c r="G78" s="5"/>
    </row>
    <row r="79" spans="1:23" hidden="1">
      <c r="D79" s="5"/>
      <c r="E79" s="5"/>
      <c r="F79" s="5"/>
      <c r="G79" s="5"/>
    </row>
    <row r="80" spans="1:23" hidden="1">
      <c r="D80" s="5"/>
      <c r="E80" s="5"/>
      <c r="F80" s="5"/>
      <c r="G80" s="5"/>
    </row>
    <row r="81" spans="4:7" hidden="1">
      <c r="D81" s="5"/>
      <c r="E81" s="5"/>
      <c r="F81" s="5"/>
      <c r="G81" s="5"/>
    </row>
    <row r="82" spans="4:7" hidden="1">
      <c r="D82" s="5"/>
      <c r="E82" s="5"/>
      <c r="F82" s="5"/>
      <c r="G82" s="5"/>
    </row>
    <row r="83" spans="4:7" hidden="1">
      <c r="D83" s="5"/>
      <c r="E83" s="5"/>
      <c r="F83" s="5"/>
      <c r="G83" s="5"/>
    </row>
    <row r="84" spans="4:7" hidden="1">
      <c r="D84" s="5"/>
      <c r="E84" s="5"/>
      <c r="F84" s="5"/>
      <c r="G84" s="5"/>
    </row>
    <row r="85" spans="4:7" hidden="1">
      <c r="D85" s="5"/>
      <c r="E85" s="5"/>
      <c r="F85" s="5"/>
      <c r="G85" s="5"/>
    </row>
    <row r="86" spans="4:7" hidden="1">
      <c r="D86" s="5"/>
      <c r="E86" s="5"/>
      <c r="F86" s="5"/>
      <c r="G86" s="5"/>
    </row>
    <row r="87" spans="4:7" hidden="1">
      <c r="D87" s="5"/>
      <c r="E87" s="5"/>
      <c r="F87" s="5"/>
      <c r="G87" s="5"/>
    </row>
    <row r="88" spans="4:7" hidden="1">
      <c r="D88" s="5"/>
      <c r="E88" s="5"/>
      <c r="F88" s="5"/>
      <c r="G88" s="5"/>
    </row>
    <row r="89" spans="4:7" hidden="1">
      <c r="D89" s="5"/>
      <c r="E89" s="5"/>
      <c r="F89" s="5"/>
      <c r="G89" s="5"/>
    </row>
    <row r="90" spans="4:7" hidden="1">
      <c r="D90" s="5"/>
      <c r="E90" s="5"/>
      <c r="F90" s="5"/>
      <c r="G90" s="5"/>
    </row>
    <row r="91" spans="4:7" hidden="1">
      <c r="D91" s="5"/>
      <c r="E91" s="5"/>
      <c r="F91" s="5"/>
      <c r="G91" s="5"/>
    </row>
    <row r="92" spans="4:7" hidden="1">
      <c r="D92" s="5"/>
      <c r="E92" s="5"/>
      <c r="F92" s="5"/>
      <c r="G92" s="5"/>
    </row>
    <row r="93" spans="4:7" hidden="1">
      <c r="D93" s="5"/>
      <c r="E93" s="5"/>
      <c r="F93" s="5"/>
      <c r="G93" s="5"/>
    </row>
    <row r="94" spans="4:7" hidden="1">
      <c r="D94" s="5"/>
      <c r="E94" s="5"/>
      <c r="F94" s="5"/>
      <c r="G94" s="5"/>
    </row>
    <row r="95" spans="4:7" hidden="1">
      <c r="D95" s="5"/>
      <c r="E95" s="5"/>
      <c r="F95" s="5"/>
      <c r="G95" s="5"/>
    </row>
    <row r="96" spans="4:7" hidden="1">
      <c r="D96" s="5"/>
      <c r="E96" s="5"/>
      <c r="F96" s="5"/>
      <c r="G96" s="5"/>
    </row>
    <row r="97" spans="4:7" hidden="1">
      <c r="D97" s="5"/>
      <c r="E97" s="5"/>
      <c r="F97" s="5"/>
      <c r="G97" s="5"/>
    </row>
    <row r="98" spans="4:7" hidden="1">
      <c r="D98" s="5"/>
      <c r="E98" s="5"/>
      <c r="F98" s="5"/>
      <c r="G98" s="5"/>
    </row>
    <row r="99" spans="4:7" hidden="1">
      <c r="D99" s="5"/>
      <c r="E99" s="5"/>
      <c r="F99" s="5"/>
      <c r="G99" s="5"/>
    </row>
    <row r="100" spans="4:7" hidden="1">
      <c r="D100" s="5"/>
      <c r="E100" s="5"/>
      <c r="F100" s="5"/>
      <c r="G100" s="5"/>
    </row>
    <row r="101" spans="4:7" hidden="1">
      <c r="D101" s="5"/>
      <c r="E101" s="5"/>
      <c r="F101" s="5"/>
      <c r="G101" s="5"/>
    </row>
    <row r="102" spans="4:7" hidden="1">
      <c r="D102" s="5"/>
      <c r="E102" s="5"/>
      <c r="F102" s="5"/>
      <c r="G102" s="5"/>
    </row>
    <row r="103" spans="4:7" hidden="1">
      <c r="D103" s="5"/>
      <c r="E103" s="5"/>
      <c r="F103" s="5"/>
      <c r="G103" s="5"/>
    </row>
    <row r="104" spans="4:7" hidden="1">
      <c r="D104" s="5"/>
      <c r="E104" s="5"/>
      <c r="F104" s="5"/>
      <c r="G104" s="5"/>
    </row>
    <row r="105" spans="4:7" hidden="1">
      <c r="D105" s="5"/>
      <c r="E105" s="5"/>
      <c r="F105" s="5"/>
      <c r="G105" s="5"/>
    </row>
    <row r="106" spans="4:7" hidden="1">
      <c r="D106" s="5"/>
      <c r="E106" s="5"/>
      <c r="F106" s="5"/>
      <c r="G106" s="5"/>
    </row>
    <row r="107" spans="4:7" hidden="1">
      <c r="D107" s="5"/>
      <c r="E107" s="5"/>
      <c r="F107" s="5"/>
      <c r="G107" s="5"/>
    </row>
    <row r="108" spans="4:7" hidden="1">
      <c r="D108" s="5"/>
      <c r="E108" s="5"/>
      <c r="F108" s="5"/>
      <c r="G108" s="5"/>
    </row>
    <row r="109" spans="4:7" hidden="1">
      <c r="D109" s="5"/>
      <c r="E109" s="5"/>
      <c r="F109" s="5"/>
      <c r="G109" s="5"/>
    </row>
    <row r="110" spans="4:7" hidden="1">
      <c r="D110" s="5"/>
      <c r="E110" s="5"/>
      <c r="F110" s="5"/>
      <c r="G110" s="5"/>
    </row>
    <row r="111" spans="4:7" hidden="1">
      <c r="D111" s="5"/>
      <c r="E111" s="5"/>
      <c r="F111" s="5"/>
      <c r="G111" s="5"/>
    </row>
  </sheetData>
  <conditionalFormatting sqref="P14:Q21">
    <cfRule type="expression" dxfId="13" priority="56" stopIfTrue="1">
      <formula>#REF!="Actual"</formula>
    </cfRule>
  </conditionalFormatting>
  <conditionalFormatting sqref="P14:P21">
    <cfRule type="expression" dxfId="12" priority="55" stopIfTrue="1">
      <formula>#REF!="Actual"</formula>
    </cfRule>
  </conditionalFormatting>
  <conditionalFormatting sqref="P75">
    <cfRule type="expression" dxfId="11" priority="53" stopIfTrue="1">
      <formula>#REF!="Actual"</formula>
    </cfRule>
  </conditionalFormatting>
  <conditionalFormatting sqref="Q75">
    <cfRule type="expression" dxfId="10" priority="50" stopIfTrue="1">
      <formula>#REF!="Actual"</formula>
    </cfRule>
  </conditionalFormatting>
  <conditionalFormatting sqref="V1">
    <cfRule type="cellIs" dxfId="9" priority="5" operator="equal">
      <formula>"Check"</formula>
    </cfRule>
    <cfRule type="cellIs" dxfId="8" priority="6" operator="equal">
      <formula>"Ok"</formula>
    </cfRule>
  </conditionalFormatting>
  <conditionalFormatting sqref="S1">
    <cfRule type="cellIs" dxfId="7" priority="3" operator="equal">
      <formula>"Check"</formula>
    </cfRule>
    <cfRule type="cellIs" dxfId="6" priority="4" operator="equal">
      <formula>"Ok"</formula>
    </cfRule>
  </conditionalFormatting>
  <conditionalFormatting sqref="P61">
    <cfRule type="expression" dxfId="5" priority="2" stopIfTrue="1">
      <formula>#REF!="Actual"</formula>
    </cfRule>
  </conditionalFormatting>
  <conditionalFormatting sqref="Q61">
    <cfRule type="expression" dxfId="4" priority="1" stopIfTrue="1">
      <formula>#REF!="Actual"</formula>
    </cfRule>
  </conditionalFormatting>
  <hyperlinks>
    <hyperlink ref="J1" location="Index!A1" display="Back to Index"/>
    <hyperlink ref="U1" location="'Check|List'!A1" display="Overall Check:"/>
  </hyperlinks>
  <pageMargins left="0.7" right="0.7" top="0.75" bottom="0.75" header="0.3" footer="0.3"/>
  <pageSetup paperSize="9" orientation="portrait" verticalDpi="4" r:id="rId1"/>
  <ignoredErrors>
    <ignoredError sqref="G11" numberStoredAsText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theme="1"/>
  </sheetPr>
  <dimension ref="A1:AU25"/>
  <sheetViews>
    <sheetView showGridLines="0" workbookViewId="0"/>
  </sheetViews>
  <sheetFormatPr defaultColWidth="0" defaultRowHeight="11.25" zeroHeight="1"/>
  <cols>
    <col min="1" max="2" width="1.5" style="5" customWidth="1"/>
    <col min="3" max="3" width="42" style="5" customWidth="1"/>
    <col min="4" max="4" width="20.33203125" style="4" bestFit="1" customWidth="1"/>
    <col min="5" max="5" width="15.83203125" style="4" customWidth="1"/>
    <col min="6" max="6" width="10.6640625" style="4" customWidth="1"/>
    <col min="7" max="7" width="15" style="13" customWidth="1"/>
    <col min="8" max="9" width="5.33203125" style="5" customWidth="1"/>
    <col min="10" max="23" width="10.83203125" style="5" customWidth="1"/>
    <col min="24" max="47" width="10.5" style="5" customWidth="1"/>
    <col min="48" max="16384" width="10.5" style="5" hidden="1"/>
  </cols>
  <sheetData>
    <row r="1" spans="1:20" s="34" customFormat="1" ht="15.75">
      <c r="B1" s="31" t="str">
        <f>Index!$B$1</f>
        <v>AER opex model</v>
      </c>
      <c r="C1" s="31"/>
      <c r="D1" s="31"/>
      <c r="E1" s="31"/>
      <c r="F1" s="32"/>
      <c r="G1" s="32"/>
      <c r="H1" s="32"/>
      <c r="I1" s="32"/>
      <c r="J1" s="33" t="s">
        <v>2</v>
      </c>
      <c r="L1" s="35" t="s">
        <v>3</v>
      </c>
      <c r="M1" s="48" t="s">
        <v>4</v>
      </c>
      <c r="N1" s="8" t="s">
        <v>5</v>
      </c>
      <c r="O1" s="9" t="s">
        <v>6</v>
      </c>
      <c r="R1" s="163" t="s">
        <v>24</v>
      </c>
      <c r="S1" s="36" t="str">
        <f>IF(COUNTIF(G10:G16,"Check")=0,"Ok","Check")</f>
        <v>Ok</v>
      </c>
    </row>
    <row r="2" spans="1:20" s="34" customFormat="1" ht="12.75">
      <c r="B2" s="45" t="str">
        <f>Index!$C$15</f>
        <v>Check | List</v>
      </c>
      <c r="C2" s="45"/>
      <c r="D2" s="45"/>
      <c r="E2" s="45"/>
      <c r="F2" s="46"/>
      <c r="G2" s="46"/>
      <c r="H2" s="46"/>
      <c r="I2" s="46"/>
    </row>
    <row r="3" spans="1:20" s="47" customFormat="1" ht="12.75">
      <c r="A3" s="39"/>
      <c r="B3" s="43"/>
      <c r="C3" s="39"/>
      <c r="D3" s="39"/>
      <c r="E3" s="39"/>
      <c r="F3" s="40"/>
      <c r="G3" s="40"/>
      <c r="H3" s="40"/>
      <c r="I3" s="40"/>
      <c r="J3" s="41"/>
      <c r="K3" s="42"/>
      <c r="L3" s="41"/>
      <c r="M3" s="42"/>
      <c r="N3" s="41"/>
      <c r="O3" s="41"/>
      <c r="P3" s="41"/>
      <c r="Q3" s="41"/>
      <c r="R3" s="41"/>
      <c r="S3" s="41"/>
      <c r="T3" s="41"/>
    </row>
    <row r="4" spans="1:20" s="3" customFormat="1" ht="3" customHeight="1"/>
    <row r="5" spans="1:20" s="3" customFormat="1" ht="9" customHeight="1"/>
    <row r="6" spans="1:20" s="3" customFormat="1" ht="3" customHeight="1"/>
    <row r="7" spans="1:20" customFormat="1" ht="12.75">
      <c r="A7" s="39"/>
      <c r="B7" s="43" t="s">
        <v>26</v>
      </c>
      <c r="C7" s="39"/>
      <c r="D7" s="39"/>
      <c r="E7" s="39"/>
      <c r="F7" s="40"/>
      <c r="G7" s="40"/>
      <c r="H7" s="40"/>
      <c r="I7" s="40"/>
      <c r="J7" s="41"/>
      <c r="K7" s="42"/>
      <c r="L7" s="41"/>
      <c r="M7" s="42"/>
      <c r="N7" s="41"/>
      <c r="O7" s="41"/>
      <c r="P7" s="41"/>
      <c r="Q7" s="41"/>
      <c r="R7" s="41"/>
      <c r="S7" s="41"/>
      <c r="T7" s="41"/>
    </row>
    <row r="8" spans="1:20"/>
    <row r="9" spans="1:20">
      <c r="C9" s="10" t="s">
        <v>27</v>
      </c>
      <c r="D9" s="11" t="s">
        <v>7</v>
      </c>
      <c r="E9" s="11" t="s">
        <v>8</v>
      </c>
      <c r="F9" s="11"/>
      <c r="G9" s="11" t="s">
        <v>29</v>
      </c>
    </row>
    <row r="10" spans="1:20">
      <c r="C10" s="12" t="str">
        <f>Index!C7</f>
        <v>Input | General</v>
      </c>
      <c r="D10" s="30" t="str">
        <f>C10</f>
        <v>Input | General</v>
      </c>
      <c r="E10" s="13" t="s">
        <v>28</v>
      </c>
      <c r="F10" s="13"/>
      <c r="G10" s="15" t="str">
        <f>'Input|General'!S1</f>
        <v>OK</v>
      </c>
      <c r="T10" s="14"/>
    </row>
    <row r="11" spans="1:20">
      <c r="C11" s="12" t="str">
        <f>Index!C8</f>
        <v>Input | Inflation</v>
      </c>
      <c r="D11" s="149" t="str">
        <f>C11</f>
        <v>Input | Inflation</v>
      </c>
      <c r="E11" s="13" t="s">
        <v>28</v>
      </c>
      <c r="F11" s="13"/>
      <c r="G11" s="15" t="str">
        <f>'Input|Inflation'!T1</f>
        <v>OK</v>
      </c>
      <c r="T11" s="14"/>
    </row>
    <row r="12" spans="1:20">
      <c r="C12" s="12" t="str">
        <f>Index!C9</f>
        <v>Input | Reported opex</v>
      </c>
      <c r="D12" s="30" t="str">
        <f t="shared" ref="D12:D16" si="0">C12</f>
        <v>Input | Reported opex</v>
      </c>
      <c r="E12" s="13" t="s">
        <v>28</v>
      </c>
      <c r="G12" s="15" t="str">
        <f>'Input|Reported opex'!S1</f>
        <v>OK</v>
      </c>
      <c r="H12" s="13"/>
      <c r="T12" s="14"/>
    </row>
    <row r="13" spans="1:20">
      <c r="C13" s="12" t="str">
        <f>Index!C10</f>
        <v>Input | Rate of change</v>
      </c>
      <c r="D13" s="149" t="str">
        <f t="shared" si="0"/>
        <v>Input | Rate of change</v>
      </c>
      <c r="E13" s="13" t="s">
        <v>28</v>
      </c>
      <c r="F13" s="13"/>
      <c r="G13" s="15" t="str">
        <f>'Input|Rate of change'!T1</f>
        <v>Ok</v>
      </c>
      <c r="H13" s="13"/>
      <c r="T13" s="14"/>
    </row>
    <row r="14" spans="1:20">
      <c r="C14" s="12" t="str">
        <f>Index!C11</f>
        <v>Input | Step changes</v>
      </c>
      <c r="D14" s="30" t="str">
        <f t="shared" si="0"/>
        <v>Input | Step changes</v>
      </c>
      <c r="E14" s="13" t="s">
        <v>28</v>
      </c>
      <c r="F14" s="13"/>
      <c r="G14" s="15" t="str">
        <f>'Input|Step changes'!S1</f>
        <v>OK</v>
      </c>
      <c r="H14" s="13"/>
      <c r="T14" s="14"/>
    </row>
    <row r="15" spans="1:20">
      <c r="C15" s="12" t="str">
        <f>Index!C12</f>
        <v>Calc | Opex Forecast</v>
      </c>
      <c r="D15" s="30" t="str">
        <f t="shared" si="0"/>
        <v>Calc | Opex Forecast</v>
      </c>
      <c r="E15" s="13" t="s">
        <v>28</v>
      </c>
      <c r="F15" s="13"/>
      <c r="G15" s="15" t="str">
        <f>'Calc|Opex forecast'!S1</f>
        <v>n/a</v>
      </c>
      <c r="H15" s="13"/>
      <c r="T15" s="14"/>
    </row>
    <row r="16" spans="1:20">
      <c r="C16" s="12" t="str">
        <f>Index!C13</f>
        <v>Output | Models</v>
      </c>
      <c r="D16" s="30" t="str">
        <f t="shared" si="0"/>
        <v>Output | Models</v>
      </c>
      <c r="E16" s="13" t="s">
        <v>28</v>
      </c>
      <c r="F16" s="13"/>
      <c r="G16" s="15" t="str">
        <f>'Output|Models'!S1</f>
        <v>n/a</v>
      </c>
      <c r="H16" s="13"/>
      <c r="T16" s="14"/>
    </row>
    <row r="17" spans="1:20">
      <c r="C17" s="12"/>
    </row>
    <row r="18" spans="1:20" customFormat="1" ht="12.75">
      <c r="A18" s="39"/>
      <c r="B18" s="43" t="s">
        <v>21</v>
      </c>
      <c r="C18" s="39"/>
      <c r="D18" s="39"/>
      <c r="E18" s="39"/>
      <c r="F18" s="40"/>
      <c r="G18" s="40"/>
      <c r="H18" s="40"/>
      <c r="I18" s="40"/>
      <c r="J18" s="41"/>
      <c r="K18" s="42"/>
      <c r="L18" s="41"/>
      <c r="M18" s="42"/>
      <c r="N18" s="41"/>
      <c r="O18" s="41"/>
      <c r="P18" s="41"/>
      <c r="Q18" s="41"/>
      <c r="R18" s="41"/>
      <c r="S18" s="41"/>
      <c r="T18" s="41"/>
    </row>
    <row r="19" spans="1:20" hidden="1">
      <c r="D19" s="5"/>
      <c r="E19" s="5"/>
      <c r="F19" s="5"/>
      <c r="G19" s="5"/>
    </row>
    <row r="20" spans="1:20" hidden="1">
      <c r="D20" s="5"/>
      <c r="E20" s="5"/>
      <c r="F20" s="5"/>
      <c r="G20" s="5"/>
    </row>
    <row r="21" spans="1:20" hidden="1">
      <c r="D21" s="5"/>
      <c r="E21" s="5"/>
      <c r="F21" s="5"/>
      <c r="G21" s="5"/>
    </row>
    <row r="22" spans="1:20" hidden="1">
      <c r="D22" s="5"/>
      <c r="E22" s="5"/>
      <c r="F22" s="5"/>
      <c r="G22" s="5"/>
    </row>
    <row r="23" spans="1:20" hidden="1">
      <c r="D23" s="5"/>
      <c r="E23" s="5"/>
      <c r="F23" s="5"/>
      <c r="G23" s="5"/>
    </row>
    <row r="24" spans="1:20" hidden="1">
      <c r="D24" s="5"/>
      <c r="E24" s="5"/>
      <c r="F24" s="5"/>
      <c r="G24" s="5"/>
    </row>
    <row r="25" spans="1:20" hidden="1"/>
  </sheetData>
  <conditionalFormatting sqref="G10:G16">
    <cfRule type="cellIs" dxfId="3" priority="13" operator="equal">
      <formula>"Check"</formula>
    </cfRule>
    <cfRule type="cellIs" dxfId="2" priority="14" operator="equal">
      <formula>"Ok"</formula>
    </cfRule>
  </conditionalFormatting>
  <conditionalFormatting sqref="S1">
    <cfRule type="cellIs" dxfId="1" priority="1" operator="equal">
      <formula>"Check"</formula>
    </cfRule>
    <cfRule type="cellIs" dxfId="0" priority="2" operator="equal">
      <formula>"Ok"</formula>
    </cfRule>
  </conditionalFormatting>
  <hyperlinks>
    <hyperlink ref="J1" location="Index!A1" display="Back to Index"/>
    <hyperlink ref="D10" location="'Input|General'!A1" display="'Input|General'!A1"/>
    <hyperlink ref="D12" location="'Input|Reported opex'!A1" display="'Input|Reported opex'!A1"/>
    <hyperlink ref="D13" location="'Input|Rate of change'!A1" display="'Input|Rate of change'!A1"/>
    <hyperlink ref="D14" location="'Input|Step changes'!A1" display="'Input|Step changes'!A1"/>
    <hyperlink ref="D15" location="'Calc|Opex Forecast'!A1" display="'Calc|Opex Forecast'!A1"/>
    <hyperlink ref="D16" location="'Output|Models'!A1" display="'Output|Models'!A1"/>
    <hyperlink ref="D11" location="'Input|Inflation'!A1" display="'Input|Inflation'!A1"/>
    <hyperlink ref="R1" location="'Check|List'!A1" display="Overall Check:"/>
  </hyperlinks>
  <pageMargins left="0.7" right="0.7" top="0.75" bottom="0.75" header="0.3" footer="0.3"/>
  <pageSetup paperSize="9" orientation="portrait" verticalDpi="4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BA3B04C24F8D74DBE21978B58C569F6" ma:contentTypeVersion="6" ma:contentTypeDescription="Create a new document." ma:contentTypeScope="" ma:versionID="a7feb8a73cf6b750bc32f6390f3d24f3">
  <xsd:schema xmlns:xsd="http://www.w3.org/2001/XMLSchema" xmlns:xs="http://www.w3.org/2001/XMLSchema" xmlns:p="http://schemas.microsoft.com/office/2006/metadata/properties" xmlns:ns2="4eb6023d-658b-4527-be73-24b0518f0bf9" xmlns:ns3="7aa583b4-7878-4620-ad4f-d1b586498304" targetNamespace="http://schemas.microsoft.com/office/2006/metadata/properties" ma:root="true" ma:fieldsID="ef6085330bcbcbe5f1a5203980ea3ed5" ns2:_="" ns3:_="">
    <xsd:import namespace="4eb6023d-658b-4527-be73-24b0518f0bf9"/>
    <xsd:import namespace="7aa583b4-7878-4620-ad4f-d1b58649830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eb6023d-658b-4527-be73-24b0518f0bf9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aa583b4-7878-4620-ad4f-d1b58649830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30139022-23C4-4AA6-B598-63D38FFDE3B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eb6023d-658b-4527-be73-24b0518f0bf9"/>
    <ds:schemaRef ds:uri="7aa583b4-7878-4620-ad4f-d1b58649830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8E834533-7759-4920-A14E-AEDC9A9D4BDA}">
  <ds:schemaRefs>
    <ds:schemaRef ds:uri="4eb6023d-658b-4527-be73-24b0518f0bf9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7aa583b4-7878-4620-ad4f-d1b586498304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EB76FA5B-02AB-4821-B0DD-228696F111FC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10</vt:i4>
      </vt:variant>
      <vt:variant>
        <vt:lpstr>Named Ranges</vt:lpstr>
      </vt:variant>
      <vt:variant>
        <vt:i4>14</vt:i4>
      </vt:variant>
    </vt:vector>
  </HeadingPairs>
  <TitlesOfParts>
    <vt:vector size="24" baseType="lpstr">
      <vt:lpstr>Index</vt:lpstr>
      <vt:lpstr>Input|General</vt:lpstr>
      <vt:lpstr>Input|Inflation</vt:lpstr>
      <vt:lpstr>Input|Reported opex</vt:lpstr>
      <vt:lpstr>Input|Rate of change</vt:lpstr>
      <vt:lpstr>Input|Step changes</vt:lpstr>
      <vt:lpstr>Calc|Opex forecast</vt:lpstr>
      <vt:lpstr>Output|Models</vt:lpstr>
      <vt:lpstr>Lookup|Tables</vt:lpstr>
      <vt:lpstr>Check|List</vt:lpstr>
      <vt:lpstr>BaseYear</vt:lpstr>
      <vt:lpstr>factor</vt:lpstr>
      <vt:lpstr>FPFirstYear</vt:lpstr>
      <vt:lpstr>FPLastYear</vt:lpstr>
      <vt:lpstr>millions</vt:lpstr>
      <vt:lpstr>Nominal_to_Real</vt:lpstr>
      <vt:lpstr>NSP</vt:lpstr>
      <vt:lpstr>number</vt:lpstr>
      <vt:lpstr>percent</vt:lpstr>
      <vt:lpstr>PPFirstYear</vt:lpstr>
      <vt:lpstr>PPLastYear</vt:lpstr>
      <vt:lpstr>Real_to_Nominal</vt:lpstr>
      <vt:lpstr>thousands</vt:lpstr>
      <vt:lpstr>unit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2018-09-21T04:06:51Z</dcterms:created>
  <dcterms:modified xsi:type="dcterms:W3CDTF">2019-04-18T02:23:59Z</dcterms:modified>
  <cp:contentStatus>Final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0x0101003BA3B04C24F8D74DBE21978B58C569F6</vt:lpwstr>
  </property>
  <property fmtid="{D5CDD505-2E9C-101B-9397-08002B2CF9AE}" pid="3" name="_MarkAsFinal">
    <vt:bool>true</vt:bool>
  </property>
</Properties>
</file>