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14505" yWindow="30" windowWidth="14310" windowHeight="11715" activeTab="2"/>
  </bookViews>
  <sheets>
    <sheet name="AER Smoothed Prices" sheetId="2" r:id="rId1"/>
    <sheet name="ACS Meter Pricing" sheetId="1" r:id="rId2"/>
    <sheet name="Upfront capital charge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40" i="2" l="1"/>
  <c r="I40" i="2"/>
  <c r="J40" i="2"/>
  <c r="G40" i="2"/>
  <c r="G8" i="1" l="1"/>
  <c r="F8" i="1"/>
  <c r="E8" i="1"/>
  <c r="D8" i="1"/>
  <c r="C8" i="1"/>
  <c r="N6" i="1"/>
  <c r="M6" i="1"/>
  <c r="L6" i="1"/>
  <c r="K6" i="1"/>
  <c r="J6" i="1"/>
  <c r="N5" i="1"/>
  <c r="M5" i="1"/>
  <c r="L5" i="1"/>
  <c r="K5" i="1"/>
  <c r="J5" i="1"/>
  <c r="N4" i="1"/>
  <c r="M4" i="1"/>
  <c r="L4" i="1"/>
  <c r="K4" i="1"/>
  <c r="J4" i="1"/>
  <c r="I7" i="1"/>
  <c r="I6" i="1"/>
  <c r="I5" i="1"/>
  <c r="I4" i="1"/>
  <c r="R6" i="2"/>
  <c r="Q6" i="2"/>
  <c r="P6" i="2"/>
  <c r="O6" i="2"/>
  <c r="R4" i="2"/>
  <c r="Q4" i="2"/>
  <c r="P4" i="2"/>
  <c r="O4" i="2"/>
  <c r="J8" i="1" l="1"/>
  <c r="L8" i="1"/>
  <c r="M8" i="1"/>
  <c r="N8" i="1"/>
  <c r="K8" i="1"/>
  <c r="P5" i="2" l="1"/>
  <c r="Q5" i="2" s="1"/>
  <c r="R5" i="2" s="1"/>
  <c r="H13" i="2"/>
  <c r="F3" i="2"/>
  <c r="L3" i="2" s="1"/>
  <c r="R3" i="2" s="1"/>
  <c r="E3" i="2"/>
  <c r="D3" i="2"/>
  <c r="J3" i="2" s="1"/>
  <c r="P3" i="2" s="1"/>
  <c r="C3" i="2"/>
  <c r="B3" i="2"/>
  <c r="H3" i="2" s="1"/>
  <c r="A20" i="2"/>
  <c r="A19" i="2"/>
  <c r="K3" i="2"/>
  <c r="Q3" i="2" s="1"/>
  <c r="I3" i="2"/>
  <c r="O3" i="2" s="1"/>
  <c r="N9" i="1" l="1"/>
  <c r="M9" i="1"/>
  <c r="L9" i="1"/>
  <c r="K9" i="1"/>
  <c r="J9" i="1"/>
  <c r="N3" i="1"/>
  <c r="M3" i="1"/>
  <c r="L3" i="1"/>
  <c r="K3" i="1"/>
  <c r="J3" i="1"/>
  <c r="G6" i="1"/>
  <c r="L23" i="2" s="1"/>
  <c r="F6" i="1"/>
  <c r="K23" i="2" s="1"/>
  <c r="E6" i="1"/>
  <c r="J23" i="2" s="1"/>
  <c r="D6" i="1"/>
  <c r="I23" i="2" s="1"/>
  <c r="C6" i="1"/>
  <c r="H23" i="2" s="1"/>
  <c r="G23" i="2" l="1"/>
  <c r="O9" i="1"/>
  <c r="B38" i="1"/>
  <c r="A13" i="2" s="1"/>
  <c r="B37" i="1"/>
  <c r="A9" i="2" s="1"/>
  <c r="B36" i="1"/>
  <c r="A5" i="2" s="1"/>
  <c r="B30" i="1"/>
  <c r="B29" i="1"/>
  <c r="B28" i="1"/>
  <c r="B24" i="1"/>
  <c r="B23" i="1"/>
  <c r="B22" i="1"/>
  <c r="C19" i="1"/>
  <c r="B19" i="1"/>
  <c r="B18" i="1"/>
  <c r="B17" i="1"/>
  <c r="N14" i="1"/>
  <c r="M14" i="1"/>
  <c r="L14" i="1"/>
  <c r="K14" i="1"/>
  <c r="J14" i="1"/>
  <c r="D14" i="1"/>
  <c r="C13" i="1"/>
  <c r="C12" i="1"/>
  <c r="H5" i="2" s="1"/>
  <c r="H18" i="2" l="1"/>
  <c r="C18" i="1"/>
  <c r="H9" i="2"/>
  <c r="D19" i="1"/>
  <c r="I13" i="2"/>
  <c r="D13" i="1"/>
  <c r="E13" i="1" s="1"/>
  <c r="J9" i="2" s="1"/>
  <c r="D12" i="1"/>
  <c r="I5" i="2" s="1"/>
  <c r="E14" i="1"/>
  <c r="J13" i="2" s="1"/>
  <c r="C15" i="1"/>
  <c r="C17" i="1"/>
  <c r="C43" i="1"/>
  <c r="C44" i="1" s="1"/>
  <c r="D18" i="1" l="1"/>
  <c r="I9" i="2"/>
  <c r="I18" i="2" s="1"/>
  <c r="F13" i="1"/>
  <c r="K9" i="2" s="1"/>
  <c r="E18" i="1"/>
  <c r="C20" i="1"/>
  <c r="C22" i="1" s="1"/>
  <c r="F14" i="1"/>
  <c r="K13" i="2" s="1"/>
  <c r="E19" i="1"/>
  <c r="D43" i="1"/>
  <c r="D44" i="1" s="1"/>
  <c r="D17" i="1"/>
  <c r="D15" i="1"/>
  <c r="E12" i="1"/>
  <c r="J5" i="2" s="1"/>
  <c r="J18" i="2" s="1"/>
  <c r="F19" i="1" l="1"/>
  <c r="G14" i="1"/>
  <c r="C36" i="1"/>
  <c r="E43" i="1"/>
  <c r="E44" i="1" s="1"/>
  <c r="E17" i="1"/>
  <c r="E15" i="1"/>
  <c r="F12" i="1"/>
  <c r="K5" i="2" s="1"/>
  <c r="K18" i="2" s="1"/>
  <c r="D20" i="1"/>
  <c r="C23" i="1"/>
  <c r="C24" i="1"/>
  <c r="F18" i="1"/>
  <c r="G13" i="1"/>
  <c r="G18" i="1" l="1"/>
  <c r="L9" i="2"/>
  <c r="G19" i="1"/>
  <c r="L13" i="2"/>
  <c r="B7" i="2"/>
  <c r="I32" i="2" s="1"/>
  <c r="B6" i="2"/>
  <c r="I31" i="2" s="1"/>
  <c r="C37" i="1"/>
  <c r="D23" i="1"/>
  <c r="D24" i="1"/>
  <c r="F43" i="1"/>
  <c r="F44" i="1" s="1"/>
  <c r="F17" i="1"/>
  <c r="F15" i="1"/>
  <c r="G12" i="1"/>
  <c r="L5" i="2" s="1"/>
  <c r="L18" i="2" s="1"/>
  <c r="E20" i="1"/>
  <c r="E22" i="1" s="1"/>
  <c r="C38" i="1"/>
  <c r="D22" i="1"/>
  <c r="B15" i="2" l="1"/>
  <c r="I36" i="2" s="1"/>
  <c r="B14" i="2"/>
  <c r="I35" i="2" s="1"/>
  <c r="B11" i="2"/>
  <c r="I34" i="2" s="1"/>
  <c r="B10" i="2"/>
  <c r="I33" i="2" s="1"/>
  <c r="H7" i="2"/>
  <c r="C7" i="2"/>
  <c r="J32" i="2" s="1"/>
  <c r="C6" i="2"/>
  <c r="J31" i="2" s="1"/>
  <c r="H6" i="2"/>
  <c r="G43" i="1"/>
  <c r="G44" i="1" s="1"/>
  <c r="G17" i="1"/>
  <c r="G15" i="1"/>
  <c r="E24" i="1"/>
  <c r="E23" i="1"/>
  <c r="F20" i="1"/>
  <c r="F22" i="1" s="1"/>
  <c r="I6" i="2" l="1"/>
  <c r="D6" i="2"/>
  <c r="K31" i="2" s="1"/>
  <c r="H11" i="2"/>
  <c r="C11" i="2"/>
  <c r="J34" i="2" s="1"/>
  <c r="H14" i="2"/>
  <c r="C14" i="2"/>
  <c r="J35" i="2" s="1"/>
  <c r="I7" i="2"/>
  <c r="D7" i="2"/>
  <c r="K32" i="2" s="1"/>
  <c r="C10" i="2"/>
  <c r="J33" i="2" s="1"/>
  <c r="H10" i="2"/>
  <c r="H15" i="2"/>
  <c r="C15" i="2"/>
  <c r="J36" i="2" s="1"/>
  <c r="F24" i="1"/>
  <c r="F23" i="1"/>
  <c r="G20" i="1"/>
  <c r="H19" i="2" l="1"/>
  <c r="H20" i="2"/>
  <c r="I15" i="2"/>
  <c r="D15" i="2"/>
  <c r="K36" i="2" s="1"/>
  <c r="J7" i="2"/>
  <c r="E7" i="2"/>
  <c r="L32" i="2" s="1"/>
  <c r="I14" i="2"/>
  <c r="D14" i="2"/>
  <c r="K35" i="2" s="1"/>
  <c r="I11" i="2"/>
  <c r="I20" i="2" s="1"/>
  <c r="D11" i="2"/>
  <c r="K34" i="2" s="1"/>
  <c r="E6" i="2"/>
  <c r="L31" i="2" s="1"/>
  <c r="J6" i="2"/>
  <c r="I10" i="2"/>
  <c r="D10" i="2"/>
  <c r="K33" i="2" s="1"/>
  <c r="G23" i="1"/>
  <c r="G24" i="1"/>
  <c r="G22" i="1"/>
  <c r="H21" i="2" l="1"/>
  <c r="I19" i="2"/>
  <c r="I21" i="2" s="1"/>
  <c r="F6" i="2"/>
  <c r="K6" i="2"/>
  <c r="E10" i="2"/>
  <c r="L33" i="2" s="1"/>
  <c r="J10" i="2"/>
  <c r="E11" i="2"/>
  <c r="L34" i="2" s="1"/>
  <c r="J11" i="2"/>
  <c r="E14" i="2"/>
  <c r="L35" i="2" s="1"/>
  <c r="J14" i="2"/>
  <c r="K7" i="2"/>
  <c r="F7" i="2"/>
  <c r="J15" i="2"/>
  <c r="E15" i="2"/>
  <c r="L36" i="2" s="1"/>
  <c r="H24" i="1"/>
  <c r="H23" i="1"/>
  <c r="H22" i="1"/>
  <c r="L7" i="2" l="1"/>
  <c r="M32" i="2"/>
  <c r="L6" i="2"/>
  <c r="M31" i="2"/>
  <c r="J20" i="2"/>
  <c r="J19" i="2"/>
  <c r="K15" i="2"/>
  <c r="F15" i="2"/>
  <c r="K14" i="2"/>
  <c r="F14" i="2"/>
  <c r="K11" i="2"/>
  <c r="K20" i="2" s="1"/>
  <c r="F11" i="2"/>
  <c r="K10" i="2"/>
  <c r="K19" i="2" s="1"/>
  <c r="F10" i="2"/>
  <c r="D28" i="1"/>
  <c r="D29" i="1"/>
  <c r="D30" i="1"/>
  <c r="L10" i="2" l="1"/>
  <c r="M33" i="2"/>
  <c r="L11" i="2"/>
  <c r="M34" i="2"/>
  <c r="L14" i="2"/>
  <c r="M35" i="2"/>
  <c r="L15" i="2"/>
  <c r="M36" i="2"/>
  <c r="K21" i="2"/>
  <c r="J21" i="2"/>
  <c r="L20" i="2" l="1"/>
  <c r="L19" i="2"/>
  <c r="L21" i="2" l="1"/>
  <c r="L25" i="2" l="1"/>
  <c r="G21" i="2"/>
  <c r="G25" i="2" s="1"/>
</calcChain>
</file>

<file path=xl/sharedStrings.xml><?xml version="1.0" encoding="utf-8"?>
<sst xmlns="http://schemas.openxmlformats.org/spreadsheetml/2006/main" count="110" uniqueCount="74">
  <si>
    <t>INPUTS - Ergon Energy ACS Default Metering Pricing for 2015-20</t>
  </si>
  <si>
    <t>Input Data from TRISH Model</t>
  </si>
  <si>
    <t>2015-16</t>
  </si>
  <si>
    <t>2016-17</t>
  </si>
  <si>
    <t>2017-18</t>
  </si>
  <si>
    <t>2018-19</t>
  </si>
  <si>
    <t>2019-20</t>
  </si>
  <si>
    <t>Annual Revenue Requirement ($m)</t>
  </si>
  <si>
    <t>RAB ($m)</t>
  </si>
  <si>
    <t>Metering Charges Calculation</t>
  </si>
  <si>
    <t>Annual Metering Services</t>
  </si>
  <si>
    <t>Primary</t>
  </si>
  <si>
    <t>Controlled Load</t>
  </si>
  <si>
    <t>Solar</t>
  </si>
  <si>
    <t>Total</t>
  </si>
  <si>
    <t>Annual Metering Services (Weighted)</t>
  </si>
  <si>
    <t>Weighted Metering Revenue ($M)</t>
  </si>
  <si>
    <t>2015-20</t>
  </si>
  <si>
    <t>Proportion of ACS Default Revenue Assigned to Tariff Category for 2015-20</t>
  </si>
  <si>
    <t>Tariff Category</t>
  </si>
  <si>
    <t>Relative Cost</t>
  </si>
  <si>
    <t>2015/16</t>
  </si>
  <si>
    <t>2016/17</t>
  </si>
  <si>
    <t>2017/18</t>
  </si>
  <si>
    <t>2018/19</t>
  </si>
  <si>
    <t>2019/20</t>
  </si>
  <si>
    <t xml:space="preserve">Total Customer Transfer Fee </t>
  </si>
  <si>
    <t>New customers</t>
  </si>
  <si>
    <t>CL % of New</t>
  </si>
  <si>
    <t>New CL p.a.</t>
  </si>
  <si>
    <t>Current (Octo 2014) solar number of 101,827 based on email from Tony Cannane on 8 October 2014.</t>
  </si>
  <si>
    <t xml:space="preserve">Solar </t>
  </si>
  <si>
    <t>Active Type 5-6 Sites (excludes de-energised)</t>
  </si>
  <si>
    <t xml:space="preserve">% of Revenue Assigned to Tariff </t>
  </si>
  <si>
    <t>OUTPUTS - Ergon Energy ACS Metering Prices for 2015-20</t>
  </si>
  <si>
    <t>Annual Metering Charges</t>
  </si>
  <si>
    <t>Customer Transfer Fee (Exit Fee)</t>
  </si>
  <si>
    <t>Customer Transfer Fee (Admin Exit Fee)</t>
  </si>
  <si>
    <t>Customer Transfer Fee (Asset Exit Fee)</t>
  </si>
  <si>
    <t>Capital %</t>
  </si>
  <si>
    <t>Average</t>
  </si>
  <si>
    <t>Annual charges ($Nominal)</t>
  </si>
  <si>
    <t>Volumes and Revenue($m Nominal)</t>
  </si>
  <si>
    <t>Forecast inflation</t>
  </si>
  <si>
    <t>X factor</t>
  </si>
  <si>
    <t>non-capital</t>
  </si>
  <si>
    <t>capital</t>
  </si>
  <si>
    <t>Customers</t>
  </si>
  <si>
    <t>NPV</t>
  </si>
  <si>
    <t>Total Smoothed Revenue</t>
  </si>
  <si>
    <t>Total Unsmoothed Revenue</t>
  </si>
  <si>
    <t>Difference in NPVs</t>
  </si>
  <si>
    <t>Difference between final year revenue and requirement</t>
  </si>
  <si>
    <t>WACC</t>
  </si>
  <si>
    <t>Revenue Requirement ($m Nominal)</t>
  </si>
  <si>
    <t>Metering RAB ($m Nominal)</t>
  </si>
  <si>
    <t>Tariff class</t>
  </si>
  <si>
    <t>Costs</t>
  </si>
  <si>
    <t>Non–capital</t>
  </si>
  <si>
    <t>Capital</t>
  </si>
  <si>
    <t>Controlled load</t>
  </si>
  <si>
    <t>From table 16.11 final decision</t>
  </si>
  <si>
    <t>From table 16.12 final decision</t>
  </si>
  <si>
    <t>2016–17</t>
  </si>
  <si>
    <t>2017–18</t>
  </si>
  <si>
    <t>2018–19</t>
  </si>
  <si>
    <t>2019–20</t>
  </si>
  <si>
    <t>–2.76</t>
  </si>
  <si>
    <t>Upfront capital charge</t>
  </si>
  <si>
    <t>Meter</t>
  </si>
  <si>
    <t>Single phase</t>
  </si>
  <si>
    <t>Dual element</t>
  </si>
  <si>
    <t>Three phase</t>
  </si>
  <si>
    <t>Charges ($2014-15)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</si>
</sst>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  <numFmt numFmtId="168" formatCode="_-&quot;$&quot;* #,##0.0_-;\-&quot;$&quot;* #,##0.0_-;_-&quot;$&quot;* &quot;-&quot;??_-;_-@_-"/>
    <numFmt numFmtId="169" formatCode="_-&quot;$&quot;* #,##0_-;\-&quot;$&quot;* #,##0_-;_-&quot;$&quot;* &quot;-&quot;??_-;_-@_-"/>
    <numFmt numFmtId="170" formatCode="0.0%"/>
    <numFmt numFmtId="171" formatCode="_(* #,##0.00_);_(* \(#,##0.00\);_(* &quot;-&quot;_);_(@_)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indexed="8"/>
      <name val="Arial"/>
      <family val="2"/>
    </font>
    <font>
      <sz val="11"/>
      <color rgb="FF0000FF"/>
      <name val="Calibri"/>
      <family val="2"/>
      <scheme val="minor"/>
    </font>
    <font>
      <sz val="8"/>
      <color theme="1"/>
      <name val="Arial"/>
      <family val="2"/>
    </font>
    <font>
      <b/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365F91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0" borderId="0"/>
    <xf numFmtId="0" fontId="8" fillId="0" borderId="0"/>
    <xf numFmtId="0" fontId="8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95">
    <xf numFmtId="0" fontId="0" fillId="0" borderId="0" xfId="0"/>
    <xf numFmtId="0" fontId="2" fillId="3" borderId="0" xfId="3" applyFont="1" applyFill="1" applyBorder="1"/>
    <xf numFmtId="0" fontId="2" fillId="3" borderId="0" xfId="3" applyFont="1" applyFill="1"/>
    <xf numFmtId="0" fontId="2" fillId="3" borderId="0" xfId="3" applyFont="1" applyFill="1" applyAlignment="1">
      <alignment horizontal="center"/>
    </xf>
    <xf numFmtId="0" fontId="4" fillId="4" borderId="0" xfId="3" applyFont="1" applyFill="1"/>
    <xf numFmtId="0" fontId="6" fillId="4" borderId="0" xfId="3" applyFont="1" applyFill="1"/>
    <xf numFmtId="0" fontId="6" fillId="4" borderId="0" xfId="3" applyFont="1" applyFill="1" applyAlignment="1">
      <alignment horizontal="center"/>
    </xf>
    <xf numFmtId="0" fontId="2" fillId="4" borderId="0" xfId="3" applyFont="1" applyFill="1" applyAlignment="1">
      <alignment horizontal="center"/>
    </xf>
    <xf numFmtId="44" fontId="2" fillId="3" borderId="0" xfId="3" applyNumberFormat="1" applyFont="1" applyFill="1"/>
    <xf numFmtId="0" fontId="5" fillId="3" borderId="0" xfId="3" applyFont="1" applyFill="1"/>
    <xf numFmtId="0" fontId="7" fillId="3" borderId="0" xfId="4" applyFont="1" applyFill="1" applyBorder="1"/>
    <xf numFmtId="0" fontId="9" fillId="5" borderId="2" xfId="4" applyFont="1" applyFill="1" applyBorder="1" applyAlignment="1">
      <alignment horizontal="center"/>
    </xf>
    <xf numFmtId="0" fontId="9" fillId="5" borderId="3" xfId="4" applyFont="1" applyFill="1" applyBorder="1" applyAlignment="1">
      <alignment horizontal="center"/>
    </xf>
    <xf numFmtId="0" fontId="0" fillId="3" borderId="4" xfId="3" applyFont="1" applyFill="1" applyBorder="1"/>
    <xf numFmtId="0" fontId="9" fillId="5" borderId="1" xfId="3" applyFont="1" applyFill="1" applyBorder="1"/>
    <xf numFmtId="0" fontId="2" fillId="5" borderId="2" xfId="3" applyFont="1" applyFill="1" applyBorder="1"/>
    <xf numFmtId="0" fontId="2" fillId="5" borderId="3" xfId="3" applyFont="1" applyFill="1" applyBorder="1"/>
    <xf numFmtId="44" fontId="2" fillId="3" borderId="0" xfId="3" applyNumberFormat="1" applyFont="1" applyFill="1" applyAlignment="1">
      <alignment horizontal="center"/>
    </xf>
    <xf numFmtId="44" fontId="7" fillId="3" borderId="0" xfId="7" applyFont="1" applyFill="1" applyBorder="1" applyAlignment="1" applyProtection="1">
      <alignment horizontal="right"/>
      <protection locked="0"/>
    </xf>
    <xf numFmtId="44" fontId="7" fillId="3" borderId="0" xfId="7" applyFont="1" applyFill="1" applyBorder="1" applyAlignment="1" applyProtection="1">
      <alignment horizontal="center"/>
      <protection locked="0"/>
    </xf>
    <xf numFmtId="0" fontId="9" fillId="5" borderId="7" xfId="4" applyFont="1" applyFill="1" applyBorder="1" applyAlignment="1">
      <alignment horizontal="center"/>
    </xf>
    <xf numFmtId="0" fontId="9" fillId="5" borderId="8" xfId="4" applyFont="1" applyFill="1" applyBorder="1" applyAlignment="1">
      <alignment horizontal="center"/>
    </xf>
    <xf numFmtId="0" fontId="2" fillId="3" borderId="9" xfId="3" applyFont="1" applyFill="1" applyBorder="1"/>
    <xf numFmtId="166" fontId="7" fillId="0" borderId="10" xfId="8" applyNumberFormat="1" applyFont="1" applyBorder="1"/>
    <xf numFmtId="166" fontId="7" fillId="0" borderId="11" xfId="8" applyNumberFormat="1" applyFont="1" applyBorder="1"/>
    <xf numFmtId="0" fontId="2" fillId="3" borderId="12" xfId="3" applyFont="1" applyFill="1" applyBorder="1"/>
    <xf numFmtId="167" fontId="7" fillId="3" borderId="13" xfId="8" applyNumberFormat="1" applyFont="1" applyFill="1" applyBorder="1"/>
    <xf numFmtId="166" fontId="7" fillId="3" borderId="14" xfId="8" applyNumberFormat="1" applyFont="1" applyFill="1" applyBorder="1"/>
    <xf numFmtId="166" fontId="7" fillId="3" borderId="15" xfId="8" applyNumberFormat="1" applyFont="1" applyFill="1" applyBorder="1"/>
    <xf numFmtId="167" fontId="7" fillId="3" borderId="13" xfId="9" applyNumberFormat="1" applyFont="1" applyFill="1" applyBorder="1"/>
    <xf numFmtId="168" fontId="9" fillId="5" borderId="2" xfId="7" applyNumberFormat="1" applyFont="1" applyFill="1" applyBorder="1"/>
    <xf numFmtId="168" fontId="9" fillId="5" borderId="3" xfId="7" applyNumberFormat="1" applyFont="1" applyFill="1" applyBorder="1"/>
    <xf numFmtId="0" fontId="2" fillId="3" borderId="19" xfId="3" applyFont="1" applyFill="1" applyBorder="1"/>
    <xf numFmtId="167" fontId="7" fillId="0" borderId="10" xfId="8" applyNumberFormat="1" applyFont="1" applyBorder="1"/>
    <xf numFmtId="167" fontId="7" fillId="0" borderId="11" xfId="8" applyNumberFormat="1" applyFont="1" applyBorder="1"/>
    <xf numFmtId="9" fontId="2" fillId="3" borderId="0" xfId="1" applyFont="1" applyFill="1" applyAlignment="1">
      <alignment horizontal="center"/>
    </xf>
    <xf numFmtId="0" fontId="2" fillId="3" borderId="20" xfId="3" applyFont="1" applyFill="1" applyBorder="1"/>
    <xf numFmtId="166" fontId="7" fillId="3" borderId="21" xfId="8" applyNumberFormat="1" applyFont="1" applyFill="1" applyBorder="1"/>
    <xf numFmtId="167" fontId="7" fillId="3" borderId="21" xfId="8" applyNumberFormat="1" applyFont="1" applyFill="1" applyBorder="1"/>
    <xf numFmtId="167" fontId="7" fillId="3" borderId="22" xfId="8" applyNumberFormat="1" applyFont="1" applyFill="1" applyBorder="1"/>
    <xf numFmtId="0" fontId="2" fillId="3" borderId="23" xfId="3" applyFont="1" applyFill="1" applyBorder="1"/>
    <xf numFmtId="44" fontId="7" fillId="0" borderId="10" xfId="7" applyFont="1" applyBorder="1"/>
    <xf numFmtId="44" fontId="7" fillId="0" borderId="11" xfId="7" applyFont="1" applyBorder="1"/>
    <xf numFmtId="0" fontId="2" fillId="3" borderId="24" xfId="3" applyFont="1" applyFill="1" applyBorder="1"/>
    <xf numFmtId="44" fontId="7" fillId="3" borderId="21" xfId="7" applyFont="1" applyFill="1" applyBorder="1"/>
    <xf numFmtId="44" fontId="7" fillId="3" borderId="22" xfId="7" applyFont="1" applyFill="1" applyBorder="1"/>
    <xf numFmtId="0" fontId="2" fillId="3" borderId="26" xfId="3" applyFont="1" applyFill="1" applyBorder="1"/>
    <xf numFmtId="44" fontId="7" fillId="3" borderId="17" xfId="7" applyFont="1" applyFill="1" applyBorder="1"/>
    <xf numFmtId="44" fontId="7" fillId="3" borderId="18" xfId="7" applyFont="1" applyFill="1" applyBorder="1"/>
    <xf numFmtId="44" fontId="7" fillId="3" borderId="0" xfId="7" applyFont="1" applyFill="1" applyBorder="1"/>
    <xf numFmtId="44" fontId="7" fillId="3" borderId="0" xfId="7" applyFont="1" applyFill="1" applyAlignment="1">
      <alignment horizontal="center"/>
    </xf>
    <xf numFmtId="0" fontId="5" fillId="3" borderId="0" xfId="3" applyFont="1" applyFill="1" applyBorder="1"/>
    <xf numFmtId="44" fontId="7" fillId="3" borderId="0" xfId="7" applyFont="1" applyFill="1" applyBorder="1" applyAlignment="1">
      <alignment horizontal="center"/>
    </xf>
    <xf numFmtId="0" fontId="5" fillId="5" borderId="28" xfId="3" applyFont="1" applyFill="1" applyBorder="1"/>
    <xf numFmtId="10" fontId="7" fillId="3" borderId="0" xfId="10" applyNumberFormat="1" applyFont="1" applyFill="1" applyBorder="1" applyAlignment="1">
      <alignment horizontal="center"/>
    </xf>
    <xf numFmtId="0" fontId="2" fillId="0" borderId="19" xfId="3" applyFont="1" applyBorder="1" applyAlignment="1">
      <alignment vertical="center"/>
    </xf>
    <xf numFmtId="0" fontId="2" fillId="3" borderId="0" xfId="3" applyFont="1" applyFill="1" applyBorder="1" applyAlignment="1">
      <alignment horizontal="center"/>
    </xf>
    <xf numFmtId="0" fontId="2" fillId="0" borderId="20" xfId="3" applyFont="1" applyBorder="1" applyAlignment="1">
      <alignment vertical="center"/>
    </xf>
    <xf numFmtId="0" fontId="4" fillId="3" borderId="0" xfId="3" applyFont="1" applyFill="1" applyBorder="1"/>
    <xf numFmtId="0" fontId="2" fillId="0" borderId="16" xfId="3" applyFont="1" applyBorder="1" applyAlignment="1">
      <alignment vertical="center"/>
    </xf>
    <xf numFmtId="166" fontId="7" fillId="3" borderId="0" xfId="2" applyNumberFormat="1" applyFont="1" applyFill="1" applyBorder="1"/>
    <xf numFmtId="166" fontId="7" fillId="3" borderId="0" xfId="8" applyNumberFormat="1" applyFont="1" applyFill="1" applyBorder="1"/>
    <xf numFmtId="166" fontId="7" fillId="3" borderId="0" xfId="8" applyNumberFormat="1" applyFont="1" applyFill="1" applyBorder="1" applyAlignment="1">
      <alignment horizontal="center"/>
    </xf>
    <xf numFmtId="0" fontId="4" fillId="4" borderId="0" xfId="3" applyFont="1" applyFill="1" applyBorder="1"/>
    <xf numFmtId="0" fontId="5" fillId="4" borderId="0" xfId="3" applyFont="1" applyFill="1" applyBorder="1"/>
    <xf numFmtId="44" fontId="5" fillId="4" borderId="0" xfId="7" applyFont="1" applyFill="1" applyBorder="1" applyAlignment="1" applyProtection="1">
      <alignment horizontal="right"/>
      <protection locked="0"/>
    </xf>
    <xf numFmtId="44" fontId="5" fillId="4" borderId="0" xfId="7" applyFont="1" applyFill="1" applyBorder="1" applyAlignment="1" applyProtection="1">
      <alignment horizontal="center"/>
      <protection locked="0"/>
    </xf>
    <xf numFmtId="44" fontId="5" fillId="3" borderId="0" xfId="7" applyFont="1" applyFill="1" applyBorder="1" applyAlignment="1" applyProtection="1">
      <alignment horizontal="right"/>
      <protection locked="0"/>
    </xf>
    <xf numFmtId="166" fontId="9" fillId="3" borderId="0" xfId="8" applyNumberFormat="1" applyFont="1" applyFill="1" applyBorder="1" applyAlignment="1">
      <alignment horizontal="center"/>
    </xf>
    <xf numFmtId="0" fontId="9" fillId="5" borderId="9" xfId="3" applyFont="1" applyFill="1" applyBorder="1"/>
    <xf numFmtId="0" fontId="9" fillId="5" borderId="7" xfId="3" applyFont="1" applyFill="1" applyBorder="1" applyAlignment="1">
      <alignment horizontal="center"/>
    </xf>
    <xf numFmtId="0" fontId="9" fillId="5" borderId="8" xfId="3" applyFont="1" applyFill="1" applyBorder="1" applyAlignment="1">
      <alignment horizontal="center"/>
    </xf>
    <xf numFmtId="0" fontId="4" fillId="3" borderId="0" xfId="3" applyFont="1" applyFill="1" applyBorder="1" applyAlignment="1">
      <alignment horizontal="center"/>
    </xf>
    <xf numFmtId="43" fontId="7" fillId="3" borderId="0" xfId="2" applyNumberFormat="1" applyFont="1" applyFill="1" applyBorder="1" applyAlignment="1">
      <alignment horizontal="center"/>
    </xf>
    <xf numFmtId="166" fontId="7" fillId="3" borderId="0" xfId="2" applyNumberFormat="1" applyFont="1" applyFill="1" applyBorder="1" applyAlignment="1">
      <alignment horizontal="center"/>
    </xf>
    <xf numFmtId="0" fontId="9" fillId="5" borderId="2" xfId="3" applyFont="1" applyFill="1" applyBorder="1" applyAlignment="1">
      <alignment horizontal="center"/>
    </xf>
    <xf numFmtId="0" fontId="9" fillId="5" borderId="3" xfId="3" applyFont="1" applyFill="1" applyBorder="1" applyAlignment="1">
      <alignment horizontal="center"/>
    </xf>
    <xf numFmtId="0" fontId="2" fillId="3" borderId="16" xfId="3" applyFont="1" applyFill="1" applyBorder="1"/>
    <xf numFmtId="0" fontId="5" fillId="3" borderId="26" xfId="3" applyFont="1" applyFill="1" applyBorder="1"/>
    <xf numFmtId="0" fontId="0" fillId="3" borderId="0" xfId="0" applyFill="1"/>
    <xf numFmtId="9" fontId="2" fillId="3" borderId="0" xfId="1" applyFont="1" applyFill="1"/>
    <xf numFmtId="0" fontId="2" fillId="7" borderId="19" xfId="3" applyFont="1" applyFill="1" applyBorder="1" applyAlignment="1">
      <alignment horizontal="center"/>
    </xf>
    <xf numFmtId="0" fontId="9" fillId="5" borderId="31" xfId="4" applyFont="1" applyFill="1" applyBorder="1" applyAlignment="1">
      <alignment horizontal="center"/>
    </xf>
    <xf numFmtId="0" fontId="9" fillId="5" borderId="29" xfId="4" applyFont="1" applyFill="1" applyBorder="1" applyAlignment="1">
      <alignment horizontal="center"/>
    </xf>
    <xf numFmtId="0" fontId="2" fillId="3" borderId="26" xfId="3" applyFont="1" applyFill="1" applyBorder="1" applyAlignment="1">
      <alignment horizontal="center"/>
    </xf>
    <xf numFmtId="167" fontId="2" fillId="3" borderId="17" xfId="11" applyNumberFormat="1" applyFont="1" applyFill="1" applyBorder="1" applyAlignment="1">
      <alignment horizontal="center"/>
    </xf>
    <xf numFmtId="167" fontId="2" fillId="3" borderId="18" xfId="11" applyNumberFormat="1" applyFont="1" applyFill="1" applyBorder="1" applyAlignment="1">
      <alignment horizontal="center"/>
    </xf>
    <xf numFmtId="0" fontId="2" fillId="3" borderId="23" xfId="3" applyFont="1" applyFill="1" applyBorder="1" applyAlignment="1">
      <alignment horizontal="left"/>
    </xf>
    <xf numFmtId="9" fontId="2" fillId="3" borderId="10" xfId="3" applyNumberFormat="1" applyFont="1" applyFill="1" applyBorder="1" applyAlignment="1">
      <alignment horizontal="center"/>
    </xf>
    <xf numFmtId="0" fontId="2" fillId="3" borderId="10" xfId="3" applyFont="1" applyFill="1" applyBorder="1" applyAlignment="1">
      <alignment horizontal="center"/>
    </xf>
    <xf numFmtId="0" fontId="2" fillId="3" borderId="11" xfId="3" applyFont="1" applyFill="1" applyBorder="1" applyAlignment="1">
      <alignment horizontal="center"/>
    </xf>
    <xf numFmtId="167" fontId="7" fillId="3" borderId="18" xfId="9" applyNumberFormat="1" applyFont="1" applyFill="1" applyBorder="1"/>
    <xf numFmtId="167" fontId="2" fillId="3" borderId="21" xfId="11" applyNumberFormat="1" applyFont="1" applyFill="1" applyBorder="1"/>
    <xf numFmtId="167" fontId="2" fillId="3" borderId="22" xfId="11" applyNumberFormat="1" applyFont="1" applyFill="1" applyBorder="1"/>
    <xf numFmtId="0" fontId="0" fillId="3" borderId="0" xfId="3" applyFont="1" applyFill="1"/>
    <xf numFmtId="0" fontId="5" fillId="3" borderId="1" xfId="3" applyFont="1" applyFill="1" applyBorder="1"/>
    <xf numFmtId="167" fontId="9" fillId="3" borderId="5" xfId="8" applyNumberFormat="1" applyFont="1" applyFill="1" applyBorder="1"/>
    <xf numFmtId="167" fontId="9" fillId="3" borderId="6" xfId="8" applyNumberFormat="1" applyFont="1" applyFill="1" applyBorder="1"/>
    <xf numFmtId="0" fontId="2" fillId="3" borderId="17" xfId="3" applyFont="1" applyFill="1" applyBorder="1"/>
    <xf numFmtId="0" fontId="2" fillId="3" borderId="18" xfId="3" applyFont="1" applyFill="1" applyBorder="1"/>
    <xf numFmtId="0" fontId="5" fillId="3" borderId="0" xfId="3" applyFont="1" applyFill="1" applyAlignment="1">
      <alignment horizontal="left"/>
    </xf>
    <xf numFmtId="17" fontId="5" fillId="7" borderId="1" xfId="3" applyNumberFormat="1" applyFont="1" applyFill="1" applyBorder="1" applyAlignment="1">
      <alignment horizontal="center"/>
    </xf>
    <xf numFmtId="17" fontId="5" fillId="7" borderId="3" xfId="3" applyNumberFormat="1" applyFont="1" applyFill="1" applyBorder="1"/>
    <xf numFmtId="166" fontId="7" fillId="3" borderId="17" xfId="8" applyNumberFormat="1" applyFont="1" applyFill="1" applyBorder="1"/>
    <xf numFmtId="166" fontId="7" fillId="3" borderId="18" xfId="8" applyNumberFormat="1" applyFont="1" applyFill="1" applyBorder="1"/>
    <xf numFmtId="167" fontId="2" fillId="3" borderId="32" xfId="11" applyNumberFormat="1" applyFont="1" applyFill="1" applyBorder="1" applyAlignment="1">
      <alignment horizontal="center"/>
    </xf>
    <xf numFmtId="167" fontId="2" fillId="3" borderId="33" xfId="11" applyNumberFormat="1" applyFont="1" applyFill="1" applyBorder="1" applyAlignment="1">
      <alignment horizontal="center"/>
    </xf>
    <xf numFmtId="0" fontId="2" fillId="3" borderId="34" xfId="3" applyFont="1" applyFill="1" applyBorder="1"/>
    <xf numFmtId="166" fontId="9" fillId="3" borderId="35" xfId="8" applyNumberFormat="1" applyFont="1" applyFill="1" applyBorder="1"/>
    <xf numFmtId="166" fontId="9" fillId="3" borderId="33" xfId="8" applyNumberFormat="1" applyFont="1" applyFill="1" applyBorder="1"/>
    <xf numFmtId="164" fontId="9" fillId="5" borderId="2" xfId="7" applyNumberFormat="1" applyFont="1" applyFill="1" applyBorder="1"/>
    <xf numFmtId="168" fontId="9" fillId="5" borderId="36" xfId="7" applyNumberFormat="1" applyFont="1" applyFill="1" applyBorder="1" applyAlignment="1">
      <alignment horizontal="center"/>
    </xf>
    <xf numFmtId="164" fontId="5" fillId="3" borderId="25" xfId="12" applyFont="1" applyFill="1" applyBorder="1" applyAlignment="1">
      <alignment horizontal="center"/>
    </xf>
    <xf numFmtId="164" fontId="5" fillId="3" borderId="27" xfId="12" applyFont="1" applyFill="1" applyBorder="1" applyAlignment="1">
      <alignment horizontal="center"/>
    </xf>
    <xf numFmtId="0" fontId="5" fillId="5" borderId="5" xfId="3" applyFont="1" applyFill="1" applyBorder="1" applyAlignment="1">
      <alignment horizontal="center"/>
    </xf>
    <xf numFmtId="0" fontId="5" fillId="5" borderId="6" xfId="3" applyFont="1" applyFill="1" applyBorder="1" applyAlignment="1">
      <alignment horizontal="left"/>
    </xf>
    <xf numFmtId="9" fontId="2" fillId="0" borderId="10" xfId="10" applyFont="1" applyFill="1" applyBorder="1" applyAlignment="1">
      <alignment horizontal="center"/>
    </xf>
    <xf numFmtId="9" fontId="7" fillId="3" borderId="11" xfId="1" applyFont="1" applyFill="1" applyBorder="1" applyAlignment="1">
      <alignment horizontal="center"/>
    </xf>
    <xf numFmtId="9" fontId="2" fillId="0" borderId="21" xfId="10" applyFont="1" applyFill="1" applyBorder="1" applyAlignment="1">
      <alignment horizontal="center"/>
    </xf>
    <xf numFmtId="9" fontId="7" fillId="3" borderId="22" xfId="1" applyFont="1" applyFill="1" applyBorder="1" applyAlignment="1">
      <alignment horizontal="center"/>
    </xf>
    <xf numFmtId="9" fontId="2" fillId="0" borderId="17" xfId="10" applyFont="1" applyFill="1" applyBorder="1" applyAlignment="1">
      <alignment horizontal="center"/>
    </xf>
    <xf numFmtId="9" fontId="7" fillId="3" borderId="18" xfId="1" applyFont="1" applyFill="1" applyBorder="1" applyAlignment="1">
      <alignment horizontal="center"/>
    </xf>
    <xf numFmtId="165" fontId="5" fillId="3" borderId="0" xfId="3" applyNumberFormat="1" applyFont="1" applyFill="1" applyBorder="1"/>
    <xf numFmtId="169" fontId="2" fillId="3" borderId="0" xfId="12" applyNumberFormat="1" applyFont="1" applyFill="1" applyAlignment="1">
      <alignment horizontal="center"/>
    </xf>
    <xf numFmtId="44" fontId="2" fillId="3" borderId="21" xfId="7" applyFont="1" applyFill="1" applyBorder="1" applyAlignment="1" applyProtection="1">
      <alignment horizontal="right"/>
      <protection locked="0"/>
    </xf>
    <xf numFmtId="44" fontId="2" fillId="3" borderId="22" xfId="7" applyFont="1" applyFill="1" applyBorder="1" applyAlignment="1" applyProtection="1">
      <alignment horizontal="right"/>
      <protection locked="0"/>
    </xf>
    <xf numFmtId="164" fontId="5" fillId="3" borderId="17" xfId="3" applyNumberFormat="1" applyFont="1" applyFill="1" applyBorder="1"/>
    <xf numFmtId="164" fontId="5" fillId="3" borderId="18" xfId="3" applyNumberFormat="1" applyFont="1" applyFill="1" applyBorder="1"/>
    <xf numFmtId="44" fontId="7" fillId="8" borderId="5" xfId="5" applyNumberFormat="1" applyFont="1" applyFill="1" applyBorder="1"/>
    <xf numFmtId="44" fontId="7" fillId="8" borderId="6" xfId="5" applyNumberFormat="1" applyFont="1" applyFill="1" applyBorder="1"/>
    <xf numFmtId="44" fontId="7" fillId="8" borderId="0" xfId="5" applyNumberFormat="1" applyFont="1" applyFill="1" applyBorder="1"/>
    <xf numFmtId="44" fontId="0" fillId="8" borderId="37" xfId="0" applyNumberFormat="1" applyFill="1" applyBorder="1"/>
    <xf numFmtId="0" fontId="2" fillId="8" borderId="0" xfId="3" applyFont="1" applyFill="1" applyAlignment="1">
      <alignment horizontal="center"/>
    </xf>
    <xf numFmtId="0" fontId="5" fillId="8" borderId="37" xfId="3" applyFont="1" applyFill="1" applyBorder="1" applyAlignment="1">
      <alignment horizontal="right"/>
    </xf>
    <xf numFmtId="0" fontId="7" fillId="8" borderId="0" xfId="4" applyFont="1" applyFill="1" applyAlignment="1">
      <alignment horizontal="right"/>
    </xf>
    <xf numFmtId="0" fontId="2" fillId="8" borderId="0" xfId="3" applyFont="1" applyFill="1" applyAlignment="1">
      <alignment horizontal="right"/>
    </xf>
    <xf numFmtId="0" fontId="0" fillId="8" borderId="0" xfId="0" applyFill="1"/>
    <xf numFmtId="170" fontId="5" fillId="8" borderId="0" xfId="1" applyNumberFormat="1" applyFont="1" applyFill="1"/>
    <xf numFmtId="0" fontId="5" fillId="8" borderId="0" xfId="3" applyFont="1" applyFill="1"/>
    <xf numFmtId="0" fontId="5" fillId="8" borderId="13" xfId="0" applyFont="1" applyFill="1" applyBorder="1" applyAlignment="1">
      <alignment horizontal="right"/>
    </xf>
    <xf numFmtId="170" fontId="5" fillId="8" borderId="30" xfId="3" applyNumberFormat="1" applyFont="1" applyFill="1" applyBorder="1"/>
    <xf numFmtId="0" fontId="11" fillId="0" borderId="0" xfId="0" applyFont="1"/>
    <xf numFmtId="0" fontId="12" fillId="0" borderId="37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2" fillId="0" borderId="0" xfId="0" applyFont="1" applyBorder="1" applyAlignment="1">
      <alignment horizontal="right"/>
    </xf>
    <xf numFmtId="10" fontId="0" fillId="0" borderId="0" xfId="0" applyNumberFormat="1"/>
    <xf numFmtId="0" fontId="12" fillId="0" borderId="0" xfId="0" applyFont="1"/>
    <xf numFmtId="164" fontId="0" fillId="0" borderId="0" xfId="12" applyFont="1"/>
    <xf numFmtId="41" fontId="1" fillId="0" borderId="0" xfId="0" applyNumberFormat="1" applyFont="1" applyAlignment="1">
      <alignment vertical="top" wrapText="1"/>
    </xf>
    <xf numFmtId="10" fontId="7" fillId="0" borderId="0" xfId="0" applyNumberFormat="1" applyFont="1"/>
    <xf numFmtId="0" fontId="8" fillId="0" borderId="0" xfId="0" applyFont="1" applyAlignment="1">
      <alignment horizontal="right"/>
    </xf>
    <xf numFmtId="164" fontId="10" fillId="0" borderId="0" xfId="12" applyFont="1"/>
    <xf numFmtId="171" fontId="1" fillId="0" borderId="0" xfId="0" applyNumberFormat="1" applyFont="1" applyAlignment="1">
      <alignment vertical="top" wrapText="1"/>
    </xf>
    <xf numFmtId="0" fontId="10" fillId="0" borderId="0" xfId="0" applyFont="1"/>
    <xf numFmtId="0" fontId="5" fillId="0" borderId="0" xfId="0" applyFont="1"/>
    <xf numFmtId="41" fontId="0" fillId="0" borderId="0" xfId="0" applyNumberFormat="1"/>
    <xf numFmtId="171" fontId="13" fillId="0" borderId="0" xfId="0" applyNumberFormat="1" applyFont="1" applyAlignment="1">
      <alignment vertical="top" wrapText="1"/>
    </xf>
    <xf numFmtId="4" fontId="5" fillId="0" borderId="13" xfId="0" applyNumberFormat="1" applyFont="1" applyBorder="1" applyAlignment="1">
      <alignment horizontal="center"/>
    </xf>
    <xf numFmtId="0" fontId="0" fillId="0" borderId="38" xfId="0" applyBorder="1"/>
    <xf numFmtId="0" fontId="0" fillId="0" borderId="37" xfId="0" applyBorder="1"/>
    <xf numFmtId="0" fontId="5" fillId="0" borderId="39" xfId="0" applyFont="1" applyBorder="1" applyAlignment="1">
      <alignment horizontal="right"/>
    </xf>
    <xf numFmtId="4" fontId="14" fillId="0" borderId="21" xfId="0" applyNumberFormat="1" applyFont="1" applyBorder="1" applyAlignment="1">
      <alignment horizontal="center" vertical="top" wrapText="1"/>
    </xf>
    <xf numFmtId="171" fontId="14" fillId="0" borderId="37" xfId="0" applyNumberFormat="1" applyFont="1" applyBorder="1" applyAlignment="1">
      <alignment vertical="top" wrapText="1"/>
    </xf>
    <xf numFmtId="4" fontId="0" fillId="0" borderId="14" xfId="0" applyNumberFormat="1" applyBorder="1" applyAlignment="1">
      <alignment horizontal="center"/>
    </xf>
    <xf numFmtId="0" fontId="12" fillId="6" borderId="39" xfId="0" applyFont="1" applyFill="1" applyBorder="1" applyAlignment="1">
      <alignment horizontal="right"/>
    </xf>
    <xf numFmtId="4" fontId="15" fillId="0" borderId="21" xfId="0" applyNumberFormat="1" applyFont="1" applyBorder="1" applyAlignment="1">
      <alignment horizontal="center" vertical="top" wrapText="1"/>
    </xf>
    <xf numFmtId="10" fontId="15" fillId="0" borderId="21" xfId="13" applyNumberFormat="1" applyFont="1" applyBorder="1" applyAlignment="1">
      <alignment vertical="top" wrapText="1"/>
    </xf>
    <xf numFmtId="165" fontId="12" fillId="6" borderId="38" xfId="11" applyFont="1" applyFill="1" applyBorder="1" applyAlignment="1">
      <alignment horizontal="left"/>
    </xf>
    <xf numFmtId="0" fontId="0" fillId="0" borderId="39" xfId="0" applyBorder="1"/>
    <xf numFmtId="10" fontId="17" fillId="0" borderId="0" xfId="0" applyNumberFormat="1" applyFont="1"/>
    <xf numFmtId="0" fontId="9" fillId="8" borderId="1" xfId="4" applyFont="1" applyFill="1" applyBorder="1"/>
    <xf numFmtId="0" fontId="0" fillId="8" borderId="1" xfId="3" applyFont="1" applyFill="1" applyBorder="1"/>
    <xf numFmtId="44" fontId="7" fillId="8" borderId="5" xfId="6" applyFont="1" applyFill="1" applyBorder="1"/>
    <xf numFmtId="44" fontId="7" fillId="8" borderId="6" xfId="6" applyFont="1" applyFill="1" applyBorder="1"/>
    <xf numFmtId="0" fontId="19" fillId="9" borderId="0" xfId="0" applyFont="1" applyFill="1" applyAlignment="1">
      <alignment vertical="center" wrapText="1"/>
    </xf>
    <xf numFmtId="0" fontId="19" fillId="9" borderId="0" xfId="0" applyFont="1" applyFill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8" fillId="10" borderId="0" xfId="0" applyFont="1" applyFill="1" applyAlignment="1">
      <alignment horizontal="right" vertical="center" wrapText="1"/>
    </xf>
    <xf numFmtId="0" fontId="1" fillId="10" borderId="0" xfId="0" applyFont="1" applyFill="1" applyAlignment="1">
      <alignment horizontal="right" vertical="center" wrapText="1"/>
    </xf>
    <xf numFmtId="0" fontId="18" fillId="10" borderId="40" xfId="0" applyFont="1" applyFill="1" applyBorder="1" applyAlignment="1">
      <alignment horizontal="right" vertical="center" wrapText="1"/>
    </xf>
    <xf numFmtId="0" fontId="1" fillId="10" borderId="40" xfId="0" applyFont="1" applyFill="1" applyBorder="1" applyAlignment="1">
      <alignment horizontal="right" vertical="center" wrapText="1"/>
    </xf>
    <xf numFmtId="0" fontId="18" fillId="0" borderId="40" xfId="0" applyFont="1" applyBorder="1" applyAlignment="1">
      <alignment vertical="center" wrapText="1"/>
    </xf>
    <xf numFmtId="0" fontId="18" fillId="0" borderId="40" xfId="0" applyFont="1" applyBorder="1" applyAlignment="1">
      <alignment horizontal="right" vertical="center" wrapText="1"/>
    </xf>
    <xf numFmtId="164" fontId="0" fillId="0" borderId="0" xfId="0" applyNumberFormat="1"/>
    <xf numFmtId="4" fontId="0" fillId="0" borderId="0" xfId="0" applyNumberFormat="1"/>
    <xf numFmtId="44" fontId="7" fillId="8" borderId="10" xfId="7" applyFont="1" applyFill="1" applyBorder="1"/>
    <xf numFmtId="44" fontId="7" fillId="8" borderId="11" xfId="7" applyFont="1" applyFill="1" applyBorder="1"/>
    <xf numFmtId="44" fontId="7" fillId="8" borderId="21" xfId="7" applyFont="1" applyFill="1" applyBorder="1"/>
    <xf numFmtId="44" fontId="7" fillId="8" borderId="22" xfId="7" applyFont="1" applyFill="1" applyBorder="1"/>
    <xf numFmtId="44" fontId="7" fillId="8" borderId="17" xfId="7" applyFont="1" applyFill="1" applyBorder="1"/>
    <xf numFmtId="44" fontId="7" fillId="8" borderId="18" xfId="7" applyFont="1" applyFill="1" applyBorder="1"/>
    <xf numFmtId="7" fontId="2" fillId="8" borderId="10" xfId="7" applyNumberFormat="1" applyFont="1" applyFill="1" applyBorder="1" applyAlignment="1" applyProtection="1">
      <alignment horizontal="right"/>
      <protection locked="0"/>
    </xf>
    <xf numFmtId="0" fontId="18" fillId="0" borderId="0" xfId="0" applyFont="1" applyAlignment="1">
      <alignment vertical="center" wrapText="1"/>
    </xf>
    <xf numFmtId="0" fontId="18" fillId="0" borderId="40" xfId="0" applyFont="1" applyBorder="1" applyAlignment="1">
      <alignment vertical="center" wrapText="1"/>
    </xf>
  </cellXfs>
  <cellStyles count="14">
    <cellStyle name="Bad" xfId="2" builtinId="27"/>
    <cellStyle name="Comma" xfId="11" builtinId="3"/>
    <cellStyle name="Comma 3 2" xfId="8"/>
    <cellStyle name="Comma 3 2 2" xfId="9"/>
    <cellStyle name="Currency" xfId="12" builtinId="4"/>
    <cellStyle name="Currency 2 2" xfId="7"/>
    <cellStyle name="Currency 4" xfId="6"/>
    <cellStyle name="Normal" xfId="0" builtinId="0"/>
    <cellStyle name="Normal 2 2" xfId="4"/>
    <cellStyle name="Normal 2 3" xfId="3"/>
    <cellStyle name="Normal 4 3" xfId="5"/>
    <cellStyle name="Percent" xfId="1" builtinId="5"/>
    <cellStyle name="Percent 2 2" xfId="10"/>
    <cellStyle name="Percent 3 2" xfId="13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maka\AppData\Local\Microsoft\Windows\Temporary%20Internet%20Files\Content.Outlook\98722V21\Ergon%20-%20Preliminary%20Decision%20-%20Metering%20-%20PTRM%20v%202%20(2015042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Change Log"/>
      <sheetName val="Input"/>
      <sheetName val="WACC"/>
      <sheetName val="Assets"/>
      <sheetName val="Analysis"/>
      <sheetName val="Forecast revenues"/>
      <sheetName val="X factor"/>
      <sheetName val="Chart4"/>
      <sheetName val="Chart5"/>
      <sheetName val="Chart6"/>
    </sheetNames>
    <sheetDataSet>
      <sheetData sheetId="0"/>
      <sheetData sheetId="1"/>
      <sheetData sheetId="2">
        <row r="191">
          <cell r="G191">
            <v>2.5499999999999998E-2</v>
          </cell>
        </row>
      </sheetData>
      <sheetData sheetId="3">
        <row r="21">
          <cell r="G21">
            <v>5.8459999999999998E-2</v>
          </cell>
        </row>
      </sheetData>
      <sheetData sheetId="4">
        <row r="474">
          <cell r="G474">
            <v>70.269608068608974</v>
          </cell>
          <cell r="H474">
            <v>79.558625204963306</v>
          </cell>
          <cell r="I474">
            <v>88.526841314402105</v>
          </cell>
          <cell r="J474">
            <v>97.132759734910067</v>
          </cell>
          <cell r="K474">
            <v>105.3324891371075</v>
          </cell>
        </row>
        <row r="475">
          <cell r="G475">
            <v>62.246819747911857</v>
          </cell>
          <cell r="H475">
            <v>72.06148307435852</v>
          </cell>
          <cell r="I475">
            <v>81.587370147689882</v>
          </cell>
          <cell r="J475">
            <v>90.784275767919368</v>
          </cell>
          <cell r="K475">
            <v>99.609645108150275</v>
          </cell>
        </row>
      </sheetData>
      <sheetData sheetId="5"/>
      <sheetData sheetId="6"/>
      <sheetData sheetId="7">
        <row r="18">
          <cell r="C18" t="str">
            <v>Return on capital</v>
          </cell>
          <cell r="E18">
            <v>3.5484632691008549</v>
          </cell>
          <cell r="F18">
            <v>4.1079612876908804</v>
          </cell>
          <cell r="G18">
            <v>4.6509972294821544</v>
          </cell>
          <cell r="H18">
            <v>5.1752791432399468</v>
          </cell>
          <cell r="I18">
            <v>5.6783811341028425</v>
          </cell>
        </row>
        <row r="19">
          <cell r="C19" t="str">
            <v>Return of capital</v>
          </cell>
          <cell r="E19">
            <v>1.1104300903022375</v>
          </cell>
          <cell r="F19">
            <v>1.6643922476972748</v>
          </cell>
          <cell r="G19">
            <v>2.2645052139061272</v>
          </cell>
          <cell r="H19">
            <v>2.9132372965822522</v>
          </cell>
          <cell r="I19">
            <v>3.61316478567857</v>
          </cell>
        </row>
        <row r="20">
          <cell r="C20" t="str">
            <v>O&amp;M</v>
          </cell>
          <cell r="E20">
            <v>23.415182306622633</v>
          </cell>
          <cell r="F20">
            <v>24.488584038660864</v>
          </cell>
          <cell r="G20">
            <v>25.609805014894253</v>
          </cell>
          <cell r="H20">
            <v>26.778355746746694</v>
          </cell>
          <cell r="I20">
            <v>27.994043359377695</v>
          </cell>
        </row>
        <row r="22">
          <cell r="C22" t="str">
            <v>Benchmark Tax liability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>
      <selection activeCell="B10" sqref="B10:B11"/>
    </sheetView>
  </sheetViews>
  <sheetFormatPr defaultRowHeight="15" x14ac:dyDescent="0.25"/>
  <cols>
    <col min="1" max="1" width="16.140625" customWidth="1"/>
    <col min="3" max="6" width="10.28515625" customWidth="1"/>
    <col min="7" max="7" width="23.42578125" bestFit="1" customWidth="1"/>
    <col min="8" max="8" width="22.28515625" bestFit="1" customWidth="1"/>
    <col min="9" max="12" width="10.42578125" customWidth="1"/>
    <col min="13" max="13" width="9" customWidth="1"/>
    <col min="14" max="14" width="16.5703125" customWidth="1"/>
    <col min="257" max="257" width="48.140625" customWidth="1"/>
    <col min="259" max="262" width="10.28515625" customWidth="1"/>
    <col min="513" max="513" width="48.140625" customWidth="1"/>
    <col min="515" max="518" width="10.28515625" customWidth="1"/>
    <col min="769" max="769" width="48.140625" customWidth="1"/>
    <col min="771" max="774" width="10.28515625" customWidth="1"/>
    <col min="1025" max="1025" width="48.140625" customWidth="1"/>
    <col min="1027" max="1030" width="10.28515625" customWidth="1"/>
    <col min="1281" max="1281" width="48.140625" customWidth="1"/>
    <col min="1283" max="1286" width="10.28515625" customWidth="1"/>
    <col min="1537" max="1537" width="48.140625" customWidth="1"/>
    <col min="1539" max="1542" width="10.28515625" customWidth="1"/>
    <col min="1793" max="1793" width="48.140625" customWidth="1"/>
    <col min="1795" max="1798" width="10.28515625" customWidth="1"/>
    <col min="2049" max="2049" width="48.140625" customWidth="1"/>
    <col min="2051" max="2054" width="10.28515625" customWidth="1"/>
    <col min="2305" max="2305" width="48.140625" customWidth="1"/>
    <col min="2307" max="2310" width="10.28515625" customWidth="1"/>
    <col min="2561" max="2561" width="48.140625" customWidth="1"/>
    <col min="2563" max="2566" width="10.28515625" customWidth="1"/>
    <col min="2817" max="2817" width="48.140625" customWidth="1"/>
    <col min="2819" max="2822" width="10.28515625" customWidth="1"/>
    <col min="3073" max="3073" width="48.140625" customWidth="1"/>
    <col min="3075" max="3078" width="10.28515625" customWidth="1"/>
    <col min="3329" max="3329" width="48.140625" customWidth="1"/>
    <col min="3331" max="3334" width="10.28515625" customWidth="1"/>
    <col min="3585" max="3585" width="48.140625" customWidth="1"/>
    <col min="3587" max="3590" width="10.28515625" customWidth="1"/>
    <col min="3841" max="3841" width="48.140625" customWidth="1"/>
    <col min="3843" max="3846" width="10.28515625" customWidth="1"/>
    <col min="4097" max="4097" width="48.140625" customWidth="1"/>
    <col min="4099" max="4102" width="10.28515625" customWidth="1"/>
    <col min="4353" max="4353" width="48.140625" customWidth="1"/>
    <col min="4355" max="4358" width="10.28515625" customWidth="1"/>
    <col min="4609" max="4609" width="48.140625" customWidth="1"/>
    <col min="4611" max="4614" width="10.28515625" customWidth="1"/>
    <col min="4865" max="4865" width="48.140625" customWidth="1"/>
    <col min="4867" max="4870" width="10.28515625" customWidth="1"/>
    <col min="5121" max="5121" width="48.140625" customWidth="1"/>
    <col min="5123" max="5126" width="10.28515625" customWidth="1"/>
    <col min="5377" max="5377" width="48.140625" customWidth="1"/>
    <col min="5379" max="5382" width="10.28515625" customWidth="1"/>
    <col min="5633" max="5633" width="48.140625" customWidth="1"/>
    <col min="5635" max="5638" width="10.28515625" customWidth="1"/>
    <col min="5889" max="5889" width="48.140625" customWidth="1"/>
    <col min="5891" max="5894" width="10.28515625" customWidth="1"/>
    <col min="6145" max="6145" width="48.140625" customWidth="1"/>
    <col min="6147" max="6150" width="10.28515625" customWidth="1"/>
    <col min="6401" max="6401" width="48.140625" customWidth="1"/>
    <col min="6403" max="6406" width="10.28515625" customWidth="1"/>
    <col min="6657" max="6657" width="48.140625" customWidth="1"/>
    <col min="6659" max="6662" width="10.28515625" customWidth="1"/>
    <col min="6913" max="6913" width="48.140625" customWidth="1"/>
    <col min="6915" max="6918" width="10.28515625" customWidth="1"/>
    <col min="7169" max="7169" width="48.140625" customWidth="1"/>
    <col min="7171" max="7174" width="10.28515625" customWidth="1"/>
    <col min="7425" max="7425" width="48.140625" customWidth="1"/>
    <col min="7427" max="7430" width="10.28515625" customWidth="1"/>
    <col min="7681" max="7681" width="48.140625" customWidth="1"/>
    <col min="7683" max="7686" width="10.28515625" customWidth="1"/>
    <col min="7937" max="7937" width="48.140625" customWidth="1"/>
    <col min="7939" max="7942" width="10.28515625" customWidth="1"/>
    <col min="8193" max="8193" width="48.140625" customWidth="1"/>
    <col min="8195" max="8198" width="10.28515625" customWidth="1"/>
    <col min="8449" max="8449" width="48.140625" customWidth="1"/>
    <col min="8451" max="8454" width="10.28515625" customWidth="1"/>
    <col min="8705" max="8705" width="48.140625" customWidth="1"/>
    <col min="8707" max="8710" width="10.28515625" customWidth="1"/>
    <col min="8961" max="8961" width="48.140625" customWidth="1"/>
    <col min="8963" max="8966" width="10.28515625" customWidth="1"/>
    <col min="9217" max="9217" width="48.140625" customWidth="1"/>
    <col min="9219" max="9222" width="10.28515625" customWidth="1"/>
    <col min="9473" max="9473" width="48.140625" customWidth="1"/>
    <col min="9475" max="9478" width="10.28515625" customWidth="1"/>
    <col min="9729" max="9729" width="48.140625" customWidth="1"/>
    <col min="9731" max="9734" width="10.28515625" customWidth="1"/>
    <col min="9985" max="9985" width="48.140625" customWidth="1"/>
    <col min="9987" max="9990" width="10.28515625" customWidth="1"/>
    <col min="10241" max="10241" width="48.140625" customWidth="1"/>
    <col min="10243" max="10246" width="10.28515625" customWidth="1"/>
    <col min="10497" max="10497" width="48.140625" customWidth="1"/>
    <col min="10499" max="10502" width="10.28515625" customWidth="1"/>
    <col min="10753" max="10753" width="48.140625" customWidth="1"/>
    <col min="10755" max="10758" width="10.28515625" customWidth="1"/>
    <col min="11009" max="11009" width="48.140625" customWidth="1"/>
    <col min="11011" max="11014" width="10.28515625" customWidth="1"/>
    <col min="11265" max="11265" width="48.140625" customWidth="1"/>
    <col min="11267" max="11270" width="10.28515625" customWidth="1"/>
    <col min="11521" max="11521" width="48.140625" customWidth="1"/>
    <col min="11523" max="11526" width="10.28515625" customWidth="1"/>
    <col min="11777" max="11777" width="48.140625" customWidth="1"/>
    <col min="11779" max="11782" width="10.28515625" customWidth="1"/>
    <col min="12033" max="12033" width="48.140625" customWidth="1"/>
    <col min="12035" max="12038" width="10.28515625" customWidth="1"/>
    <col min="12289" max="12289" width="48.140625" customWidth="1"/>
    <col min="12291" max="12294" width="10.28515625" customWidth="1"/>
    <col min="12545" max="12545" width="48.140625" customWidth="1"/>
    <col min="12547" max="12550" width="10.28515625" customWidth="1"/>
    <col min="12801" max="12801" width="48.140625" customWidth="1"/>
    <col min="12803" max="12806" width="10.28515625" customWidth="1"/>
    <col min="13057" max="13057" width="48.140625" customWidth="1"/>
    <col min="13059" max="13062" width="10.28515625" customWidth="1"/>
    <col min="13313" max="13313" width="48.140625" customWidth="1"/>
    <col min="13315" max="13318" width="10.28515625" customWidth="1"/>
    <col min="13569" max="13569" width="48.140625" customWidth="1"/>
    <col min="13571" max="13574" width="10.28515625" customWidth="1"/>
    <col min="13825" max="13825" width="48.140625" customWidth="1"/>
    <col min="13827" max="13830" width="10.28515625" customWidth="1"/>
    <col min="14081" max="14081" width="48.140625" customWidth="1"/>
    <col min="14083" max="14086" width="10.28515625" customWidth="1"/>
    <col min="14337" max="14337" width="48.140625" customWidth="1"/>
    <col min="14339" max="14342" width="10.28515625" customWidth="1"/>
    <col min="14593" max="14593" width="48.140625" customWidth="1"/>
    <col min="14595" max="14598" width="10.28515625" customWidth="1"/>
    <col min="14849" max="14849" width="48.140625" customWidth="1"/>
    <col min="14851" max="14854" width="10.28515625" customWidth="1"/>
    <col min="15105" max="15105" width="48.140625" customWidth="1"/>
    <col min="15107" max="15110" width="10.28515625" customWidth="1"/>
    <col min="15361" max="15361" width="48.140625" customWidth="1"/>
    <col min="15363" max="15366" width="10.28515625" customWidth="1"/>
    <col min="15617" max="15617" width="48.140625" customWidth="1"/>
    <col min="15619" max="15622" width="10.28515625" customWidth="1"/>
    <col min="15873" max="15873" width="48.140625" customWidth="1"/>
    <col min="15875" max="15878" width="10.28515625" customWidth="1"/>
    <col min="16129" max="16129" width="48.140625" customWidth="1"/>
    <col min="16131" max="16134" width="10.28515625" customWidth="1"/>
  </cols>
  <sheetData>
    <row r="1" spans="1:18" x14ac:dyDescent="0.25">
      <c r="B1" s="141" t="s">
        <v>41</v>
      </c>
      <c r="H1" s="141" t="s">
        <v>42</v>
      </c>
    </row>
    <row r="3" spans="1:18" x14ac:dyDescent="0.25">
      <c r="B3" s="142" t="str">
        <f>'ACS Meter Pricing'!C11</f>
        <v>2015-16</v>
      </c>
      <c r="C3" s="142" t="str">
        <f>'ACS Meter Pricing'!D11</f>
        <v>2016-17</v>
      </c>
      <c r="D3" s="142" t="str">
        <f>'ACS Meter Pricing'!E11</f>
        <v>2017-18</v>
      </c>
      <c r="E3" s="142" t="str">
        <f>'ACS Meter Pricing'!F11</f>
        <v>2018-19</v>
      </c>
      <c r="F3" s="142" t="str">
        <f>'ACS Meter Pricing'!G11</f>
        <v>2019-20</v>
      </c>
      <c r="H3" s="142" t="str">
        <f>B3</f>
        <v>2015-16</v>
      </c>
      <c r="I3" s="142" t="str">
        <f>C3</f>
        <v>2016-17</v>
      </c>
      <c r="J3" s="142" t="str">
        <f>D3</f>
        <v>2017-18</v>
      </c>
      <c r="K3" s="142" t="str">
        <f>E3</f>
        <v>2018-19</v>
      </c>
      <c r="L3" s="142" t="str">
        <f>F3</f>
        <v>2019-20</v>
      </c>
      <c r="O3" s="143" t="str">
        <f>I3</f>
        <v>2016-17</v>
      </c>
      <c r="P3" s="143" t="str">
        <f t="shared" ref="P3:R3" si="0">J3</f>
        <v>2017-18</v>
      </c>
      <c r="Q3" s="143" t="str">
        <f t="shared" si="0"/>
        <v>2018-19</v>
      </c>
      <c r="R3" s="143" t="str">
        <f t="shared" si="0"/>
        <v>2019-20</v>
      </c>
    </row>
    <row r="4" spans="1:18" x14ac:dyDescent="0.25">
      <c r="B4" s="144"/>
      <c r="C4" s="144"/>
      <c r="D4" s="144"/>
      <c r="E4" s="144"/>
      <c r="F4" s="144"/>
      <c r="N4" t="s">
        <v>43</v>
      </c>
      <c r="O4" s="145">
        <f>[1]Input!$G$191</f>
        <v>2.5499999999999998E-2</v>
      </c>
      <c r="P4" s="145">
        <f>[1]Input!$G$191</f>
        <v>2.5499999999999998E-2</v>
      </c>
      <c r="Q4" s="145">
        <f>[1]Input!$G$191</f>
        <v>2.5499999999999998E-2</v>
      </c>
      <c r="R4" s="145">
        <f>[1]Input!$G$191</f>
        <v>2.5499999999999998E-2</v>
      </c>
    </row>
    <row r="5" spans="1:18" x14ac:dyDescent="0.25">
      <c r="A5" s="146" t="str">
        <f>'ACS Meter Pricing'!B36</f>
        <v>Primary</v>
      </c>
      <c r="B5" s="147"/>
      <c r="H5" s="148">
        <f>'ACS Meter Pricing'!C12</f>
        <v>712615.5</v>
      </c>
      <c r="I5" s="148">
        <f>'ACS Meter Pricing'!D12</f>
        <v>726651.5</v>
      </c>
      <c r="J5" s="148">
        <f>'ACS Meter Pricing'!E12</f>
        <v>740938.5</v>
      </c>
      <c r="K5" s="148">
        <f>'ACS Meter Pricing'!F12</f>
        <v>755407.5</v>
      </c>
      <c r="L5" s="148">
        <f>'ACS Meter Pricing'!G12</f>
        <v>770002.5</v>
      </c>
      <c r="N5" t="s">
        <v>44</v>
      </c>
      <c r="O5" s="169">
        <v>-2.7567315995558696E-2</v>
      </c>
      <c r="P5" s="149">
        <f>O5</f>
        <v>-2.7567315995558696E-2</v>
      </c>
      <c r="Q5" s="149">
        <f t="shared" ref="Q5:R5" si="1">P5</f>
        <v>-2.7567315995558696E-2</v>
      </c>
      <c r="R5" s="149">
        <f t="shared" si="1"/>
        <v>-2.7567315995558696E-2</v>
      </c>
    </row>
    <row r="6" spans="1:18" x14ac:dyDescent="0.25">
      <c r="A6" s="150" t="s">
        <v>45</v>
      </c>
      <c r="B6" s="147">
        <f>'ACS Meter Pricing'!C$36*(1-'ACS Meter Pricing'!O$9)</f>
        <v>24.438718764424429</v>
      </c>
      <c r="C6" s="151">
        <f>B6*(1-O$5)*(1+O$4)</f>
        <v>25.752795577631723</v>
      </c>
      <c r="D6" s="151">
        <f t="shared" ref="D6:F6" si="2">C6*(1-P$5)*(1+P$4)</f>
        <v>27.137530672382102</v>
      </c>
      <c r="E6" s="151">
        <f t="shared" si="2"/>
        <v>28.596723364438883</v>
      </c>
      <c r="F6" s="151">
        <f t="shared" si="2"/>
        <v>30.134377259847479</v>
      </c>
      <c r="H6" s="152">
        <f>B6*H5/10^6</f>
        <v>17.415409791669695</v>
      </c>
      <c r="I6" s="152">
        <f>C6*I5/10^6</f>
        <v>18.713307535679458</v>
      </c>
      <c r="J6" s="152">
        <f>D6*J5/10^6</f>
        <v>20.107241270098786</v>
      </c>
      <c r="K6" s="152">
        <f>E6*K5/10^6</f>
        <v>21.602179304922366</v>
      </c>
      <c r="L6" s="152">
        <f>F6*L5/10^6</f>
        <v>23.20354582602571</v>
      </c>
      <c r="N6" t="s">
        <v>53</v>
      </c>
      <c r="O6" s="145">
        <f>[1]WACC!$G$21</f>
        <v>5.8459999999999998E-2</v>
      </c>
      <c r="P6" s="145">
        <f>[1]WACC!$G$21</f>
        <v>5.8459999999999998E-2</v>
      </c>
      <c r="Q6" s="145">
        <f>[1]WACC!$G$21</f>
        <v>5.8459999999999998E-2</v>
      </c>
      <c r="R6" s="145">
        <f>[1]WACC!$G$21</f>
        <v>5.8459999999999998E-2</v>
      </c>
    </row>
    <row r="7" spans="1:18" x14ac:dyDescent="0.25">
      <c r="A7" s="150" t="s">
        <v>46</v>
      </c>
      <c r="B7" s="147">
        <f>'ACS Meter Pricing'!C$36*'ACS Meter Pricing'!O$9</f>
        <v>6.4885828288746019</v>
      </c>
      <c r="C7" s="151">
        <f t="shared" ref="C7:F7" si="3">B7*(1-O$5)*(1+O$4)</f>
        <v>6.8374757609546251</v>
      </c>
      <c r="D7" s="151">
        <f t="shared" si="3"/>
        <v>7.2051287645734901</v>
      </c>
      <c r="E7" s="151">
        <f t="shared" si="3"/>
        <v>7.5925505740785653</v>
      </c>
      <c r="F7" s="151">
        <f t="shared" si="3"/>
        <v>8.0008041637480947</v>
      </c>
      <c r="H7" s="152">
        <f>B7*H5/10^6</f>
        <v>4.6238646968898882</v>
      </c>
      <c r="I7" s="152">
        <f>C7*I5/10^6</f>
        <v>4.9684620179113193</v>
      </c>
      <c r="J7" s="152">
        <f>D7*J5/10^6</f>
        <v>5.3385572991299348</v>
      </c>
      <c r="K7" s="152">
        <f>E7*K5/10^6</f>
        <v>5.7354696477882534</v>
      </c>
      <c r="L7" s="152">
        <f>F7*L5/10^6</f>
        <v>6.1606392080964421</v>
      </c>
    </row>
    <row r="8" spans="1:18" x14ac:dyDescent="0.25">
      <c r="D8" s="153"/>
      <c r="E8" s="153"/>
      <c r="F8" s="153"/>
    </row>
    <row r="9" spans="1:18" x14ac:dyDescent="0.25">
      <c r="A9" s="146" t="str">
        <f>'ACS Meter Pricing'!B37</f>
        <v>Controlled Load</v>
      </c>
      <c r="B9" s="147"/>
      <c r="D9" s="153"/>
      <c r="E9" s="153"/>
      <c r="F9" s="153"/>
      <c r="H9" s="148">
        <f>'ACS Meter Pricing'!C13</f>
        <v>454229</v>
      </c>
      <c r="I9" s="148">
        <f>'ACS Meter Pricing'!D13</f>
        <v>457363.05711357709</v>
      </c>
      <c r="J9" s="148">
        <f>'ACS Meter Pricing'!E13</f>
        <v>460553.1592781308</v>
      </c>
      <c r="K9" s="148">
        <f>'ACS Meter Pricing'!F13</f>
        <v>463783.89968681894</v>
      </c>
      <c r="L9" s="148">
        <f>'ACS Meter Pricing'!G13</f>
        <v>467042.77426452324</v>
      </c>
    </row>
    <row r="10" spans="1:18" x14ac:dyDescent="0.25">
      <c r="A10" s="150" t="s">
        <v>45</v>
      </c>
      <c r="B10" s="147">
        <f>'ACS Meter Pricing'!C$37*(1-'ACS Meter Pricing'!O$9)</f>
        <v>8.9855757993972318</v>
      </c>
      <c r="C10" s="151">
        <f>B10*(1-O$5)*(1+O$4)</f>
        <v>9.4687327490362243</v>
      </c>
      <c r="D10" s="151">
        <f t="shared" ref="D10:F11" si="4">C10*(1-P$5)*(1+P$4)</f>
        <v>9.9778691843749652</v>
      </c>
      <c r="E10" s="151">
        <f t="shared" si="4"/>
        <v>10.514382029700124</v>
      </c>
      <c r="F10" s="151">
        <f t="shared" si="4"/>
        <v>11.079743322311971</v>
      </c>
      <c r="H10" s="152">
        <f>B10*H9/10^6</f>
        <v>4.0815091097844052</v>
      </c>
      <c r="I10" s="152">
        <f>C10*I9/10^6</f>
        <v>4.3306485570906519</v>
      </c>
      <c r="J10" s="152">
        <f>D10*J9/10^6</f>
        <v>4.5953391757277968</v>
      </c>
      <c r="K10" s="152">
        <f>E10*K9/10^6</f>
        <v>4.8764011005313339</v>
      </c>
      <c r="L10" s="152">
        <f>F10*L9/10^6</f>
        <v>5.1747140593914089</v>
      </c>
    </row>
    <row r="11" spans="1:18" x14ac:dyDescent="0.25">
      <c r="A11" s="150" t="s">
        <v>46</v>
      </c>
      <c r="B11" s="147">
        <f>'ACS Meter Pricing'!C$37*'ACS Meter Pricing'!O$9</f>
        <v>2.3857082444269948</v>
      </c>
      <c r="C11" s="151">
        <f t="shared" ref="C11" si="5">B11*(1-O$5)*(1+O$4)</f>
        <v>2.5139884508199191</v>
      </c>
      <c r="D11" s="151">
        <f t="shared" si="4"/>
        <v>2.6491663201566049</v>
      </c>
      <c r="E11" s="151">
        <f t="shared" si="4"/>
        <v>2.791612741722497</v>
      </c>
      <c r="F11" s="151">
        <f t="shared" si="4"/>
        <v>2.9417185476247143</v>
      </c>
      <c r="H11" s="152">
        <f>B11*H9/10^6</f>
        <v>1.0836578701578294</v>
      </c>
      <c r="I11" s="152">
        <f>C11*I9/10^6</f>
        <v>1.1498054434152238</v>
      </c>
      <c r="J11" s="152">
        <f>D11*J9/10^6</f>
        <v>1.2200819182013445</v>
      </c>
      <c r="K11" s="152">
        <f>E11*K9/10^6</f>
        <v>1.294705043771472</v>
      </c>
      <c r="L11" s="152">
        <f>F11*L9/10^6</f>
        <v>1.3739083915880506</v>
      </c>
    </row>
    <row r="12" spans="1:18" x14ac:dyDescent="0.25">
      <c r="D12" s="153"/>
      <c r="E12" s="153"/>
      <c r="F12" s="153"/>
    </row>
    <row r="13" spans="1:18" x14ac:dyDescent="0.25">
      <c r="A13" s="146" t="str">
        <f>'ACS Meter Pricing'!B38</f>
        <v>Solar</v>
      </c>
      <c r="B13" s="147"/>
      <c r="D13" s="153"/>
      <c r="E13" s="153"/>
      <c r="F13" s="153"/>
      <c r="H13" s="148">
        <f>'ACS Meter Pricing'!C14</f>
        <v>113077</v>
      </c>
      <c r="I13" s="148">
        <f>'ACS Meter Pricing'!D14</f>
        <v>128767</v>
      </c>
      <c r="J13" s="148">
        <f>'ACS Meter Pricing'!E14</f>
        <v>143802</v>
      </c>
      <c r="K13" s="148">
        <f>'ACS Meter Pricing'!F14</f>
        <v>158546</v>
      </c>
      <c r="L13" s="148">
        <f>'ACS Meter Pricing'!G14</f>
        <v>172922</v>
      </c>
    </row>
    <row r="14" spans="1:18" x14ac:dyDescent="0.25">
      <c r="A14" s="150" t="s">
        <v>45</v>
      </c>
      <c r="B14" s="147">
        <f>'ACS Meter Pricing'!C$38*(1-'ACS Meter Pricing'!O$9)</f>
        <v>6.0771329271819798</v>
      </c>
      <c r="C14" s="151">
        <f>B14*(1-O$5)*(1+O$4)</f>
        <v>6.4039020817914025</v>
      </c>
      <c r="D14" s="151">
        <f t="shared" ref="D14:F15" si="6">C14*(1-P$5)*(1+P$4)</f>
        <v>6.7482417061739248</v>
      </c>
      <c r="E14" s="151">
        <f t="shared" si="6"/>
        <v>7.1110965694538422</v>
      </c>
      <c r="F14" s="151">
        <f t="shared" si="6"/>
        <v>7.4934622412582126</v>
      </c>
      <c r="H14" s="152">
        <f>B14*H13/10^6</f>
        <v>0.6871839600069567</v>
      </c>
      <c r="I14" s="152">
        <f>C14*I13/10^6</f>
        <v>0.82461125936603352</v>
      </c>
      <c r="J14" s="152">
        <f>D14*J13/10^6</f>
        <v>0.97041065383122282</v>
      </c>
      <c r="K14" s="152">
        <f>E14*K13/10^6</f>
        <v>1.1274359167006289</v>
      </c>
      <c r="L14" s="152">
        <f>F14*L13/10^6</f>
        <v>1.2957844776828527</v>
      </c>
    </row>
    <row r="15" spans="1:18" x14ac:dyDescent="0.25">
      <c r="A15" s="150" t="s">
        <v>46</v>
      </c>
      <c r="B15" s="147">
        <f>'ACS Meter Pricing'!C$38*'ACS Meter Pricing'!O$9</f>
        <v>1.6135044042285387</v>
      </c>
      <c r="C15" s="151">
        <f t="shared" ref="C15" si="7">B15*(1-O$5)*(1+O$4)</f>
        <v>1.700262991945136</v>
      </c>
      <c r="D15" s="151">
        <f t="shared" si="6"/>
        <v>1.7916866134371925</v>
      </c>
      <c r="E15" s="151">
        <f t="shared" si="6"/>
        <v>1.8880261088889363</v>
      </c>
      <c r="F15" s="151">
        <f t="shared" si="6"/>
        <v>1.9895458062321767</v>
      </c>
      <c r="H15" s="152">
        <f>B15*H13/10^6</f>
        <v>0.18245023751695047</v>
      </c>
      <c r="I15" s="152">
        <f>C15*I13/10^6</f>
        <v>0.21893776468379933</v>
      </c>
      <c r="J15" s="152">
        <f>D15*J13/10^6</f>
        <v>0.25764811838549517</v>
      </c>
      <c r="K15" s="152">
        <f>E15*K13/10^6</f>
        <v>0.29933898745990528</v>
      </c>
      <c r="L15" s="152">
        <f>F15*L13/10^6</f>
        <v>0.34403623990528048</v>
      </c>
    </row>
    <row r="16" spans="1:18" x14ac:dyDescent="0.25">
      <c r="D16" s="153"/>
      <c r="E16" s="153"/>
      <c r="F16" s="153"/>
    </row>
    <row r="17" spans="1:18" x14ac:dyDescent="0.25">
      <c r="A17" s="154" t="s">
        <v>14</v>
      </c>
    </row>
    <row r="18" spans="1:18" x14ac:dyDescent="0.25">
      <c r="A18" s="154" t="s">
        <v>47</v>
      </c>
      <c r="H18" s="155">
        <f>SUM(H5,H9,H13)</f>
        <v>1279921.5</v>
      </c>
      <c r="I18" s="155">
        <f t="shared" ref="I18:L18" si="8">SUM(I5,I9,I13)</f>
        <v>1312781.5571135771</v>
      </c>
      <c r="J18" s="155">
        <f t="shared" si="8"/>
        <v>1345293.6592781309</v>
      </c>
      <c r="K18" s="155">
        <f t="shared" si="8"/>
        <v>1377737.3996868189</v>
      </c>
      <c r="L18" s="155">
        <f t="shared" si="8"/>
        <v>1409967.2742645233</v>
      </c>
    </row>
    <row r="19" spans="1:18" x14ac:dyDescent="0.25">
      <c r="A19" s="143" t="str">
        <f>A14</f>
        <v>non-capital</v>
      </c>
      <c r="H19" s="156">
        <f t="shared" ref="H19:L20" si="9">SUM(H6,H10,H14)</f>
        <v>22.184102861461056</v>
      </c>
      <c r="I19" s="156">
        <f t="shared" si="9"/>
        <v>23.868567352136143</v>
      </c>
      <c r="J19" s="156">
        <f t="shared" si="9"/>
        <v>25.672991099657807</v>
      </c>
      <c r="K19" s="156">
        <f t="shared" si="9"/>
        <v>27.606016322154328</v>
      </c>
      <c r="L19" s="156">
        <f t="shared" si="9"/>
        <v>29.674044363099974</v>
      </c>
    </row>
    <row r="20" spans="1:18" x14ac:dyDescent="0.25">
      <c r="A20" s="143" t="str">
        <f>A15</f>
        <v>capital</v>
      </c>
      <c r="G20" s="157" t="s">
        <v>48</v>
      </c>
      <c r="H20" s="156">
        <f t="shared" si="9"/>
        <v>5.8899728045646684</v>
      </c>
      <c r="I20" s="156">
        <f t="shared" si="9"/>
        <v>6.337205226010342</v>
      </c>
      <c r="J20" s="156">
        <f t="shared" si="9"/>
        <v>6.8162873357167744</v>
      </c>
      <c r="K20" s="156">
        <f t="shared" si="9"/>
        <v>7.3295136790196311</v>
      </c>
      <c r="L20" s="156">
        <f t="shared" si="9"/>
        <v>7.8785838395897727</v>
      </c>
    </row>
    <row r="21" spans="1:18" x14ac:dyDescent="0.25">
      <c r="D21" s="158"/>
      <c r="E21" s="159"/>
      <c r="F21" s="160" t="s">
        <v>49</v>
      </c>
      <c r="G21" s="161">
        <f>NPV($O$6,H21:L21)</f>
        <v>136.98254203009159</v>
      </c>
      <c r="H21" s="162">
        <f>SUM(H19:H20)</f>
        <v>28.074075666025724</v>
      </c>
      <c r="I21" s="162">
        <f>SUM(I19:I20)</f>
        <v>30.205772578146487</v>
      </c>
      <c r="J21" s="162">
        <f>SUM(J19:J20)</f>
        <v>32.48927843537458</v>
      </c>
      <c r="K21" s="162">
        <f>SUM(K19:K20)</f>
        <v>34.935530001173959</v>
      </c>
      <c r="L21" s="162">
        <f>SUM(L19:L20)</f>
        <v>37.552628202689746</v>
      </c>
    </row>
    <row r="22" spans="1:18" x14ac:dyDescent="0.25">
      <c r="A22" s="143"/>
      <c r="G22" s="163"/>
      <c r="H22" s="156"/>
      <c r="I22" s="156"/>
      <c r="J22" s="156"/>
      <c r="K22" s="156"/>
      <c r="L22" s="156"/>
    </row>
    <row r="23" spans="1:18" x14ac:dyDescent="0.25">
      <c r="D23" s="158"/>
      <c r="E23" s="159"/>
      <c r="F23" s="160" t="s">
        <v>50</v>
      </c>
      <c r="G23" s="161">
        <f>NPV($O$6,H23:L23)</f>
        <v>136.98254203009157</v>
      </c>
      <c r="H23" s="162">
        <f>'ACS Meter Pricing'!C6</f>
        <v>28.074075666025724</v>
      </c>
      <c r="I23" s="162">
        <f>'ACS Meter Pricing'!D6</f>
        <v>30.26093757404902</v>
      </c>
      <c r="J23" s="162">
        <f>'ACS Meter Pricing'!E6</f>
        <v>32.555681951658869</v>
      </c>
      <c r="K23" s="162">
        <f>'ACS Meter Pricing'!F6</f>
        <v>34.943888065973177</v>
      </c>
      <c r="L23" s="162">
        <f>'ACS Meter Pricing'!G6</f>
        <v>37.40397072590612</v>
      </c>
    </row>
    <row r="24" spans="1:18" x14ac:dyDescent="0.25">
      <c r="A24" s="143"/>
      <c r="G24" s="163"/>
      <c r="H24" s="156"/>
      <c r="I24" s="156"/>
      <c r="J24" s="156"/>
      <c r="K24" s="156"/>
      <c r="L24" s="156"/>
    </row>
    <row r="25" spans="1:18" x14ac:dyDescent="0.25">
      <c r="A25" s="143"/>
      <c r="D25" s="158"/>
      <c r="E25" s="159"/>
      <c r="F25" s="164" t="s">
        <v>51</v>
      </c>
      <c r="G25" s="165">
        <f>G21-G23</f>
        <v>0</v>
      </c>
      <c r="I25" s="156"/>
      <c r="J25" s="156"/>
      <c r="L25" s="166">
        <f>L21/L23-1</f>
        <v>3.97437688829827E-3</v>
      </c>
      <c r="M25" s="167" t="s">
        <v>52</v>
      </c>
      <c r="N25" s="159"/>
      <c r="O25" s="159"/>
      <c r="P25" s="159"/>
      <c r="Q25" s="168"/>
      <c r="R25" s="168"/>
    </row>
    <row r="26" spans="1:18" x14ac:dyDescent="0.25">
      <c r="A26" s="143"/>
      <c r="H26" s="156"/>
      <c r="I26" s="156"/>
      <c r="J26" s="156"/>
      <c r="K26" s="156"/>
      <c r="L26" s="156"/>
    </row>
    <row r="29" spans="1:18" x14ac:dyDescent="0.25">
      <c r="A29" t="s">
        <v>61</v>
      </c>
    </row>
    <row r="30" spans="1:18" x14ac:dyDescent="0.25">
      <c r="A30" s="174" t="s">
        <v>56</v>
      </c>
      <c r="B30" s="175" t="s">
        <v>57</v>
      </c>
      <c r="C30" s="175" t="s">
        <v>21</v>
      </c>
      <c r="D30" s="175" t="s">
        <v>22</v>
      </c>
      <c r="E30" s="175" t="s">
        <v>23</v>
      </c>
      <c r="F30" s="175" t="s">
        <v>24</v>
      </c>
      <c r="G30" s="175"/>
    </row>
    <row r="31" spans="1:18" x14ac:dyDescent="0.25">
      <c r="A31" s="193" t="s">
        <v>11</v>
      </c>
      <c r="B31" s="176" t="s">
        <v>58</v>
      </c>
      <c r="C31" s="177">
        <v>24.44</v>
      </c>
      <c r="D31" s="177">
        <v>25.75</v>
      </c>
      <c r="E31" s="177">
        <v>27.14</v>
      </c>
      <c r="F31" s="177">
        <v>28.6</v>
      </c>
      <c r="G31" s="177">
        <v>30.13</v>
      </c>
      <c r="I31" s="184">
        <f>C31-B6</f>
        <v>1.2812355755720262E-3</v>
      </c>
      <c r="J31" s="184">
        <f t="shared" ref="J31:M31" si="10">D31-C6</f>
        <v>-2.7955776317227787E-3</v>
      </c>
      <c r="K31" s="184">
        <f t="shared" si="10"/>
        <v>2.4693276178986423E-3</v>
      </c>
      <c r="L31" s="184">
        <f t="shared" si="10"/>
        <v>3.2766355611180131E-3</v>
      </c>
      <c r="M31" s="184">
        <f t="shared" si="10"/>
        <v>-4.3772598474802749E-3</v>
      </c>
    </row>
    <row r="32" spans="1:18" x14ac:dyDescent="0.25">
      <c r="A32" s="193"/>
      <c r="B32" s="178" t="s">
        <v>59</v>
      </c>
      <c r="C32" s="179">
        <v>6.49</v>
      </c>
      <c r="D32" s="179">
        <v>6.84</v>
      </c>
      <c r="E32" s="179">
        <v>7.21</v>
      </c>
      <c r="F32" s="179">
        <v>7.59</v>
      </c>
      <c r="G32" s="179">
        <v>8</v>
      </c>
      <c r="I32" s="184">
        <f>C32-B7</f>
        <v>1.4171711253982977E-3</v>
      </c>
      <c r="J32" s="184">
        <f t="shared" ref="J32" si="11">D32-C7</f>
        <v>2.5242390453747987E-3</v>
      </c>
      <c r="K32" s="184">
        <f t="shared" ref="K32" si="12">E32-D7</f>
        <v>4.8712354265099123E-3</v>
      </c>
      <c r="L32" s="184">
        <f t="shared" ref="L32" si="13">F32-E7</f>
        <v>-2.5505740785654041E-3</v>
      </c>
      <c r="M32" s="184">
        <f t="shared" ref="M32" si="14">G32-F7</f>
        <v>-8.0416374809466618E-4</v>
      </c>
    </row>
    <row r="33" spans="1:13" x14ac:dyDescent="0.25">
      <c r="A33" s="193" t="s">
        <v>60</v>
      </c>
      <c r="B33" s="176" t="s">
        <v>58</v>
      </c>
      <c r="C33" s="177">
        <v>8.99</v>
      </c>
      <c r="D33" s="177">
        <v>9.4700000000000006</v>
      </c>
      <c r="E33" s="177">
        <v>9.98</v>
      </c>
      <c r="F33" s="177">
        <v>10.51</v>
      </c>
      <c r="G33" s="177">
        <v>11.08</v>
      </c>
      <c r="I33" s="184">
        <f>C33-B10</f>
        <v>4.42420060276838E-3</v>
      </c>
      <c r="J33" s="184">
        <f t="shared" ref="J33:M33" si="15">D33-C10</f>
        <v>1.2672509637763341E-3</v>
      </c>
      <c r="K33" s="184">
        <f t="shared" si="15"/>
        <v>2.1308156250352539E-3</v>
      </c>
      <c r="L33" s="184">
        <f t="shared" si="15"/>
        <v>-4.38202970012469E-3</v>
      </c>
      <c r="M33" s="184">
        <f t="shared" si="15"/>
        <v>2.5667768802861701E-4</v>
      </c>
    </row>
    <row r="34" spans="1:13" x14ac:dyDescent="0.25">
      <c r="A34" s="193"/>
      <c r="B34" s="178" t="s">
        <v>59</v>
      </c>
      <c r="C34" s="179">
        <v>2.39</v>
      </c>
      <c r="D34" s="179">
        <v>2.5099999999999998</v>
      </c>
      <c r="E34" s="179">
        <v>2.65</v>
      </c>
      <c r="F34" s="179">
        <v>2.79</v>
      </c>
      <c r="G34" s="179">
        <v>2.94</v>
      </c>
      <c r="I34" s="184">
        <f>C34-B11</f>
        <v>4.2917555730053181E-3</v>
      </c>
      <c r="J34" s="184">
        <f t="shared" ref="J34" si="16">D34-C11</f>
        <v>-3.9884508199192759E-3</v>
      </c>
      <c r="K34" s="184">
        <f t="shared" ref="K34" si="17">E34-D11</f>
        <v>8.3367984339499657E-4</v>
      </c>
      <c r="L34" s="184">
        <f t="shared" ref="L34" si="18">F34-E11</f>
        <v>-1.6127417224969243E-3</v>
      </c>
      <c r="M34" s="184">
        <f t="shared" ref="M34" si="19">G34-F11</f>
        <v>-1.7185476247143505E-3</v>
      </c>
    </row>
    <row r="35" spans="1:13" x14ac:dyDescent="0.25">
      <c r="A35" s="193" t="s">
        <v>13</v>
      </c>
      <c r="B35" s="176" t="s">
        <v>58</v>
      </c>
      <c r="C35" s="177">
        <v>6.08</v>
      </c>
      <c r="D35" s="177">
        <v>6.4</v>
      </c>
      <c r="E35" s="177">
        <v>6.75</v>
      </c>
      <c r="F35" s="177">
        <v>7.11</v>
      </c>
      <c r="G35" s="177">
        <v>7.49</v>
      </c>
      <c r="I35" s="184">
        <f>C35-B14</f>
        <v>2.8670728180202332E-3</v>
      </c>
      <c r="J35" s="184">
        <f t="shared" ref="J35:M35" si="20">D35-C14</f>
        <v>-3.9020817914021677E-3</v>
      </c>
      <c r="K35" s="184">
        <f t="shared" si="20"/>
        <v>1.7582938260751746E-3</v>
      </c>
      <c r="L35" s="184">
        <f t="shared" si="20"/>
        <v>-1.0965694538418447E-3</v>
      </c>
      <c r="M35" s="184">
        <f t="shared" si="20"/>
        <v>-3.4622412582123729E-3</v>
      </c>
    </row>
    <row r="36" spans="1:13" ht="15.75" thickBot="1" x14ac:dyDescent="0.3">
      <c r="A36" s="194"/>
      <c r="B36" s="180" t="s">
        <v>59</v>
      </c>
      <c r="C36" s="181">
        <v>1.61</v>
      </c>
      <c r="D36" s="181">
        <v>1.7</v>
      </c>
      <c r="E36" s="181">
        <v>1.79</v>
      </c>
      <c r="F36" s="181">
        <v>1.89</v>
      </c>
      <c r="G36" s="181">
        <v>1.99</v>
      </c>
      <c r="I36" s="184">
        <f>C36-B15</f>
        <v>-3.5044042285385935E-3</v>
      </c>
      <c r="J36" s="184">
        <f t="shared" ref="J36" si="21">D36-C15</f>
        <v>-2.629919451360152E-4</v>
      </c>
      <c r="K36" s="184">
        <f t="shared" ref="K36" si="22">E36-D15</f>
        <v>-1.6866134371924524E-3</v>
      </c>
      <c r="L36" s="184">
        <f t="shared" ref="L36" si="23">F36-E15</f>
        <v>1.9738911110636082E-3</v>
      </c>
      <c r="M36" s="184">
        <f t="shared" ref="M36" si="24">G36-F15</f>
        <v>4.5419376782329657E-4</v>
      </c>
    </row>
    <row r="38" spans="1:13" x14ac:dyDescent="0.25">
      <c r="A38" t="s">
        <v>62</v>
      </c>
    </row>
    <row r="39" spans="1:13" x14ac:dyDescent="0.25">
      <c r="A39" s="174"/>
      <c r="B39" s="175" t="s">
        <v>63</v>
      </c>
      <c r="C39" s="175" t="s">
        <v>64</v>
      </c>
      <c r="D39" s="175" t="s">
        <v>65</v>
      </c>
      <c r="E39" s="175" t="s">
        <v>66</v>
      </c>
    </row>
    <row r="40" spans="1:13" ht="15.75" thickBot="1" x14ac:dyDescent="0.3">
      <c r="A40" s="182" t="s">
        <v>44</v>
      </c>
      <c r="B40" s="183" t="s">
        <v>67</v>
      </c>
      <c r="C40" s="183" t="s">
        <v>67</v>
      </c>
      <c r="D40" s="183" t="s">
        <v>67</v>
      </c>
      <c r="E40" s="183" t="s">
        <v>67</v>
      </c>
      <c r="G40" s="145">
        <f>-2.76/100-O5</f>
        <v>-3.2684004441303066E-5</v>
      </c>
      <c r="H40" s="145">
        <f t="shared" ref="H40:J40" si="25">-2.76/100-P5</f>
        <v>-3.2684004441303066E-5</v>
      </c>
      <c r="I40" s="145">
        <f t="shared" si="25"/>
        <v>-3.2684004441303066E-5</v>
      </c>
      <c r="J40" s="145">
        <f t="shared" si="25"/>
        <v>-3.2684004441303066E-5</v>
      </c>
    </row>
  </sheetData>
  <mergeCells count="3">
    <mergeCell ref="A31:A32"/>
    <mergeCell ref="A33:A34"/>
    <mergeCell ref="A35:A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53"/>
  <sheetViews>
    <sheetView zoomScale="90" zoomScaleNormal="90" workbookViewId="0">
      <selection activeCell="J34" sqref="J34"/>
    </sheetView>
  </sheetViews>
  <sheetFormatPr defaultRowHeight="15" x14ac:dyDescent="0.25"/>
  <cols>
    <col min="1" max="1" width="2.7109375" customWidth="1"/>
    <col min="2" max="2" width="34.5703125" customWidth="1"/>
    <col min="3" max="7" width="11.28515625" customWidth="1"/>
    <col min="8" max="8" width="12.5703125" customWidth="1"/>
    <col min="9" max="9" width="21.7109375" customWidth="1"/>
    <col min="10" max="10" width="15.7109375" customWidth="1"/>
    <col min="11" max="16384" width="9.140625" style="79"/>
  </cols>
  <sheetData>
    <row r="1" spans="1:15" x14ac:dyDescent="0.25">
      <c r="A1" s="1"/>
      <c r="B1" s="2"/>
      <c r="C1" s="2"/>
      <c r="D1" s="2"/>
      <c r="E1" s="2"/>
      <c r="F1" s="2"/>
      <c r="G1" s="2"/>
      <c r="H1" s="3"/>
      <c r="I1" s="3"/>
      <c r="J1" s="2"/>
    </row>
    <row r="2" spans="1:15" x14ac:dyDescent="0.25">
      <c r="A2" s="1"/>
      <c r="B2" s="4" t="s">
        <v>0</v>
      </c>
      <c r="C2" s="5"/>
      <c r="D2" s="5"/>
      <c r="E2" s="5"/>
      <c r="F2" s="5"/>
      <c r="G2" s="5"/>
      <c r="H2" s="6"/>
      <c r="I2" s="7"/>
      <c r="J2" s="2"/>
    </row>
    <row r="3" spans="1:15" x14ac:dyDescent="0.25">
      <c r="A3" s="1"/>
      <c r="B3" s="2"/>
      <c r="C3" s="8"/>
      <c r="D3" s="8"/>
      <c r="E3" s="8"/>
      <c r="F3" s="8"/>
      <c r="G3" s="8"/>
      <c r="H3" s="3"/>
      <c r="I3" s="132"/>
      <c r="J3" s="133" t="str">
        <f>C5</f>
        <v>2015-16</v>
      </c>
      <c r="K3" s="133" t="str">
        <f t="shared" ref="K3:N3" si="0">D5</f>
        <v>2016-17</v>
      </c>
      <c r="L3" s="133" t="str">
        <f t="shared" si="0"/>
        <v>2017-18</v>
      </c>
      <c r="M3" s="133" t="str">
        <f t="shared" si="0"/>
        <v>2018-19</v>
      </c>
      <c r="N3" s="133" t="str">
        <f t="shared" si="0"/>
        <v>2019-20</v>
      </c>
    </row>
    <row r="4" spans="1:15" ht="15.75" thickBot="1" x14ac:dyDescent="0.3">
      <c r="A4" s="1"/>
      <c r="B4" s="9" t="s">
        <v>1</v>
      </c>
      <c r="C4" s="2"/>
      <c r="D4" s="2"/>
      <c r="E4" s="2"/>
      <c r="F4" s="2"/>
      <c r="G4" s="2"/>
      <c r="H4" s="3"/>
      <c r="I4" s="134" t="str">
        <f>'[1]X factor'!$C18</f>
        <v>Return on capital</v>
      </c>
      <c r="J4" s="130">
        <f>'[1]X factor'!E18</f>
        <v>3.5484632691008549</v>
      </c>
      <c r="K4" s="130">
        <f>'[1]X factor'!F18</f>
        <v>4.1079612876908804</v>
      </c>
      <c r="L4" s="130">
        <f>'[1]X factor'!G18</f>
        <v>4.6509972294821544</v>
      </c>
      <c r="M4" s="130">
        <f>'[1]X factor'!H18</f>
        <v>5.1752791432399468</v>
      </c>
      <c r="N4" s="130">
        <f>'[1]X factor'!I18</f>
        <v>5.6783811341028425</v>
      </c>
    </row>
    <row r="5" spans="1:15" ht="15.75" thickBot="1" x14ac:dyDescent="0.3">
      <c r="A5" s="10"/>
      <c r="B5" s="170" t="s">
        <v>54</v>
      </c>
      <c r="C5" s="11" t="s">
        <v>2</v>
      </c>
      <c r="D5" s="11" t="s">
        <v>3</v>
      </c>
      <c r="E5" s="11" t="s">
        <v>4</v>
      </c>
      <c r="F5" s="11" t="s">
        <v>5</v>
      </c>
      <c r="G5" s="12" t="s">
        <v>6</v>
      </c>
      <c r="H5" s="3"/>
      <c r="I5" s="134" t="str">
        <f>'[1]X factor'!$C19</f>
        <v>Return of capital</v>
      </c>
      <c r="J5" s="130">
        <f>'[1]X factor'!E19</f>
        <v>1.1104300903022375</v>
      </c>
      <c r="K5" s="130">
        <f>'[1]X factor'!F19</f>
        <v>1.6643922476972748</v>
      </c>
      <c r="L5" s="130">
        <f>'[1]X factor'!G19</f>
        <v>2.2645052139061272</v>
      </c>
      <c r="M5" s="130">
        <f>'[1]X factor'!H19</f>
        <v>2.9132372965822522</v>
      </c>
      <c r="N5" s="130">
        <f>'[1]X factor'!I19</f>
        <v>3.61316478567857</v>
      </c>
    </row>
    <row r="6" spans="1:15" ht="15.75" thickBot="1" x14ac:dyDescent="0.3">
      <c r="A6" s="10"/>
      <c r="B6" s="13" t="s">
        <v>7</v>
      </c>
      <c r="C6" s="128">
        <f>J8</f>
        <v>28.074075666025724</v>
      </c>
      <c r="D6" s="128">
        <f t="shared" ref="D6:G6" si="1">K8</f>
        <v>30.26093757404902</v>
      </c>
      <c r="E6" s="128">
        <f t="shared" si="1"/>
        <v>32.555681951658869</v>
      </c>
      <c r="F6" s="128">
        <f t="shared" si="1"/>
        <v>34.943888065973177</v>
      </c>
      <c r="G6" s="129">
        <f t="shared" si="1"/>
        <v>37.40397072590612</v>
      </c>
      <c r="H6" s="3"/>
      <c r="I6" s="134" t="str">
        <f>'[1]X factor'!$C20</f>
        <v>O&amp;M</v>
      </c>
      <c r="J6" s="130">
        <f>'[1]X factor'!E20</f>
        <v>23.415182306622633</v>
      </c>
      <c r="K6" s="130">
        <f>'[1]X factor'!F20</f>
        <v>24.488584038660864</v>
      </c>
      <c r="L6" s="130">
        <f>'[1]X factor'!G20</f>
        <v>25.609805014894253</v>
      </c>
      <c r="M6" s="130">
        <f>'[1]X factor'!H20</f>
        <v>26.778355746746694</v>
      </c>
      <c r="N6" s="130">
        <f>'[1]X factor'!I20</f>
        <v>27.994043359377695</v>
      </c>
    </row>
    <row r="7" spans="1:15" ht="15.75" thickBot="1" x14ac:dyDescent="0.3">
      <c r="A7" s="1"/>
      <c r="B7" s="14" t="s">
        <v>8</v>
      </c>
      <c r="C7" s="15"/>
      <c r="D7" s="15"/>
      <c r="E7" s="15"/>
      <c r="F7" s="15"/>
      <c r="G7" s="16"/>
      <c r="H7" s="3"/>
      <c r="I7" s="135" t="str">
        <f>'[1]X factor'!$C$22</f>
        <v>Benchmark Tax liability</v>
      </c>
      <c r="J7" s="130">
        <v>0</v>
      </c>
      <c r="K7" s="130">
        <v>0</v>
      </c>
      <c r="L7" s="130">
        <v>3.0374493376334424E-2</v>
      </c>
      <c r="M7" s="130">
        <v>7.7015879404286183E-2</v>
      </c>
      <c r="N7" s="130">
        <v>0.11838144674700994</v>
      </c>
    </row>
    <row r="8" spans="1:15" ht="15.75" thickBot="1" x14ac:dyDescent="0.3">
      <c r="A8" s="1"/>
      <c r="B8" s="171" t="s">
        <v>55</v>
      </c>
      <c r="C8" s="172">
        <f>SUM([1]Assets!G$474:G$475)/2</f>
        <v>66.258213908260416</v>
      </c>
      <c r="D8" s="172">
        <f>SUM([1]Assets!H$474:H$475)/2</f>
        <v>75.810054139660906</v>
      </c>
      <c r="E8" s="172">
        <f>SUM([1]Assets!I$474:I$475)/2</f>
        <v>85.057105731045993</v>
      </c>
      <c r="F8" s="172">
        <f>SUM([1]Assets!J$474:J$475)/2</f>
        <v>93.958517751414718</v>
      </c>
      <c r="G8" s="173">
        <f>SUM([1]Assets!K$474:K$475)/2</f>
        <v>102.47106712262888</v>
      </c>
      <c r="H8" s="3"/>
      <c r="I8" s="136"/>
      <c r="J8" s="131">
        <f>SUM(J4:J7)</f>
        <v>28.074075666025724</v>
      </c>
      <c r="K8" s="131">
        <f t="shared" ref="K8:N8" si="2">SUM(K4:K7)</f>
        <v>30.26093757404902</v>
      </c>
      <c r="L8" s="131">
        <f t="shared" si="2"/>
        <v>32.555681951658869</v>
      </c>
      <c r="M8" s="131">
        <f t="shared" si="2"/>
        <v>34.943888065973177</v>
      </c>
      <c r="N8" s="131">
        <f t="shared" si="2"/>
        <v>37.40397072590612</v>
      </c>
      <c r="O8" s="139" t="s">
        <v>40</v>
      </c>
    </row>
    <row r="9" spans="1:15" s="2" customFormat="1" x14ac:dyDescent="0.25">
      <c r="A9" s="1"/>
      <c r="B9" s="1"/>
      <c r="C9" s="1"/>
      <c r="D9" s="18"/>
      <c r="E9" s="18"/>
      <c r="F9" s="18"/>
      <c r="G9" s="18"/>
      <c r="H9" s="19"/>
      <c r="I9" s="138" t="s">
        <v>39</v>
      </c>
      <c r="J9" s="137">
        <f>SUM(J4:J5)/J8</f>
        <v>0.16595001790356803</v>
      </c>
      <c r="K9" s="137">
        <f t="shared" ref="K9:N9" si="3">SUM(K4:K5)/K8</f>
        <v>0.19075263353169775</v>
      </c>
      <c r="L9" s="137">
        <f t="shared" si="3"/>
        <v>0.21242075204128549</v>
      </c>
      <c r="M9" s="137">
        <f t="shared" si="3"/>
        <v>0.2314715644850763</v>
      </c>
      <c r="N9" s="137">
        <f t="shared" si="3"/>
        <v>0.24841068312958697</v>
      </c>
      <c r="O9" s="140">
        <f>AVERAGE(J9:N9)</f>
        <v>0.20980113021824293</v>
      </c>
    </row>
    <row r="10" spans="1:15" s="2" customFormat="1" ht="15.75" thickBot="1" x14ac:dyDescent="0.3">
      <c r="A10" s="1"/>
      <c r="B10" s="9" t="s">
        <v>9</v>
      </c>
      <c r="C10" s="1"/>
      <c r="D10" s="80"/>
      <c r="E10" s="80"/>
      <c r="F10" s="80"/>
      <c r="G10" s="80"/>
      <c r="H10" s="3"/>
      <c r="I10" s="3"/>
    </row>
    <row r="11" spans="1:15" s="2" customFormat="1" ht="15.75" thickBot="1" x14ac:dyDescent="0.3">
      <c r="A11" s="1"/>
      <c r="B11" s="14" t="s">
        <v>10</v>
      </c>
      <c r="C11" s="20" t="s">
        <v>2</v>
      </c>
      <c r="D11" s="20" t="s">
        <v>3</v>
      </c>
      <c r="E11" s="20" t="s">
        <v>4</v>
      </c>
      <c r="F11" s="20" t="s">
        <v>5</v>
      </c>
      <c r="G11" s="21" t="s">
        <v>6</v>
      </c>
      <c r="H11" s="3"/>
      <c r="I11" s="81"/>
      <c r="J11" s="82" t="s">
        <v>2</v>
      </c>
      <c r="K11" s="82" t="s">
        <v>3</v>
      </c>
      <c r="L11" s="82" t="s">
        <v>4</v>
      </c>
      <c r="M11" s="82" t="s">
        <v>5</v>
      </c>
      <c r="N11" s="83" t="s">
        <v>6</v>
      </c>
    </row>
    <row r="12" spans="1:15" s="2" customFormat="1" ht="15.75" thickBot="1" x14ac:dyDescent="0.3">
      <c r="A12" s="1"/>
      <c r="B12" s="22" t="s">
        <v>11</v>
      </c>
      <c r="C12" s="23">
        <f>J19</f>
        <v>712615.5</v>
      </c>
      <c r="D12" s="23">
        <f>C12+K12</f>
        <v>726651.5</v>
      </c>
      <c r="E12" s="23">
        <f>D12+L12</f>
        <v>740938.5</v>
      </c>
      <c r="F12" s="23">
        <f>E12+M12</f>
        <v>755407.5</v>
      </c>
      <c r="G12" s="24">
        <f>F12+N12</f>
        <v>770002.5</v>
      </c>
      <c r="I12" s="84" t="s">
        <v>27</v>
      </c>
      <c r="J12" s="85">
        <v>13843</v>
      </c>
      <c r="K12" s="85">
        <v>14036</v>
      </c>
      <c r="L12" s="85">
        <v>14287</v>
      </c>
      <c r="M12" s="85">
        <v>14469</v>
      </c>
      <c r="N12" s="86">
        <v>14595</v>
      </c>
    </row>
    <row r="13" spans="1:15" s="2" customFormat="1" x14ac:dyDescent="0.25">
      <c r="A13" s="1"/>
      <c r="B13" s="25" t="s">
        <v>12</v>
      </c>
      <c r="C13" s="26">
        <f>454229</f>
        <v>454229</v>
      </c>
      <c r="D13" s="27">
        <f t="shared" ref="D13:G14" si="4">C13+K14</f>
        <v>457363.05711357709</v>
      </c>
      <c r="E13" s="27">
        <f t="shared" si="4"/>
        <v>460553.1592781308</v>
      </c>
      <c r="F13" s="27">
        <f t="shared" si="4"/>
        <v>463783.89968681894</v>
      </c>
      <c r="G13" s="28">
        <f t="shared" si="4"/>
        <v>467042.77426452324</v>
      </c>
      <c r="I13" s="87" t="s">
        <v>28</v>
      </c>
      <c r="J13" s="88">
        <v>0.22328705568374679</v>
      </c>
      <c r="K13" s="89"/>
      <c r="L13" s="89"/>
      <c r="M13" s="89"/>
      <c r="N13" s="90"/>
    </row>
    <row r="14" spans="1:15" s="2" customFormat="1" ht="15.75" thickBot="1" x14ac:dyDescent="0.3">
      <c r="A14" s="1"/>
      <c r="B14" s="77" t="s">
        <v>13</v>
      </c>
      <c r="C14" s="29">
        <v>113077</v>
      </c>
      <c r="D14" s="29">
        <f t="shared" si="4"/>
        <v>128767</v>
      </c>
      <c r="E14" s="29">
        <f t="shared" si="4"/>
        <v>143802</v>
      </c>
      <c r="F14" s="29">
        <f t="shared" si="4"/>
        <v>158546</v>
      </c>
      <c r="G14" s="91">
        <f t="shared" si="4"/>
        <v>172922</v>
      </c>
      <c r="I14" s="43" t="s">
        <v>29</v>
      </c>
      <c r="J14" s="92">
        <f>$J$13*J12</f>
        <v>3090.9627118301069</v>
      </c>
      <c r="K14" s="92">
        <f t="shared" ref="K14:N14" si="5">$J$13*K12</f>
        <v>3134.0571135770701</v>
      </c>
      <c r="L14" s="92">
        <f t="shared" si="5"/>
        <v>3190.1021645536903</v>
      </c>
      <c r="M14" s="92">
        <f t="shared" si="5"/>
        <v>3230.7404086881324</v>
      </c>
      <c r="N14" s="93">
        <f t="shared" si="5"/>
        <v>3258.8745777042845</v>
      </c>
      <c r="O14" s="94" t="s">
        <v>30</v>
      </c>
    </row>
    <row r="15" spans="1:15" s="2" customFormat="1" ht="15.75" thickBot="1" x14ac:dyDescent="0.3">
      <c r="A15" s="1"/>
      <c r="B15" s="95" t="s">
        <v>14</v>
      </c>
      <c r="C15" s="96">
        <f>SUM(C12:C14)</f>
        <v>1279921.5</v>
      </c>
      <c r="D15" s="96">
        <f>SUM(D12:D14)</f>
        <v>1312781.5571135771</v>
      </c>
      <c r="E15" s="96">
        <f>SUM(E12:E14)</f>
        <v>1345293.6592781309</v>
      </c>
      <c r="F15" s="96">
        <f>SUM(F12:F14)</f>
        <v>1377737.3996868189</v>
      </c>
      <c r="G15" s="97">
        <f>SUM(G12:G14)</f>
        <v>1409967.2742645233</v>
      </c>
      <c r="I15" s="46" t="s">
        <v>31</v>
      </c>
      <c r="J15" s="98">
        <v>15530</v>
      </c>
      <c r="K15" s="98">
        <v>15690</v>
      </c>
      <c r="L15" s="98">
        <v>15035</v>
      </c>
      <c r="M15" s="98">
        <v>14744</v>
      </c>
      <c r="N15" s="99">
        <v>14376</v>
      </c>
    </row>
    <row r="16" spans="1:15" s="2" customFormat="1" ht="15.75" thickBot="1" x14ac:dyDescent="0.3">
      <c r="A16" s="1"/>
      <c r="B16" s="14" t="s">
        <v>15</v>
      </c>
      <c r="C16" s="30"/>
      <c r="D16" s="30"/>
      <c r="E16" s="30"/>
      <c r="F16" s="30"/>
      <c r="G16" s="31"/>
      <c r="H16" s="3"/>
    </row>
    <row r="17" spans="1:10" s="2" customFormat="1" ht="15.75" thickBot="1" x14ac:dyDescent="0.3">
      <c r="A17" s="1"/>
      <c r="B17" s="32" t="str">
        <f>B12</f>
        <v>Primary</v>
      </c>
      <c r="C17" s="33">
        <f>C12*$C$28</f>
        <v>712615.5</v>
      </c>
      <c r="D17" s="33">
        <f>D12*$C$28</f>
        <v>726651.5</v>
      </c>
      <c r="E17" s="33">
        <f>E12*$C$28</f>
        <v>740938.5</v>
      </c>
      <c r="F17" s="33">
        <f>F12*$C$28</f>
        <v>755407.5</v>
      </c>
      <c r="G17" s="34">
        <f>G12*$C$28</f>
        <v>770002.5</v>
      </c>
      <c r="H17" s="35"/>
      <c r="I17" s="100" t="s">
        <v>32</v>
      </c>
      <c r="J17" s="3"/>
    </row>
    <row r="18" spans="1:10" s="2" customFormat="1" ht="15.75" thickBot="1" x14ac:dyDescent="0.3">
      <c r="A18" s="1"/>
      <c r="B18" s="36" t="str">
        <f t="shared" ref="B18:B19" si="6">B13</f>
        <v>Controlled Load</v>
      </c>
      <c r="C18" s="37">
        <f>C13*$C$29</f>
        <v>167009.94635307477</v>
      </c>
      <c r="D18" s="38">
        <f>D13*$C$29</f>
        <v>168162.2697635263</v>
      </c>
      <c r="E18" s="38">
        <f>E13*$C$29</f>
        <v>169335.19969834539</v>
      </c>
      <c r="F18" s="38">
        <f>F13*$C$29</f>
        <v>170523.07141577365</v>
      </c>
      <c r="G18" s="39">
        <f>G13*$C$29</f>
        <v>171721.28744423902</v>
      </c>
      <c r="H18" s="35"/>
      <c r="I18" s="101">
        <v>41913</v>
      </c>
      <c r="J18" s="102">
        <v>42186</v>
      </c>
    </row>
    <row r="19" spans="1:10" s="2" customFormat="1" ht="15.75" thickBot="1" x14ac:dyDescent="0.3">
      <c r="A19" s="1"/>
      <c r="B19" s="77" t="str">
        <f t="shared" si="6"/>
        <v>Solar</v>
      </c>
      <c r="C19" s="103">
        <f>C14*$C$30</f>
        <v>28118.657390799646</v>
      </c>
      <c r="D19" s="103">
        <f>D14*$C$30</f>
        <v>32020.261912158068</v>
      </c>
      <c r="E19" s="103">
        <f>E14*$C$30</f>
        <v>35758.988743172973</v>
      </c>
      <c r="F19" s="103">
        <f>F14*$C$30</f>
        <v>39425.353119394043</v>
      </c>
      <c r="G19" s="104">
        <f>G14*$C$30</f>
        <v>43000.207587147306</v>
      </c>
      <c r="H19" s="35"/>
      <c r="I19" s="105">
        <v>702435</v>
      </c>
      <c r="J19" s="106">
        <v>712615.5</v>
      </c>
    </row>
    <row r="20" spans="1:10" s="2" customFormat="1" ht="15.75" thickBot="1" x14ac:dyDescent="0.3">
      <c r="A20" s="1"/>
      <c r="B20" s="107" t="s">
        <v>14</v>
      </c>
      <c r="C20" s="108">
        <f>SUM(C17:C19)</f>
        <v>907744.10374387435</v>
      </c>
      <c r="D20" s="108">
        <f>SUM(D17:D19)</f>
        <v>926834.03167568438</v>
      </c>
      <c r="E20" s="108">
        <f>SUM(E17:E19)</f>
        <v>946032.68844151834</v>
      </c>
      <c r="F20" s="108">
        <f>SUM(F17:F19)</f>
        <v>965355.92453516764</v>
      </c>
      <c r="G20" s="109">
        <f>SUM(G17:G19)</f>
        <v>984723.99503138638</v>
      </c>
      <c r="H20" s="35"/>
      <c r="I20" s="35"/>
    </row>
    <row r="21" spans="1:10" s="2" customFormat="1" ht="15.75" thickBot="1" x14ac:dyDescent="0.3">
      <c r="A21" s="1"/>
      <c r="B21" s="14" t="s">
        <v>16</v>
      </c>
      <c r="C21" s="110"/>
      <c r="D21" s="30"/>
      <c r="E21" s="30"/>
      <c r="F21" s="30"/>
      <c r="G21" s="31"/>
      <c r="H21" s="111" t="s">
        <v>17</v>
      </c>
      <c r="I21" s="35"/>
    </row>
    <row r="22" spans="1:10" s="2" customFormat="1" x14ac:dyDescent="0.25">
      <c r="A22" s="1"/>
      <c r="B22" s="40" t="str">
        <f>B12</f>
        <v>Primary</v>
      </c>
      <c r="C22" s="41">
        <f>C6*(C17/C20)</f>
        <v>22.039274488559585</v>
      </c>
      <c r="D22" s="41">
        <f>D6*(D17/D20)</f>
        <v>23.725019720988701</v>
      </c>
      <c r="E22" s="41">
        <f>E6*(E17/E20)</f>
        <v>25.497806203163083</v>
      </c>
      <c r="F22" s="41">
        <f>F6*(F17/F20)</f>
        <v>27.344189281178441</v>
      </c>
      <c r="G22" s="42">
        <f>G6*(G17/G20)</f>
        <v>29.247942686677945</v>
      </c>
      <c r="H22" s="112">
        <f>AVERAGE(C22:G22)</f>
        <v>25.570846476113552</v>
      </c>
      <c r="I22" s="35"/>
    </row>
    <row r="23" spans="1:10" s="2" customFormat="1" x14ac:dyDescent="0.25">
      <c r="A23" s="1"/>
      <c r="B23" s="43" t="str">
        <f t="shared" ref="B23:B24" si="7">B13</f>
        <v>Controlled Load</v>
      </c>
      <c r="C23" s="44">
        <f>C6*(C18/C20)</f>
        <v>5.1651669799422351</v>
      </c>
      <c r="D23" s="44">
        <f>D6*(D18/D20)</f>
        <v>5.4904629887447891</v>
      </c>
      <c r="E23" s="44">
        <f>E6*(E18/E20)</f>
        <v>5.827306996845663</v>
      </c>
      <c r="F23" s="44">
        <f>F6*(F18/F20)</f>
        <v>6.1725825353876198</v>
      </c>
      <c r="G23" s="45">
        <f>G6*(G18/G20)</f>
        <v>6.5226987876684195</v>
      </c>
      <c r="H23" s="112">
        <f>AVERAGE(C23:G23)</f>
        <v>5.8356436577177444</v>
      </c>
      <c r="I23" s="35"/>
    </row>
    <row r="24" spans="1:10" s="2" customFormat="1" ht="15.75" thickBot="1" x14ac:dyDescent="0.3">
      <c r="A24" s="1"/>
      <c r="B24" s="46" t="str">
        <f t="shared" si="7"/>
        <v>Solar</v>
      </c>
      <c r="C24" s="47">
        <f>C6*(C19/C20)</f>
        <v>0.86963419752390736</v>
      </c>
      <c r="D24" s="47">
        <f>D6*(D19/D20)</f>
        <v>1.0454548643155261</v>
      </c>
      <c r="E24" s="47">
        <f>E6*(E19/E20)</f>
        <v>1.2305687516501231</v>
      </c>
      <c r="F24" s="47">
        <f>F6*(F19/F20)</f>
        <v>1.4271162494071208</v>
      </c>
      <c r="G24" s="48">
        <f>G6*(G19/G20)</f>
        <v>1.6333292515597528</v>
      </c>
      <c r="H24" s="113">
        <f>AVERAGE(C24:G24)</f>
        <v>1.2412206628912859</v>
      </c>
      <c r="I24" s="35"/>
    </row>
    <row r="25" spans="1:10" s="2" customFormat="1" x14ac:dyDescent="0.25">
      <c r="A25" s="1"/>
      <c r="B25" s="1"/>
      <c r="C25" s="49"/>
      <c r="D25" s="49"/>
      <c r="E25" s="49"/>
      <c r="F25" s="49"/>
      <c r="G25" s="49"/>
      <c r="H25" s="50"/>
      <c r="I25" s="35"/>
    </row>
    <row r="26" spans="1:10" s="2" customFormat="1" ht="15.75" thickBot="1" x14ac:dyDescent="0.3">
      <c r="A26" s="1"/>
      <c r="B26" s="51" t="s">
        <v>18</v>
      </c>
      <c r="C26" s="1"/>
      <c r="D26" s="49"/>
      <c r="E26" s="49"/>
      <c r="F26" s="49"/>
      <c r="G26" s="49"/>
      <c r="H26" s="52"/>
      <c r="I26" s="35"/>
    </row>
    <row r="27" spans="1:10" s="2" customFormat="1" ht="15.75" thickBot="1" x14ac:dyDescent="0.3">
      <c r="A27" s="1"/>
      <c r="B27" s="53" t="s">
        <v>19</v>
      </c>
      <c r="C27" s="114" t="s">
        <v>20</v>
      </c>
      <c r="D27" s="115" t="s">
        <v>33</v>
      </c>
      <c r="E27" s="49"/>
      <c r="F27" s="49"/>
      <c r="G27" s="49"/>
      <c r="H27" s="54"/>
      <c r="I27" s="3"/>
    </row>
    <row r="28" spans="1:10" s="2" customFormat="1" x14ac:dyDescent="0.25">
      <c r="A28" s="1"/>
      <c r="B28" s="55" t="str">
        <f>B12</f>
        <v>Primary</v>
      </c>
      <c r="C28" s="116">
        <v>1</v>
      </c>
      <c r="D28" s="117">
        <f>H22/SUM(H22:H24)</f>
        <v>0.78323551183504536</v>
      </c>
      <c r="E28" s="49"/>
      <c r="F28" s="49"/>
      <c r="G28" s="49"/>
      <c r="H28" s="56"/>
      <c r="I28" s="3"/>
    </row>
    <row r="29" spans="1:10" s="2" customFormat="1" x14ac:dyDescent="0.25">
      <c r="A29" s="1"/>
      <c r="B29" s="57" t="str">
        <f t="shared" ref="B29:B30" si="8">B13</f>
        <v>Controlled Load</v>
      </c>
      <c r="C29" s="118">
        <v>0.36767785930241087</v>
      </c>
      <c r="D29" s="119">
        <f>H23/SUM(H22:H24)</f>
        <v>0.17874587575382372</v>
      </c>
      <c r="E29" s="49"/>
      <c r="F29" s="49"/>
      <c r="G29" s="58"/>
      <c r="H29" s="72"/>
      <c r="I29" s="3"/>
    </row>
    <row r="30" spans="1:10" s="2" customFormat="1" ht="15.75" thickBot="1" x14ac:dyDescent="0.3">
      <c r="A30" s="1"/>
      <c r="B30" s="59" t="str">
        <f t="shared" si="8"/>
        <v>Solar</v>
      </c>
      <c r="C30" s="120">
        <v>0.24866822953208562</v>
      </c>
      <c r="D30" s="121">
        <f>H24/SUM(H22:H24)</f>
        <v>3.8018612411130789E-2</v>
      </c>
      <c r="E30" s="49"/>
      <c r="F30" s="49"/>
      <c r="G30" s="58"/>
      <c r="H30" s="72"/>
      <c r="I30" s="3"/>
    </row>
    <row r="31" spans="1:10" s="2" customFormat="1" x14ac:dyDescent="0.25">
      <c r="A31" s="1"/>
      <c r="D31" s="60"/>
      <c r="E31" s="61"/>
      <c r="F31" s="61"/>
      <c r="G31" s="61"/>
      <c r="H31" s="62"/>
      <c r="I31" s="3"/>
    </row>
    <row r="32" spans="1:10" s="2" customFormat="1" x14ac:dyDescent="0.25">
      <c r="A32" s="1"/>
      <c r="B32" s="63" t="s">
        <v>34</v>
      </c>
      <c r="C32" s="64"/>
      <c r="D32" s="65"/>
      <c r="E32" s="65"/>
      <c r="F32" s="65"/>
      <c r="G32" s="65"/>
      <c r="H32" s="66"/>
      <c r="I32" s="7"/>
    </row>
    <row r="33" spans="1:14" s="2" customFormat="1" x14ac:dyDescent="0.25">
      <c r="A33" s="1"/>
      <c r="D33" s="60"/>
      <c r="E33" s="61"/>
      <c r="F33" s="61"/>
      <c r="G33" s="61"/>
      <c r="H33" s="62"/>
      <c r="I33" s="3"/>
    </row>
    <row r="34" spans="1:14" s="2" customFormat="1" ht="15.75" thickBot="1" x14ac:dyDescent="0.3">
      <c r="A34" s="1"/>
      <c r="B34" s="51" t="s">
        <v>35</v>
      </c>
      <c r="C34" s="122"/>
      <c r="D34" s="67"/>
      <c r="E34" s="67"/>
      <c r="F34" s="67"/>
      <c r="G34" s="67"/>
      <c r="H34" s="68"/>
      <c r="I34" s="3"/>
    </row>
    <row r="35" spans="1:14" s="2" customFormat="1" ht="15.75" thickBot="1" x14ac:dyDescent="0.3">
      <c r="A35" s="1"/>
      <c r="B35" s="69"/>
      <c r="C35" s="70" t="s">
        <v>21</v>
      </c>
      <c r="D35" s="70" t="s">
        <v>22</v>
      </c>
      <c r="E35" s="70" t="s">
        <v>23</v>
      </c>
      <c r="F35" s="70" t="s">
        <v>24</v>
      </c>
      <c r="G35" s="71" t="s">
        <v>25</v>
      </c>
      <c r="H35" s="72"/>
      <c r="I35" s="3"/>
    </row>
    <row r="36" spans="1:14" s="2" customFormat="1" x14ac:dyDescent="0.25">
      <c r="A36" s="1"/>
      <c r="B36" s="40" t="str">
        <f>B12</f>
        <v>Primary</v>
      </c>
      <c r="C36" s="41">
        <f>C22/C12*1000000</f>
        <v>30.927301593299031</v>
      </c>
      <c r="D36" s="186"/>
      <c r="E36" s="186"/>
      <c r="F36" s="186"/>
      <c r="G36" s="187"/>
      <c r="H36" s="73"/>
      <c r="I36" s="123"/>
      <c r="J36" s="123"/>
      <c r="K36" s="123"/>
      <c r="L36" s="123"/>
      <c r="M36" s="123"/>
      <c r="N36" s="17"/>
    </row>
    <row r="37" spans="1:14" s="2" customFormat="1" x14ac:dyDescent="0.25">
      <c r="A37" s="1"/>
      <c r="B37" s="43" t="str">
        <f t="shared" ref="B37:B38" si="9">B13</f>
        <v>Controlled Load</v>
      </c>
      <c r="C37" s="44">
        <f t="shared" ref="C37:C38" si="10">(C23/C13)*1000000</f>
        <v>11.371284043824227</v>
      </c>
      <c r="D37" s="188"/>
      <c r="E37" s="188"/>
      <c r="F37" s="188"/>
      <c r="G37" s="189"/>
      <c r="H37" s="73"/>
      <c r="I37" s="123"/>
      <c r="J37" s="123"/>
      <c r="K37" s="123"/>
      <c r="L37" s="123"/>
      <c r="M37" s="123"/>
      <c r="N37" s="17"/>
    </row>
    <row r="38" spans="1:14" s="2" customFormat="1" ht="15.75" thickBot="1" x14ac:dyDescent="0.3">
      <c r="A38" s="1"/>
      <c r="B38" s="46" t="str">
        <f t="shared" si="9"/>
        <v>Solar</v>
      </c>
      <c r="C38" s="47">
        <f t="shared" si="10"/>
        <v>7.6906373314105192</v>
      </c>
      <c r="D38" s="190"/>
      <c r="E38" s="190"/>
      <c r="F38" s="190"/>
      <c r="G38" s="191"/>
      <c r="H38" s="73"/>
      <c r="I38" s="123"/>
      <c r="J38" s="123"/>
      <c r="K38" s="123"/>
      <c r="L38" s="123"/>
      <c r="M38" s="123"/>
      <c r="N38" s="17"/>
    </row>
    <row r="39" spans="1:14" s="2" customFormat="1" x14ac:dyDescent="0.25">
      <c r="A39" s="1"/>
      <c r="H39" s="74"/>
      <c r="I39" s="3"/>
    </row>
    <row r="40" spans="1:14" s="1" customFormat="1" ht="15.75" thickBot="1" x14ac:dyDescent="0.3">
      <c r="B40" s="51" t="s">
        <v>36</v>
      </c>
      <c r="C40" s="67"/>
      <c r="D40" s="67"/>
      <c r="E40" s="67"/>
      <c r="F40" s="67"/>
      <c r="G40" s="67"/>
      <c r="H40" s="52"/>
      <c r="I40" s="56"/>
    </row>
    <row r="41" spans="1:14" s="1" customFormat="1" ht="15.75" thickBot="1" x14ac:dyDescent="0.3">
      <c r="B41" s="14"/>
      <c r="C41" s="75" t="s">
        <v>21</v>
      </c>
      <c r="D41" s="75" t="s">
        <v>22</v>
      </c>
      <c r="E41" s="75" t="s">
        <v>23</v>
      </c>
      <c r="F41" s="75" t="s">
        <v>24</v>
      </c>
      <c r="G41" s="76" t="s">
        <v>25</v>
      </c>
      <c r="H41" s="52"/>
      <c r="I41" s="56"/>
    </row>
    <row r="42" spans="1:14" s="1" customFormat="1" x14ac:dyDescent="0.25">
      <c r="B42" s="32" t="s">
        <v>37</v>
      </c>
      <c r="C42" s="192">
        <v>0</v>
      </c>
      <c r="D42" s="192">
        <v>0</v>
      </c>
      <c r="E42" s="192">
        <v>0</v>
      </c>
      <c r="F42" s="192">
        <v>0</v>
      </c>
      <c r="G42" s="192">
        <v>0</v>
      </c>
      <c r="H42" s="52"/>
      <c r="I42" s="56"/>
    </row>
    <row r="43" spans="1:14" s="1" customFormat="1" x14ac:dyDescent="0.25">
      <c r="B43" s="36" t="s">
        <v>38</v>
      </c>
      <c r="C43" s="124">
        <f>(C8/C12)*1000000</f>
        <v>92.978912061638312</v>
      </c>
      <c r="D43" s="124">
        <f>(D8/D12)*1000000</f>
        <v>104.32794006433745</v>
      </c>
      <c r="E43" s="124">
        <f>(E8/E12)*1000000</f>
        <v>114.79644495601997</v>
      </c>
      <c r="F43" s="124">
        <f>(F8/F12)*1000000</f>
        <v>124.3812349644592</v>
      </c>
      <c r="G43" s="125">
        <f>(G8/G12)*1000000</f>
        <v>133.07887587719375</v>
      </c>
      <c r="H43" s="52"/>
      <c r="I43" s="56"/>
    </row>
    <row r="44" spans="1:14" s="2" customFormat="1" ht="15.75" thickBot="1" x14ac:dyDescent="0.3">
      <c r="A44" s="1"/>
      <c r="B44" s="78" t="s">
        <v>26</v>
      </c>
      <c r="C44" s="126">
        <f>C42+C43</f>
        <v>92.978912061638312</v>
      </c>
      <c r="D44" s="126">
        <f t="shared" ref="D44:G44" si="11">D42+D43</f>
        <v>104.32794006433745</v>
      </c>
      <c r="E44" s="126">
        <f t="shared" si="11"/>
        <v>114.79644495601997</v>
      </c>
      <c r="F44" s="126">
        <f t="shared" si="11"/>
        <v>124.3812349644592</v>
      </c>
      <c r="G44" s="127">
        <f t="shared" si="11"/>
        <v>133.07887587719375</v>
      </c>
      <c r="H44" s="3"/>
      <c r="I44" s="3"/>
    </row>
    <row r="45" spans="1:14" x14ac:dyDescent="0.25">
      <c r="A45" s="79"/>
      <c r="B45" s="79"/>
      <c r="C45" s="79"/>
      <c r="D45" s="79"/>
      <c r="E45" s="79"/>
      <c r="F45" s="79"/>
      <c r="G45" s="79"/>
      <c r="H45" s="79"/>
      <c r="I45" s="79"/>
      <c r="J45" s="79"/>
    </row>
    <row r="46" spans="1:14" x14ac:dyDescent="0.25">
      <c r="A46" s="79"/>
      <c r="B46" s="79"/>
      <c r="C46" s="79"/>
      <c r="D46" s="79"/>
      <c r="E46" s="79"/>
      <c r="F46" s="79"/>
      <c r="G46" s="79"/>
      <c r="H46" s="79"/>
      <c r="I46" s="79"/>
      <c r="J46" s="79"/>
    </row>
    <row r="47" spans="1:14" x14ac:dyDescent="0.25">
      <c r="A47" s="79"/>
      <c r="B47" s="79"/>
      <c r="C47" s="79"/>
      <c r="D47" s="79"/>
      <c r="E47" s="79"/>
      <c r="F47" s="79"/>
      <c r="G47" s="79"/>
      <c r="H47" s="79"/>
      <c r="I47" s="79"/>
      <c r="J47" s="79"/>
    </row>
    <row r="48" spans="1:14" x14ac:dyDescent="0.25">
      <c r="A48" s="79"/>
      <c r="B48" s="79"/>
      <c r="C48" s="79"/>
      <c r="D48" s="79"/>
      <c r="E48" s="79"/>
      <c r="F48" s="79"/>
      <c r="G48" s="79"/>
      <c r="H48" s="79"/>
      <c r="I48" s="79"/>
      <c r="J48" s="79"/>
    </row>
    <row r="49" spans="1:10" x14ac:dyDescent="0.25">
      <c r="A49" s="79"/>
      <c r="B49" s="79"/>
      <c r="C49" s="79"/>
      <c r="D49" s="79"/>
      <c r="E49" s="79"/>
      <c r="F49" s="79"/>
      <c r="G49" s="79"/>
      <c r="H49" s="79"/>
      <c r="I49" s="79"/>
      <c r="J49" s="79"/>
    </row>
    <row r="50" spans="1:10" x14ac:dyDescent="0.25">
      <c r="A50" s="79"/>
      <c r="B50" s="79"/>
      <c r="C50" s="79"/>
      <c r="D50" s="79"/>
      <c r="E50" s="79"/>
      <c r="F50" s="79"/>
      <c r="G50" s="79"/>
      <c r="H50" s="79"/>
      <c r="I50" s="79"/>
      <c r="J50" s="79"/>
    </row>
    <row r="51" spans="1:10" x14ac:dyDescent="0.25">
      <c r="A51" s="79"/>
      <c r="B51" s="79"/>
      <c r="C51" s="79"/>
      <c r="D51" s="79"/>
      <c r="E51" s="79"/>
      <c r="F51" s="79"/>
      <c r="G51" s="79"/>
      <c r="H51" s="79"/>
      <c r="I51" s="79"/>
      <c r="J51" s="79"/>
    </row>
    <row r="52" spans="1:10" x14ac:dyDescent="0.25">
      <c r="A52" s="79"/>
      <c r="B52" s="79"/>
      <c r="C52" s="79"/>
      <c r="D52" s="79"/>
      <c r="E52" s="79"/>
      <c r="F52" s="79"/>
      <c r="G52" s="79"/>
      <c r="H52" s="79"/>
      <c r="I52" s="79"/>
      <c r="J52" s="79"/>
    </row>
    <row r="53" spans="1:10" x14ac:dyDescent="0.25">
      <c r="A53" s="79"/>
      <c r="B53" s="79"/>
      <c r="C53" s="79"/>
      <c r="D53" s="79"/>
      <c r="E53" s="79"/>
      <c r="F53" s="79"/>
      <c r="G53" s="79"/>
      <c r="H53" s="79"/>
      <c r="I53" s="79"/>
      <c r="J53" s="79"/>
    </row>
    <row r="54" spans="1:10" x14ac:dyDescent="0.25">
      <c r="A54" s="79"/>
      <c r="B54" s="79"/>
      <c r="C54" s="79"/>
      <c r="D54" s="79"/>
      <c r="E54" s="79"/>
      <c r="F54" s="79"/>
      <c r="G54" s="79"/>
      <c r="H54" s="79"/>
      <c r="I54" s="79"/>
      <c r="J54" s="79"/>
    </row>
    <row r="55" spans="1:10" x14ac:dyDescent="0.25">
      <c r="A55" s="79"/>
      <c r="B55" s="79"/>
      <c r="C55" s="79"/>
      <c r="D55" s="79"/>
      <c r="E55" s="79"/>
      <c r="F55" s="79"/>
      <c r="G55" s="79"/>
      <c r="H55" s="79"/>
      <c r="I55" s="79"/>
      <c r="J55" s="79"/>
    </row>
    <row r="56" spans="1:10" x14ac:dyDescent="0.25">
      <c r="A56" s="79"/>
      <c r="B56" s="79"/>
      <c r="C56" s="79"/>
      <c r="D56" s="79"/>
      <c r="E56" s="79"/>
      <c r="F56" s="79"/>
      <c r="G56" s="79"/>
      <c r="H56" s="79"/>
      <c r="I56" s="79"/>
      <c r="J56" s="79"/>
    </row>
    <row r="57" spans="1:10" x14ac:dyDescent="0.25">
      <c r="A57" s="79"/>
      <c r="B57" s="79"/>
      <c r="C57" s="79"/>
      <c r="D57" s="79"/>
      <c r="E57" s="79"/>
      <c r="F57" s="79"/>
      <c r="G57" s="79"/>
      <c r="H57" s="79"/>
      <c r="I57" s="79"/>
      <c r="J57" s="79"/>
    </row>
    <row r="58" spans="1:10" x14ac:dyDescent="0.25">
      <c r="A58" s="79"/>
      <c r="B58" s="79"/>
      <c r="C58" s="79"/>
      <c r="D58" s="79"/>
      <c r="E58" s="79"/>
      <c r="F58" s="79"/>
      <c r="G58" s="79"/>
      <c r="H58" s="79"/>
      <c r="I58" s="79"/>
      <c r="J58" s="79"/>
    </row>
    <row r="59" spans="1:10" x14ac:dyDescent="0.25">
      <c r="A59" s="79"/>
      <c r="B59" s="79"/>
      <c r="C59" s="79"/>
      <c r="D59" s="79"/>
      <c r="E59" s="79"/>
      <c r="F59" s="79"/>
      <c r="G59" s="79"/>
      <c r="H59" s="79"/>
      <c r="I59" s="79"/>
      <c r="J59" s="79"/>
    </row>
    <row r="60" spans="1:10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79"/>
    </row>
    <row r="61" spans="1:10" x14ac:dyDescent="0.25">
      <c r="A61" s="79"/>
      <c r="B61" s="79"/>
      <c r="C61" s="79"/>
      <c r="D61" s="79"/>
      <c r="E61" s="79"/>
      <c r="F61" s="79"/>
      <c r="G61" s="79"/>
      <c r="H61" s="79"/>
      <c r="I61" s="79"/>
      <c r="J61" s="79"/>
    </row>
    <row r="62" spans="1:10" x14ac:dyDescent="0.25">
      <c r="A62" s="79"/>
      <c r="B62" s="79"/>
      <c r="C62" s="79"/>
      <c r="D62" s="79"/>
      <c r="E62" s="79"/>
      <c r="F62" s="79"/>
      <c r="G62" s="79"/>
      <c r="H62" s="79"/>
      <c r="I62" s="79"/>
      <c r="J62" s="79"/>
    </row>
    <row r="63" spans="1:10" x14ac:dyDescent="0.25">
      <c r="A63" s="79"/>
      <c r="B63" s="79"/>
      <c r="C63" s="79"/>
      <c r="D63" s="79"/>
      <c r="E63" s="79"/>
      <c r="F63" s="79"/>
      <c r="G63" s="79"/>
      <c r="H63" s="79"/>
      <c r="I63" s="79"/>
      <c r="J63" s="79"/>
    </row>
    <row r="64" spans="1:10" x14ac:dyDescent="0.25">
      <c r="A64" s="79"/>
      <c r="B64" s="79"/>
      <c r="C64" s="79"/>
      <c r="D64" s="79"/>
      <c r="E64" s="79"/>
      <c r="F64" s="79"/>
      <c r="G64" s="79"/>
      <c r="H64" s="79"/>
      <c r="I64" s="79"/>
      <c r="J64" s="79"/>
    </row>
    <row r="65" spans="1:10" x14ac:dyDescent="0.25">
      <c r="A65" s="79"/>
      <c r="B65" s="79"/>
      <c r="C65" s="79"/>
      <c r="D65" s="79"/>
      <c r="E65" s="79"/>
      <c r="F65" s="79"/>
      <c r="G65" s="79"/>
      <c r="H65" s="79"/>
      <c r="I65" s="79"/>
      <c r="J65" s="79"/>
    </row>
    <row r="66" spans="1:10" x14ac:dyDescent="0.25">
      <c r="A66" s="79"/>
      <c r="B66" s="79"/>
      <c r="C66" s="79"/>
      <c r="D66" s="79"/>
      <c r="E66" s="79"/>
      <c r="F66" s="79"/>
      <c r="G66" s="79"/>
      <c r="H66" s="79"/>
      <c r="I66" s="79"/>
      <c r="J66" s="79"/>
    </row>
    <row r="67" spans="1:10" x14ac:dyDescent="0.25">
      <c r="A67" s="79"/>
      <c r="B67" s="79"/>
      <c r="C67" s="79"/>
      <c r="D67" s="79"/>
      <c r="E67" s="79"/>
      <c r="F67" s="79"/>
      <c r="G67" s="79"/>
      <c r="H67" s="79"/>
      <c r="I67" s="79"/>
      <c r="J67" s="79"/>
    </row>
    <row r="68" spans="1:10" x14ac:dyDescent="0.25">
      <c r="A68" s="79"/>
      <c r="B68" s="79"/>
      <c r="C68" s="79"/>
      <c r="D68" s="79"/>
      <c r="E68" s="79"/>
      <c r="F68" s="79"/>
      <c r="G68" s="79"/>
      <c r="H68" s="79"/>
      <c r="I68" s="79"/>
      <c r="J68" s="79"/>
    </row>
    <row r="69" spans="1:10" x14ac:dyDescent="0.25">
      <c r="A69" s="79"/>
      <c r="B69" s="79"/>
      <c r="C69" s="79"/>
      <c r="D69" s="79"/>
      <c r="E69" s="79"/>
      <c r="F69" s="79"/>
      <c r="G69" s="79"/>
      <c r="H69" s="79"/>
      <c r="I69" s="79"/>
      <c r="J69" s="79"/>
    </row>
    <row r="70" spans="1:10" x14ac:dyDescent="0.25">
      <c r="A70" s="79"/>
      <c r="B70" s="79"/>
      <c r="C70" s="79"/>
      <c r="D70" s="79"/>
      <c r="E70" s="79"/>
      <c r="F70" s="79"/>
      <c r="G70" s="79"/>
      <c r="H70" s="79"/>
      <c r="I70" s="79"/>
      <c r="J70" s="79"/>
    </row>
    <row r="71" spans="1:10" x14ac:dyDescent="0.25">
      <c r="A71" s="79"/>
      <c r="B71" s="79"/>
      <c r="C71" s="79"/>
      <c r="D71" s="79"/>
      <c r="E71" s="79"/>
      <c r="F71" s="79"/>
      <c r="G71" s="79"/>
      <c r="H71" s="79"/>
      <c r="I71" s="79"/>
      <c r="J71" s="79"/>
    </row>
    <row r="72" spans="1:10" x14ac:dyDescent="0.25">
      <c r="A72" s="79"/>
      <c r="B72" s="79"/>
      <c r="C72" s="79"/>
      <c r="D72" s="79"/>
      <c r="E72" s="79"/>
      <c r="F72" s="79"/>
      <c r="G72" s="79"/>
      <c r="H72" s="79"/>
      <c r="I72" s="79"/>
      <c r="J72" s="79"/>
    </row>
    <row r="73" spans="1:10" x14ac:dyDescent="0.25">
      <c r="A73" s="79"/>
      <c r="B73" s="79"/>
      <c r="C73" s="79"/>
      <c r="D73" s="79"/>
      <c r="E73" s="79"/>
      <c r="F73" s="79"/>
      <c r="G73" s="79"/>
      <c r="H73" s="79"/>
      <c r="I73" s="79"/>
      <c r="J73" s="79"/>
    </row>
    <row r="74" spans="1:10" x14ac:dyDescent="0.25">
      <c r="A74" s="79"/>
      <c r="B74" s="79"/>
      <c r="C74" s="79"/>
      <c r="D74" s="79"/>
      <c r="E74" s="79"/>
      <c r="F74" s="79"/>
      <c r="G74" s="79"/>
      <c r="H74" s="79"/>
      <c r="I74" s="79"/>
      <c r="J74" s="79"/>
    </row>
    <row r="75" spans="1:10" x14ac:dyDescent="0.25">
      <c r="A75" s="79"/>
      <c r="B75" s="79"/>
      <c r="C75" s="79"/>
      <c r="D75" s="79"/>
      <c r="E75" s="79"/>
      <c r="F75" s="79"/>
      <c r="G75" s="79"/>
      <c r="H75" s="79"/>
      <c r="I75" s="79"/>
      <c r="J75" s="79"/>
    </row>
    <row r="76" spans="1:10" x14ac:dyDescent="0.25">
      <c r="A76" s="79"/>
      <c r="B76" s="79"/>
      <c r="C76" s="79"/>
      <c r="D76" s="79"/>
      <c r="E76" s="79"/>
      <c r="F76" s="79"/>
      <c r="G76" s="79"/>
      <c r="H76" s="79"/>
      <c r="I76" s="79"/>
      <c r="J76" s="79"/>
    </row>
    <row r="77" spans="1:10" x14ac:dyDescent="0.25">
      <c r="A77" s="79"/>
      <c r="B77" s="79"/>
      <c r="C77" s="79"/>
      <c r="D77" s="79"/>
      <c r="E77" s="79"/>
      <c r="F77" s="79"/>
      <c r="G77" s="79"/>
      <c r="H77" s="79"/>
      <c r="I77" s="79"/>
      <c r="J77" s="79"/>
    </row>
    <row r="78" spans="1:10" x14ac:dyDescent="0.25">
      <c r="A78" s="79"/>
      <c r="B78" s="79"/>
      <c r="C78" s="79"/>
      <c r="D78" s="79"/>
      <c r="E78" s="79"/>
      <c r="F78" s="79"/>
      <c r="G78" s="79"/>
      <c r="H78" s="79"/>
      <c r="I78" s="79"/>
      <c r="J78" s="79"/>
    </row>
    <row r="79" spans="1:10" x14ac:dyDescent="0.25">
      <c r="A79" s="79"/>
      <c r="B79" s="79"/>
      <c r="C79" s="79"/>
      <c r="D79" s="79"/>
      <c r="E79" s="79"/>
      <c r="F79" s="79"/>
      <c r="G79" s="79"/>
      <c r="H79" s="79"/>
      <c r="I79" s="79"/>
      <c r="J79" s="79"/>
    </row>
    <row r="80" spans="1:10" x14ac:dyDescent="0.25">
      <c r="A80" s="79"/>
      <c r="B80" s="79"/>
      <c r="C80" s="79"/>
      <c r="D80" s="79"/>
      <c r="E80" s="79"/>
      <c r="F80" s="79"/>
      <c r="G80" s="79"/>
      <c r="H80" s="79"/>
      <c r="I80" s="79"/>
      <c r="J80" s="79"/>
    </row>
    <row r="81" spans="1:10" x14ac:dyDescent="0.25">
      <c r="A81" s="79"/>
      <c r="B81" s="79"/>
      <c r="C81" s="79"/>
      <c r="D81" s="79"/>
      <c r="E81" s="79"/>
      <c r="F81" s="79"/>
      <c r="G81" s="79"/>
      <c r="H81" s="79"/>
      <c r="I81" s="79"/>
      <c r="J81" s="79"/>
    </row>
    <row r="82" spans="1:10" x14ac:dyDescent="0.25">
      <c r="A82" s="79"/>
      <c r="B82" s="79"/>
      <c r="C82" s="79"/>
      <c r="D82" s="79"/>
      <c r="E82" s="79"/>
      <c r="F82" s="79"/>
      <c r="G82" s="79"/>
      <c r="H82" s="79"/>
      <c r="I82" s="79"/>
      <c r="J82" s="79"/>
    </row>
    <row r="83" spans="1:10" x14ac:dyDescent="0.25">
      <c r="A83" s="79"/>
      <c r="B83" s="79"/>
      <c r="C83" s="79"/>
      <c r="D83" s="79"/>
      <c r="E83" s="79"/>
      <c r="F83" s="79"/>
      <c r="G83" s="79"/>
      <c r="H83" s="79"/>
      <c r="I83" s="79"/>
      <c r="J83" s="79"/>
    </row>
    <row r="84" spans="1:10" x14ac:dyDescent="0.25">
      <c r="A84" s="79"/>
      <c r="B84" s="79"/>
      <c r="C84" s="79"/>
      <c r="D84" s="79"/>
      <c r="E84" s="79"/>
      <c r="F84" s="79"/>
      <c r="G84" s="79"/>
      <c r="H84" s="79"/>
      <c r="I84" s="79"/>
      <c r="J84" s="79"/>
    </row>
    <row r="85" spans="1:10" x14ac:dyDescent="0.25">
      <c r="A85" s="79"/>
      <c r="B85" s="79"/>
      <c r="C85" s="79"/>
      <c r="D85" s="79"/>
      <c r="E85" s="79"/>
      <c r="F85" s="79"/>
      <c r="G85" s="79"/>
      <c r="H85" s="79"/>
      <c r="I85" s="79"/>
      <c r="J85" s="79"/>
    </row>
    <row r="86" spans="1:10" x14ac:dyDescent="0.25">
      <c r="A86" s="79"/>
      <c r="B86" s="79"/>
      <c r="C86" s="79"/>
      <c r="D86" s="79"/>
      <c r="E86" s="79"/>
      <c r="F86" s="79"/>
      <c r="G86" s="79"/>
      <c r="H86" s="79"/>
      <c r="I86" s="79"/>
      <c r="J86" s="79"/>
    </row>
    <row r="87" spans="1:10" x14ac:dyDescent="0.25">
      <c r="A87" s="79"/>
      <c r="B87" s="79"/>
      <c r="C87" s="79"/>
      <c r="D87" s="79"/>
      <c r="E87" s="79"/>
      <c r="F87" s="79"/>
      <c r="G87" s="79"/>
      <c r="H87" s="79"/>
      <c r="I87" s="79"/>
      <c r="J87" s="79"/>
    </row>
    <row r="88" spans="1:10" x14ac:dyDescent="0.25">
      <c r="A88" s="79"/>
      <c r="B88" s="79"/>
      <c r="C88" s="79"/>
      <c r="D88" s="79"/>
      <c r="E88" s="79"/>
      <c r="F88" s="79"/>
      <c r="G88" s="79"/>
      <c r="H88" s="79"/>
      <c r="I88" s="79"/>
      <c r="J88" s="79"/>
    </row>
    <row r="89" spans="1:10" x14ac:dyDescent="0.25">
      <c r="A89" s="79"/>
      <c r="B89" s="79"/>
      <c r="C89" s="79"/>
      <c r="D89" s="79"/>
      <c r="E89" s="79"/>
      <c r="F89" s="79"/>
      <c r="G89" s="79"/>
      <c r="H89" s="79"/>
      <c r="I89" s="79"/>
      <c r="J89" s="79"/>
    </row>
    <row r="90" spans="1:10" x14ac:dyDescent="0.25">
      <c r="A90" s="79"/>
      <c r="B90" s="79"/>
      <c r="C90" s="79"/>
      <c r="D90" s="79"/>
      <c r="E90" s="79"/>
      <c r="F90" s="79"/>
      <c r="G90" s="79"/>
      <c r="H90" s="79"/>
      <c r="I90" s="79"/>
      <c r="J90" s="79"/>
    </row>
    <row r="91" spans="1:10" x14ac:dyDescent="0.25">
      <c r="A91" s="79"/>
      <c r="B91" s="79"/>
      <c r="C91" s="79"/>
      <c r="D91" s="79"/>
      <c r="E91" s="79"/>
      <c r="F91" s="79"/>
      <c r="G91" s="79"/>
      <c r="H91" s="79"/>
      <c r="I91" s="79"/>
      <c r="J91" s="79"/>
    </row>
    <row r="92" spans="1:10" x14ac:dyDescent="0.25">
      <c r="A92" s="79"/>
      <c r="B92" s="79"/>
      <c r="C92" s="79"/>
      <c r="D92" s="79"/>
      <c r="E92" s="79"/>
      <c r="F92" s="79"/>
      <c r="G92" s="79"/>
      <c r="H92" s="79"/>
      <c r="I92" s="79"/>
      <c r="J92" s="79"/>
    </row>
    <row r="93" spans="1:10" x14ac:dyDescent="0.25">
      <c r="A93" s="79"/>
      <c r="B93" s="79"/>
      <c r="C93" s="79"/>
      <c r="D93" s="79"/>
      <c r="E93" s="79"/>
      <c r="F93" s="79"/>
      <c r="G93" s="79"/>
      <c r="H93" s="79"/>
      <c r="I93" s="79"/>
      <c r="J93" s="79"/>
    </row>
    <row r="94" spans="1:10" x14ac:dyDescent="0.25">
      <c r="A94" s="79"/>
      <c r="B94" s="79"/>
      <c r="C94" s="79"/>
      <c r="D94" s="79"/>
      <c r="E94" s="79"/>
      <c r="F94" s="79"/>
      <c r="G94" s="79"/>
      <c r="H94" s="79"/>
      <c r="I94" s="79"/>
      <c r="J94" s="79"/>
    </row>
    <row r="95" spans="1:10" x14ac:dyDescent="0.25">
      <c r="A95" s="79"/>
      <c r="B95" s="79"/>
      <c r="C95" s="79"/>
      <c r="D95" s="79"/>
      <c r="E95" s="79"/>
      <c r="F95" s="79"/>
      <c r="G95" s="79"/>
      <c r="H95" s="79"/>
      <c r="I95" s="79"/>
      <c r="J95" s="79"/>
    </row>
    <row r="96" spans="1:10" x14ac:dyDescent="0.25">
      <c r="A96" s="79"/>
      <c r="B96" s="79"/>
      <c r="C96" s="79"/>
      <c r="D96" s="79"/>
      <c r="E96" s="79"/>
      <c r="F96" s="79"/>
      <c r="G96" s="79"/>
      <c r="H96" s="79"/>
      <c r="I96" s="79"/>
      <c r="J96" s="79"/>
    </row>
    <row r="97" spans="1:10" x14ac:dyDescent="0.25">
      <c r="A97" s="79"/>
      <c r="B97" s="79"/>
      <c r="C97" s="79"/>
      <c r="D97" s="79"/>
      <c r="E97" s="79"/>
      <c r="F97" s="79"/>
      <c r="G97" s="79"/>
      <c r="H97" s="79"/>
      <c r="I97" s="79"/>
      <c r="J97" s="79"/>
    </row>
    <row r="98" spans="1:10" x14ac:dyDescent="0.25">
      <c r="A98" s="79"/>
      <c r="B98" s="79"/>
      <c r="C98" s="79"/>
      <c r="D98" s="79"/>
      <c r="E98" s="79"/>
      <c r="F98" s="79"/>
      <c r="G98" s="79"/>
      <c r="H98" s="79"/>
      <c r="I98" s="79"/>
      <c r="J98" s="79"/>
    </row>
    <row r="99" spans="1:10" x14ac:dyDescent="0.25">
      <c r="A99" s="79"/>
      <c r="B99" s="79"/>
      <c r="C99" s="79"/>
      <c r="D99" s="79"/>
      <c r="E99" s="79"/>
      <c r="F99" s="79"/>
      <c r="G99" s="79"/>
      <c r="H99" s="79"/>
      <c r="I99" s="79"/>
      <c r="J99" s="79"/>
    </row>
    <row r="100" spans="1:10" x14ac:dyDescent="0.25">
      <c r="A100" s="79"/>
      <c r="B100" s="79"/>
      <c r="C100" s="79"/>
      <c r="D100" s="79"/>
      <c r="E100" s="79"/>
      <c r="F100" s="79"/>
      <c r="G100" s="79"/>
      <c r="H100" s="79"/>
      <c r="I100" s="79"/>
      <c r="J100" s="79"/>
    </row>
    <row r="101" spans="1:10" x14ac:dyDescent="0.25">
      <c r="A101" s="79"/>
      <c r="B101" s="79"/>
      <c r="C101" s="79"/>
      <c r="D101" s="79"/>
      <c r="E101" s="79"/>
      <c r="F101" s="79"/>
      <c r="G101" s="79"/>
      <c r="H101" s="79"/>
      <c r="I101" s="79"/>
      <c r="J101" s="79"/>
    </row>
    <row r="102" spans="1:10" x14ac:dyDescent="0.25">
      <c r="A102" s="79"/>
      <c r="B102" s="79"/>
      <c r="C102" s="79"/>
      <c r="D102" s="79"/>
      <c r="E102" s="79"/>
      <c r="F102" s="79"/>
      <c r="G102" s="79"/>
      <c r="H102" s="79"/>
      <c r="I102" s="79"/>
      <c r="J102" s="79"/>
    </row>
    <row r="103" spans="1:10" x14ac:dyDescent="0.25">
      <c r="A103" s="79"/>
      <c r="B103" s="79"/>
      <c r="C103" s="79"/>
      <c r="D103" s="79"/>
      <c r="E103" s="79"/>
      <c r="F103" s="79"/>
      <c r="G103" s="79"/>
      <c r="H103" s="79"/>
      <c r="I103" s="79"/>
      <c r="J103" s="79"/>
    </row>
    <row r="104" spans="1:10" x14ac:dyDescent="0.25">
      <c r="A104" s="79"/>
      <c r="B104" s="79"/>
      <c r="C104" s="79"/>
      <c r="D104" s="79"/>
      <c r="E104" s="79"/>
      <c r="F104" s="79"/>
      <c r="G104" s="79"/>
      <c r="H104" s="79"/>
      <c r="I104" s="79"/>
      <c r="J104" s="79"/>
    </row>
    <row r="105" spans="1:10" x14ac:dyDescent="0.25">
      <c r="A105" s="79"/>
      <c r="B105" s="79"/>
      <c r="C105" s="79"/>
      <c r="D105" s="79"/>
      <c r="E105" s="79"/>
      <c r="F105" s="79"/>
      <c r="G105" s="79"/>
      <c r="H105" s="79"/>
      <c r="I105" s="79"/>
      <c r="J105" s="79"/>
    </row>
    <row r="106" spans="1:10" x14ac:dyDescent="0.25">
      <c r="A106" s="79"/>
      <c r="B106" s="79"/>
      <c r="C106" s="79"/>
      <c r="D106" s="79"/>
      <c r="E106" s="79"/>
      <c r="F106" s="79"/>
      <c r="G106" s="79"/>
      <c r="H106" s="79"/>
      <c r="I106" s="79"/>
      <c r="J106" s="79"/>
    </row>
    <row r="107" spans="1:10" x14ac:dyDescent="0.25">
      <c r="A107" s="79"/>
      <c r="B107" s="79"/>
      <c r="C107" s="79"/>
      <c r="D107" s="79"/>
      <c r="E107" s="79"/>
      <c r="F107" s="79"/>
      <c r="G107" s="79"/>
      <c r="H107" s="79"/>
      <c r="I107" s="79"/>
      <c r="J107" s="79"/>
    </row>
    <row r="108" spans="1:10" x14ac:dyDescent="0.25">
      <c r="A108" s="79"/>
      <c r="B108" s="79"/>
      <c r="C108" s="79"/>
      <c r="D108" s="79"/>
      <c r="E108" s="79"/>
      <c r="F108" s="79"/>
      <c r="G108" s="79"/>
      <c r="H108" s="79"/>
      <c r="I108" s="79"/>
      <c r="J108" s="79"/>
    </row>
    <row r="109" spans="1:10" x14ac:dyDescent="0.25">
      <c r="A109" s="79"/>
      <c r="B109" s="79"/>
      <c r="C109" s="79"/>
      <c r="D109" s="79"/>
      <c r="E109" s="79"/>
      <c r="F109" s="79"/>
      <c r="G109" s="79"/>
      <c r="H109" s="79"/>
      <c r="I109" s="79"/>
      <c r="J109" s="79"/>
    </row>
    <row r="110" spans="1:10" x14ac:dyDescent="0.25">
      <c r="A110" s="79"/>
      <c r="B110" s="79"/>
      <c r="C110" s="79"/>
      <c r="D110" s="79"/>
      <c r="E110" s="79"/>
      <c r="F110" s="79"/>
      <c r="G110" s="79"/>
      <c r="H110" s="79"/>
      <c r="I110" s="79"/>
      <c r="J110" s="79"/>
    </row>
    <row r="111" spans="1:10" x14ac:dyDescent="0.25">
      <c r="A111" s="79"/>
      <c r="B111" s="79"/>
      <c r="C111" s="79"/>
      <c r="D111" s="79"/>
      <c r="E111" s="79"/>
      <c r="F111" s="79"/>
      <c r="G111" s="79"/>
      <c r="H111" s="79"/>
      <c r="I111" s="79"/>
      <c r="J111" s="79"/>
    </row>
    <row r="112" spans="1:10" x14ac:dyDescent="0.25">
      <c r="A112" s="79"/>
      <c r="B112" s="79"/>
      <c r="C112" s="79"/>
      <c r="D112" s="79"/>
      <c r="E112" s="79"/>
      <c r="F112" s="79"/>
      <c r="G112" s="79"/>
      <c r="H112" s="79"/>
      <c r="I112" s="79"/>
      <c r="J112" s="79"/>
    </row>
    <row r="113" spans="1:10" x14ac:dyDescent="0.25">
      <c r="A113" s="79"/>
      <c r="B113" s="79"/>
      <c r="C113" s="79"/>
      <c r="D113" s="79"/>
      <c r="E113" s="79"/>
      <c r="F113" s="79"/>
      <c r="G113" s="79"/>
      <c r="H113" s="79"/>
      <c r="I113" s="79"/>
      <c r="J113" s="79"/>
    </row>
    <row r="114" spans="1:10" x14ac:dyDescent="0.25">
      <c r="A114" s="79"/>
      <c r="B114" s="79"/>
      <c r="C114" s="79"/>
      <c r="D114" s="79"/>
      <c r="E114" s="79"/>
      <c r="F114" s="79"/>
      <c r="G114" s="79"/>
      <c r="H114" s="79"/>
      <c r="I114" s="79"/>
      <c r="J114" s="79"/>
    </row>
    <row r="115" spans="1:10" x14ac:dyDescent="0.25">
      <c r="A115" s="79"/>
      <c r="B115" s="79"/>
      <c r="C115" s="79"/>
      <c r="D115" s="79"/>
      <c r="E115" s="79"/>
      <c r="F115" s="79"/>
      <c r="G115" s="79"/>
      <c r="H115" s="79"/>
      <c r="I115" s="79"/>
      <c r="J115" s="79"/>
    </row>
    <row r="116" spans="1:10" x14ac:dyDescent="0.25">
      <c r="A116" s="79"/>
      <c r="B116" s="79"/>
      <c r="C116" s="79"/>
      <c r="D116" s="79"/>
      <c r="E116" s="79"/>
      <c r="F116" s="79"/>
      <c r="G116" s="79"/>
      <c r="H116" s="79"/>
      <c r="I116" s="79"/>
      <c r="J116" s="79"/>
    </row>
    <row r="117" spans="1:10" x14ac:dyDescent="0.25">
      <c r="A117" s="79"/>
      <c r="B117" s="79"/>
      <c r="C117" s="79"/>
      <c r="D117" s="79"/>
      <c r="E117" s="79"/>
      <c r="F117" s="79"/>
      <c r="G117" s="79"/>
      <c r="H117" s="79"/>
      <c r="I117" s="79"/>
      <c r="J117" s="79"/>
    </row>
    <row r="118" spans="1:10" x14ac:dyDescent="0.25">
      <c r="A118" s="79"/>
      <c r="B118" s="79"/>
      <c r="C118" s="79"/>
      <c r="D118" s="79"/>
      <c r="E118" s="79"/>
      <c r="F118" s="79"/>
      <c r="G118" s="79"/>
      <c r="H118" s="79"/>
      <c r="I118" s="79"/>
      <c r="J118" s="79"/>
    </row>
    <row r="119" spans="1:10" x14ac:dyDescent="0.25">
      <c r="A119" s="79"/>
      <c r="B119" s="79"/>
      <c r="C119" s="79"/>
      <c r="D119" s="79"/>
      <c r="E119" s="79"/>
      <c r="F119" s="79"/>
      <c r="G119" s="79"/>
      <c r="H119" s="79"/>
      <c r="I119" s="79"/>
      <c r="J119" s="79"/>
    </row>
    <row r="120" spans="1:10" x14ac:dyDescent="0.25">
      <c r="A120" s="79"/>
      <c r="B120" s="79"/>
      <c r="C120" s="79"/>
      <c r="D120" s="79"/>
      <c r="E120" s="79"/>
      <c r="F120" s="79"/>
      <c r="G120" s="79"/>
      <c r="H120" s="79"/>
      <c r="I120" s="79"/>
      <c r="J120" s="79"/>
    </row>
    <row r="121" spans="1:10" x14ac:dyDescent="0.25">
      <c r="A121" s="79"/>
      <c r="B121" s="79"/>
      <c r="C121" s="79"/>
      <c r="D121" s="79"/>
      <c r="E121" s="79"/>
      <c r="F121" s="79"/>
      <c r="G121" s="79"/>
      <c r="H121" s="79"/>
      <c r="I121" s="79"/>
      <c r="J121" s="79"/>
    </row>
    <row r="122" spans="1:10" x14ac:dyDescent="0.25">
      <c r="A122" s="79"/>
      <c r="B122" s="79"/>
      <c r="C122" s="79"/>
      <c r="D122" s="79"/>
      <c r="E122" s="79"/>
      <c r="F122" s="79"/>
      <c r="G122" s="79"/>
      <c r="H122" s="79"/>
      <c r="I122" s="79"/>
      <c r="J122" s="79"/>
    </row>
    <row r="123" spans="1:10" x14ac:dyDescent="0.25">
      <c r="A123" s="79"/>
      <c r="B123" s="79"/>
      <c r="C123" s="79"/>
      <c r="D123" s="79"/>
      <c r="E123" s="79"/>
      <c r="F123" s="79"/>
      <c r="G123" s="79"/>
      <c r="H123" s="79"/>
      <c r="I123" s="79"/>
      <c r="J123" s="79"/>
    </row>
    <row r="124" spans="1:10" x14ac:dyDescent="0.25">
      <c r="A124" s="79"/>
      <c r="B124" s="79"/>
      <c r="C124" s="79"/>
      <c r="D124" s="79"/>
      <c r="E124" s="79"/>
      <c r="F124" s="79"/>
      <c r="G124" s="79"/>
      <c r="H124" s="79"/>
      <c r="I124" s="79"/>
      <c r="J124" s="79"/>
    </row>
    <row r="125" spans="1:10" x14ac:dyDescent="0.25">
      <c r="A125" s="79"/>
      <c r="B125" s="79"/>
      <c r="C125" s="79"/>
      <c r="D125" s="79"/>
      <c r="E125" s="79"/>
      <c r="F125" s="79"/>
      <c r="G125" s="79"/>
      <c r="H125" s="79"/>
      <c r="I125" s="79"/>
      <c r="J125" s="79"/>
    </row>
    <row r="126" spans="1:10" x14ac:dyDescent="0.25">
      <c r="A126" s="79"/>
      <c r="B126" s="79"/>
      <c r="C126" s="79"/>
      <c r="D126" s="79"/>
      <c r="E126" s="79"/>
      <c r="F126" s="79"/>
      <c r="G126" s="79"/>
      <c r="H126" s="79"/>
      <c r="I126" s="79"/>
      <c r="J126" s="79"/>
    </row>
    <row r="127" spans="1:10" x14ac:dyDescent="0.25">
      <c r="A127" s="79"/>
      <c r="B127" s="79"/>
      <c r="C127" s="79"/>
      <c r="D127" s="79"/>
      <c r="E127" s="79"/>
      <c r="F127" s="79"/>
      <c r="G127" s="79"/>
      <c r="H127" s="79"/>
      <c r="I127" s="79"/>
      <c r="J127" s="79"/>
    </row>
    <row r="128" spans="1:10" x14ac:dyDescent="0.25">
      <c r="A128" s="79"/>
      <c r="B128" s="79"/>
      <c r="C128" s="79"/>
      <c r="D128" s="79"/>
      <c r="E128" s="79"/>
      <c r="F128" s="79"/>
      <c r="G128" s="79"/>
      <c r="H128" s="79"/>
      <c r="I128" s="79"/>
      <c r="J128" s="79"/>
    </row>
    <row r="129" spans="1:10" x14ac:dyDescent="0.25">
      <c r="A129" s="79"/>
      <c r="B129" s="79"/>
      <c r="C129" s="79"/>
      <c r="D129" s="79"/>
      <c r="E129" s="79"/>
      <c r="F129" s="79"/>
      <c r="G129" s="79"/>
      <c r="H129" s="79"/>
      <c r="I129" s="79"/>
      <c r="J129" s="79"/>
    </row>
    <row r="130" spans="1:10" x14ac:dyDescent="0.25">
      <c r="A130" s="79"/>
      <c r="B130" s="79"/>
      <c r="C130" s="79"/>
      <c r="D130" s="79"/>
      <c r="E130" s="79"/>
      <c r="F130" s="79"/>
      <c r="G130" s="79"/>
      <c r="H130" s="79"/>
      <c r="I130" s="79"/>
      <c r="J130" s="79"/>
    </row>
    <row r="131" spans="1:10" x14ac:dyDescent="0.25">
      <c r="A131" s="79"/>
      <c r="B131" s="79"/>
      <c r="C131" s="79"/>
      <c r="D131" s="79"/>
      <c r="E131" s="79"/>
      <c r="F131" s="79"/>
      <c r="G131" s="79"/>
      <c r="H131" s="79"/>
      <c r="I131" s="79"/>
      <c r="J131" s="79"/>
    </row>
    <row r="132" spans="1:10" x14ac:dyDescent="0.25">
      <c r="A132" s="79"/>
      <c r="B132" s="79"/>
      <c r="C132" s="79"/>
      <c r="D132" s="79"/>
      <c r="E132" s="79"/>
      <c r="F132" s="79"/>
      <c r="G132" s="79"/>
      <c r="H132" s="79"/>
      <c r="I132" s="79"/>
      <c r="J132" s="79"/>
    </row>
    <row r="133" spans="1:10" x14ac:dyDescent="0.25">
      <c r="A133" s="79"/>
      <c r="B133" s="79"/>
      <c r="C133" s="79"/>
      <c r="D133" s="79"/>
      <c r="E133" s="79"/>
      <c r="F133" s="79"/>
      <c r="G133" s="79"/>
      <c r="H133" s="79"/>
      <c r="I133" s="79"/>
      <c r="J133" s="79"/>
    </row>
    <row r="134" spans="1:10" x14ac:dyDescent="0.25">
      <c r="A134" s="79"/>
      <c r="B134" s="79"/>
      <c r="C134" s="79"/>
      <c r="D134" s="79"/>
      <c r="E134" s="79"/>
      <c r="F134" s="79"/>
      <c r="G134" s="79"/>
      <c r="H134" s="79"/>
      <c r="I134" s="79"/>
      <c r="J134" s="79"/>
    </row>
    <row r="135" spans="1:10" x14ac:dyDescent="0.25">
      <c r="A135" s="79"/>
      <c r="B135" s="79"/>
      <c r="C135" s="79"/>
      <c r="D135" s="79"/>
      <c r="E135" s="79"/>
      <c r="F135" s="79"/>
      <c r="G135" s="79"/>
      <c r="H135" s="79"/>
      <c r="I135" s="79"/>
      <c r="J135" s="79"/>
    </row>
    <row r="136" spans="1:10" x14ac:dyDescent="0.25">
      <c r="A136" s="79"/>
      <c r="B136" s="79"/>
      <c r="C136" s="79"/>
      <c r="D136" s="79"/>
      <c r="E136" s="79"/>
      <c r="F136" s="79"/>
      <c r="G136" s="79"/>
      <c r="H136" s="79"/>
      <c r="I136" s="79"/>
      <c r="J136" s="79"/>
    </row>
    <row r="137" spans="1:10" x14ac:dyDescent="0.25">
      <c r="A137" s="79"/>
      <c r="B137" s="79"/>
      <c r="C137" s="79"/>
      <c r="D137" s="79"/>
      <c r="E137" s="79"/>
      <c r="F137" s="79"/>
      <c r="G137" s="79"/>
      <c r="H137" s="79"/>
      <c r="I137" s="79"/>
      <c r="J137" s="79"/>
    </row>
    <row r="138" spans="1:10" x14ac:dyDescent="0.25">
      <c r="A138" s="79"/>
      <c r="B138" s="79"/>
      <c r="C138" s="79"/>
      <c r="D138" s="79"/>
      <c r="E138" s="79"/>
      <c r="F138" s="79"/>
      <c r="G138" s="79"/>
      <c r="H138" s="79"/>
      <c r="I138" s="79"/>
      <c r="J138" s="79"/>
    </row>
    <row r="139" spans="1:10" x14ac:dyDescent="0.25">
      <c r="A139" s="79"/>
      <c r="B139" s="79"/>
      <c r="C139" s="79"/>
      <c r="D139" s="79"/>
      <c r="E139" s="79"/>
      <c r="F139" s="79"/>
      <c r="G139" s="79"/>
      <c r="H139" s="79"/>
      <c r="I139" s="79"/>
      <c r="J139" s="79"/>
    </row>
    <row r="140" spans="1:10" x14ac:dyDescent="0.25">
      <c r="A140" s="79"/>
      <c r="B140" s="79"/>
      <c r="C140" s="79"/>
      <c r="D140" s="79"/>
      <c r="E140" s="79"/>
      <c r="F140" s="79"/>
      <c r="G140" s="79"/>
      <c r="H140" s="79"/>
      <c r="I140" s="79"/>
      <c r="J140" s="79"/>
    </row>
    <row r="141" spans="1:10" x14ac:dyDescent="0.25">
      <c r="A141" s="79"/>
      <c r="B141" s="79"/>
      <c r="C141" s="79"/>
      <c r="D141" s="79"/>
      <c r="E141" s="79"/>
      <c r="F141" s="79"/>
      <c r="G141" s="79"/>
      <c r="H141" s="79"/>
      <c r="I141" s="79"/>
      <c r="J141" s="79"/>
    </row>
    <row r="142" spans="1:10" x14ac:dyDescent="0.25">
      <c r="A142" s="79"/>
      <c r="B142" s="79"/>
      <c r="C142" s="79"/>
      <c r="D142" s="79"/>
      <c r="E142" s="79"/>
      <c r="F142" s="79"/>
      <c r="G142" s="79"/>
      <c r="H142" s="79"/>
      <c r="I142" s="79"/>
      <c r="J142" s="79"/>
    </row>
    <row r="143" spans="1:10" x14ac:dyDescent="0.25">
      <c r="A143" s="79"/>
      <c r="B143" s="79"/>
      <c r="C143" s="79"/>
      <c r="D143" s="79"/>
      <c r="E143" s="79"/>
      <c r="F143" s="79"/>
      <c r="G143" s="79"/>
      <c r="H143" s="79"/>
      <c r="I143" s="79"/>
      <c r="J143" s="79"/>
    </row>
    <row r="144" spans="1:10" x14ac:dyDescent="0.25">
      <c r="A144" s="79"/>
      <c r="B144" s="79"/>
      <c r="C144" s="79"/>
      <c r="D144" s="79"/>
      <c r="E144" s="79"/>
      <c r="F144" s="79"/>
      <c r="G144" s="79"/>
      <c r="H144" s="79"/>
      <c r="I144" s="79"/>
      <c r="J144" s="79"/>
    </row>
    <row r="145" spans="1:10" x14ac:dyDescent="0.25">
      <c r="A145" s="79"/>
      <c r="B145" s="79"/>
      <c r="C145" s="79"/>
      <c r="D145" s="79"/>
      <c r="E145" s="79"/>
      <c r="F145" s="79"/>
      <c r="G145" s="79"/>
      <c r="H145" s="79"/>
      <c r="I145" s="79"/>
      <c r="J145" s="79"/>
    </row>
    <row r="146" spans="1:10" x14ac:dyDescent="0.25">
      <c r="A146" s="79"/>
      <c r="B146" s="79"/>
      <c r="C146" s="79"/>
      <c r="D146" s="79"/>
      <c r="E146" s="79"/>
      <c r="F146" s="79"/>
      <c r="G146" s="79"/>
      <c r="H146" s="79"/>
      <c r="I146" s="79"/>
      <c r="J146" s="79"/>
    </row>
    <row r="147" spans="1:10" x14ac:dyDescent="0.25">
      <c r="A147" s="79"/>
      <c r="B147" s="79"/>
      <c r="C147" s="79"/>
      <c r="D147" s="79"/>
      <c r="E147" s="79"/>
      <c r="F147" s="79"/>
      <c r="G147" s="79"/>
      <c r="H147" s="79"/>
      <c r="I147" s="79"/>
      <c r="J147" s="79"/>
    </row>
    <row r="148" spans="1:10" x14ac:dyDescent="0.25">
      <c r="A148" s="79"/>
      <c r="B148" s="79"/>
      <c r="C148" s="79"/>
      <c r="D148" s="79"/>
      <c r="E148" s="79"/>
      <c r="F148" s="79"/>
      <c r="G148" s="79"/>
      <c r="H148" s="79"/>
      <c r="I148" s="79"/>
      <c r="J148" s="79"/>
    </row>
    <row r="149" spans="1:10" x14ac:dyDescent="0.25">
      <c r="A149" s="79"/>
      <c r="B149" s="79"/>
      <c r="C149" s="79"/>
      <c r="D149" s="79"/>
      <c r="E149" s="79"/>
      <c r="F149" s="79"/>
      <c r="G149" s="79"/>
      <c r="H149" s="79"/>
      <c r="I149" s="79"/>
      <c r="J149" s="79"/>
    </row>
    <row r="150" spans="1:10" x14ac:dyDescent="0.25">
      <c r="A150" s="79"/>
      <c r="B150" s="79"/>
      <c r="C150" s="79"/>
      <c r="D150" s="79"/>
      <c r="E150" s="79"/>
      <c r="F150" s="79"/>
      <c r="G150" s="79"/>
      <c r="H150" s="79"/>
      <c r="I150" s="79"/>
      <c r="J150" s="79"/>
    </row>
    <row r="151" spans="1:10" x14ac:dyDescent="0.25">
      <c r="A151" s="79"/>
      <c r="B151" s="79"/>
      <c r="C151" s="79"/>
      <c r="D151" s="79"/>
      <c r="E151" s="79"/>
      <c r="F151" s="79"/>
      <c r="G151" s="79"/>
      <c r="H151" s="79"/>
      <c r="I151" s="79"/>
      <c r="J151" s="79"/>
    </row>
    <row r="152" spans="1:10" x14ac:dyDescent="0.25">
      <c r="A152" s="79"/>
      <c r="B152" s="79"/>
      <c r="C152" s="79"/>
      <c r="D152" s="79"/>
      <c r="E152" s="79"/>
      <c r="F152" s="79"/>
      <c r="G152" s="79"/>
      <c r="H152" s="79"/>
      <c r="I152" s="79"/>
      <c r="J152" s="79"/>
    </row>
    <row r="153" spans="1:10" x14ac:dyDescent="0.25">
      <c r="A153" s="79"/>
      <c r="B153" s="79"/>
      <c r="C153" s="79"/>
      <c r="D153" s="79"/>
      <c r="E153" s="79"/>
      <c r="F153" s="79"/>
      <c r="G153" s="79"/>
      <c r="H153" s="79"/>
      <c r="I153" s="79"/>
      <c r="J153" s="7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F9" sqref="F9"/>
    </sheetView>
  </sheetViews>
  <sheetFormatPr defaultRowHeight="15" x14ac:dyDescent="0.25"/>
  <cols>
    <col min="1" max="1" width="20.7109375" bestFit="1" customWidth="1"/>
  </cols>
  <sheetData>
    <row r="1" spans="1:2" x14ac:dyDescent="0.25">
      <c r="A1" t="s">
        <v>68</v>
      </c>
    </row>
    <row r="4" spans="1:2" x14ac:dyDescent="0.25">
      <c r="A4" t="s">
        <v>73</v>
      </c>
    </row>
    <row r="5" spans="1:2" x14ac:dyDescent="0.25">
      <c r="A5" t="s">
        <v>69</v>
      </c>
      <c r="B5" s="185" t="s">
        <v>14</v>
      </c>
    </row>
    <row r="6" spans="1:2" x14ac:dyDescent="0.25">
      <c r="A6" t="s">
        <v>70</v>
      </c>
      <c r="B6" s="185">
        <v>393.63</v>
      </c>
    </row>
    <row r="7" spans="1:2" x14ac:dyDescent="0.25">
      <c r="A7" t="s">
        <v>71</v>
      </c>
      <c r="B7" s="185">
        <v>443.63</v>
      </c>
    </row>
    <row r="8" spans="1:2" x14ac:dyDescent="0.25">
      <c r="A8" t="s">
        <v>72</v>
      </c>
      <c r="B8" s="185">
        <v>482.9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AER Smoothed Prices</vt:lpstr>
      <vt:lpstr>ACS Meter Pricing</vt:lpstr>
      <vt:lpstr>Upfront capital charge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2015-04-29T07:10:44Z</dcterms:modified>
</cp:coreProperties>
</file>