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hidePivotFieldList="1" defaultThemeVersion="124226"/>
  <xr:revisionPtr revIDLastSave="0" documentId="13_ncr:1_{6B83D636-4332-40DF-A1F8-DBE8215D40A9}" xr6:coauthVersionLast="47" xr6:coauthVersionMax="47" xr10:uidLastSave="{00000000-0000-0000-0000-000000000000}"/>
  <bookViews>
    <workbookView xWindow="-120" yWindow="-120" windowWidth="29040" windowHeight="15990" tabRatio="925" xr2:uid="{00000000-000D-0000-FFFF-FFFF00000000}"/>
  </bookViews>
  <sheets>
    <sheet name="Cover" sheetId="21" r:id="rId1"/>
    <sheet name="Model Map" sheetId="59" r:id="rId2"/>
    <sheet name="Verified Inputs" sheetId="81" r:id="rId3"/>
    <sheet name="D1" sheetId="19" r:id="rId4"/>
    <sheet name="D2" sheetId="40" r:id="rId5"/>
    <sheet name="D3" sheetId="33" r:id="rId6"/>
    <sheet name="D4" sheetId="35" r:id="rId7"/>
    <sheet name="C1" sheetId="8" r:id="rId8"/>
    <sheet name="C2" sheetId="18" r:id="rId9"/>
    <sheet name="C3" sheetId="34" r:id="rId10"/>
    <sheet name="C4" sheetId="58" r:id="rId11"/>
    <sheet name="C5" sheetId="36" r:id="rId12"/>
    <sheet name="C6" sheetId="37" r:id="rId13"/>
    <sheet name="S1" sheetId="50" r:id="rId14"/>
    <sheet name="S2" sheetId="55" r:id="rId15"/>
    <sheet name="S3" sheetId="56" r:id="rId16"/>
    <sheet name="S4" sheetId="61" r:id="rId17"/>
    <sheet name="S5" sheetId="95" r:id="rId18"/>
    <sheet name="S6" sheetId="96" r:id="rId19"/>
  </sheets>
  <externalReferences>
    <externalReference r:id="rId20"/>
    <externalReference r:id="rId21"/>
  </externalReferences>
  <definedNames>
    <definedName name="__FDS_HYPERLINK_TOGGLE_STATE__" hidden="1">"ON"</definedName>
    <definedName name="_xlnm._FilterDatabase" localSheetId="10" hidden="1">'C4'!$B$3:$D$311</definedName>
    <definedName name="_xlnm._FilterDatabase" localSheetId="6" hidden="1">'D4'!$B$4:$D$310</definedName>
    <definedName name="aa" hidden="1">#REF!</definedName>
    <definedName name="abba" hidden="1">{"Ownership",#N/A,FALSE,"Ownership";"Contents",#N/A,FALSE,"Contents"}</definedName>
    <definedName name="anscount" hidden="1">1</definedName>
    <definedName name="BLPH1" hidden="1">'[1]Mthly Data'!$A$3</definedName>
    <definedName name="BLPH2" hidden="1">'[2]Mthly Data'!#REF!</definedName>
    <definedName name="BLPH3" hidden="1">'[2]Mthly Data'!#REF!</definedName>
    <definedName name="blph4" hidden="1">'[2]Mthly Data'!#REF!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40970.780625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N" hidden="1">{"Ownership",#N/A,FALSE,"Ownership";"Contents",#N/A,FALSE,"Contents"}</definedName>
    <definedName name="Reahan" hidden="1">{"Ownership",#N/A,FALSE,"Ownership";"Contents",#N/A,FALSE,"Contents"}</definedName>
    <definedName name="Start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TRNR_9ac0caab712642f7b7056ac759bbae98_5218_2" localSheetId="10" hidden="1">#REF!</definedName>
    <definedName name="TRNR_9ac0caab712642f7b7056ac759bbae98_5218_2" localSheetId="11" hidden="1">#REF!</definedName>
    <definedName name="TRNR_9ac0caab712642f7b7056ac759bbae98_5218_2" localSheetId="12" hidden="1">#REF!</definedName>
    <definedName name="TRNR_9ac0caab712642f7b7056ac759bbae98_5218_2" localSheetId="5" hidden="1">#REF!</definedName>
    <definedName name="TRNR_9ac0caab712642f7b7056ac759bbae98_5218_2" localSheetId="6" hidden="1">#REF!</definedName>
    <definedName name="TRNR_9ac0caab712642f7b7056ac759bbae98_5218_2" hidden="1">#REF!</definedName>
    <definedName name="wrn.App._.Custodians." hidden="1">{"Ownership",#N/A,FALSE,"Ownership";"Contents",#N/A,FALSE,"Contents"}</definedName>
  </definedNames>
  <calcPr calcId="191029"/>
  <pivotCaches>
    <pivotCache cacheId="0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81" l="1"/>
  <c r="C9" i="81"/>
  <c r="C10" i="81"/>
  <c r="F12" i="18"/>
  <c r="F8" i="18"/>
  <c r="F7" i="18"/>
  <c r="F6" i="18"/>
  <c r="I21" i="36"/>
  <c r="C4" i="59" l="1"/>
  <c r="C5" i="59"/>
  <c r="C3" i="59"/>
  <c r="D33" i="36"/>
  <c r="D32" i="36"/>
  <c r="D31" i="36"/>
  <c r="D30" i="36"/>
  <c r="D29" i="36"/>
  <c r="D28" i="36"/>
  <c r="D27" i="36"/>
  <c r="D26" i="36"/>
  <c r="D25" i="36"/>
  <c r="D24" i="36"/>
  <c r="D23" i="36"/>
  <c r="K22" i="21" l="1"/>
  <c r="K24" i="21"/>
  <c r="K23" i="21"/>
  <c r="K21" i="21"/>
  <c r="K20" i="21"/>
  <c r="K19" i="21"/>
  <c r="G22" i="21"/>
  <c r="G21" i="21"/>
  <c r="G20" i="21"/>
  <c r="G19" i="21"/>
  <c r="N4" i="36" l="1"/>
  <c r="G17" i="33"/>
  <c r="I17" i="33"/>
  <c r="D34" i="36" s="1"/>
  <c r="F46" i="37"/>
  <c r="R45" i="37"/>
  <c r="F15" i="33" l="1"/>
  <c r="C8" i="36" l="1"/>
  <c r="J8" i="36" s="1"/>
  <c r="C9" i="36"/>
  <c r="J9" i="36" s="1"/>
  <c r="C10" i="36"/>
  <c r="J10" i="36" s="1"/>
  <c r="C11" i="36"/>
  <c r="J11" i="36" s="1"/>
  <c r="C12" i="36"/>
  <c r="J12" i="36" s="1"/>
  <c r="C13" i="36"/>
  <c r="J13" i="36" s="1"/>
  <c r="C14" i="36"/>
  <c r="J14" i="36" s="1"/>
  <c r="C15" i="36"/>
  <c r="J15" i="36" s="1"/>
  <c r="C16" i="36"/>
  <c r="J16" i="36" s="1"/>
  <c r="C17" i="36"/>
  <c r="J17" i="36" s="1"/>
  <c r="C18" i="36"/>
  <c r="J18" i="36" s="1"/>
  <c r="C19" i="36"/>
  <c r="J19" i="36" s="1"/>
  <c r="C20" i="36"/>
  <c r="J20" i="36" s="1"/>
  <c r="C21" i="36"/>
  <c r="C22" i="36"/>
  <c r="I22" i="36" s="1"/>
  <c r="C23" i="36"/>
  <c r="I23" i="36" s="1"/>
  <c r="C24" i="36"/>
  <c r="I24" i="36" s="1"/>
  <c r="C25" i="36"/>
  <c r="I25" i="36" s="1"/>
  <c r="C26" i="36"/>
  <c r="I26" i="36" s="1"/>
  <c r="C27" i="36"/>
  <c r="I27" i="36" s="1"/>
  <c r="C28" i="36"/>
  <c r="I28" i="36" s="1"/>
  <c r="C29" i="36"/>
  <c r="I29" i="36" s="1"/>
  <c r="C30" i="36"/>
  <c r="I30" i="36" s="1"/>
  <c r="C31" i="36"/>
  <c r="I31" i="36" s="1"/>
  <c r="C32" i="36"/>
  <c r="I32" i="36" s="1"/>
  <c r="J33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G4" i="36" l="1"/>
  <c r="J34" i="36" s="1"/>
  <c r="AA4" i="36"/>
  <c r="E31" i="18"/>
  <c r="E19" i="18"/>
  <c r="E43" i="18" l="1"/>
  <c r="E35" i="18"/>
  <c r="E42" i="18" l="1"/>
  <c r="E44" i="18"/>
  <c r="E34" i="18"/>
  <c r="E36" i="18"/>
  <c r="L14" i="34"/>
  <c r="R34" i="36"/>
  <c r="J13" i="33" l="1"/>
  <c r="H4" i="37" l="1"/>
  <c r="L6" i="34" l="1"/>
  <c r="H12" i="19" l="1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3" i="19"/>
  <c r="H474" i="19"/>
  <c r="H475" i="19"/>
  <c r="H476" i="19"/>
  <c r="H477" i="19"/>
  <c r="H478" i="19"/>
  <c r="H479" i="19"/>
  <c r="H480" i="19"/>
  <c r="H481" i="19"/>
  <c r="H482" i="19"/>
  <c r="H483" i="19"/>
  <c r="H484" i="19"/>
  <c r="H485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3" i="19"/>
  <c r="H504" i="19"/>
  <c r="H505" i="19"/>
  <c r="H506" i="19"/>
  <c r="H507" i="19"/>
  <c r="H508" i="19"/>
  <c r="H509" i="19"/>
  <c r="K509" i="19" s="1"/>
  <c r="H510" i="19"/>
  <c r="K510" i="19" s="1"/>
  <c r="H511" i="19"/>
  <c r="K511" i="19" s="1"/>
  <c r="H512" i="19"/>
  <c r="K512" i="19" s="1"/>
  <c r="H513" i="19"/>
  <c r="K513" i="19" s="1"/>
  <c r="H514" i="19"/>
  <c r="K514" i="19" s="1"/>
  <c r="H515" i="19"/>
  <c r="K515" i="19" s="1"/>
  <c r="H516" i="19"/>
  <c r="K516" i="19" s="1"/>
  <c r="H517" i="19"/>
  <c r="K517" i="19" s="1"/>
  <c r="H518" i="19"/>
  <c r="K518" i="19" s="1"/>
  <c r="H519" i="19"/>
  <c r="K519" i="19" s="1"/>
  <c r="H520" i="19"/>
  <c r="K520" i="19" s="1"/>
  <c r="H521" i="19"/>
  <c r="K521" i="19" s="1"/>
  <c r="H522" i="19"/>
  <c r="K522" i="19" s="1"/>
  <c r="H523" i="19"/>
  <c r="K523" i="19" s="1"/>
  <c r="H524" i="19"/>
  <c r="K524" i="19" s="1"/>
  <c r="H525" i="19"/>
  <c r="K525" i="19" s="1"/>
  <c r="H526" i="19"/>
  <c r="K526" i="19" s="1"/>
  <c r="H527" i="19"/>
  <c r="K527" i="19" s="1"/>
  <c r="H528" i="19"/>
  <c r="K528" i="19" s="1"/>
  <c r="H529" i="19"/>
  <c r="K529" i="19" s="1"/>
  <c r="H530" i="19"/>
  <c r="K530" i="19" s="1"/>
  <c r="H531" i="19"/>
  <c r="K531" i="19" s="1"/>
  <c r="H532" i="19"/>
  <c r="K532" i="19" s="1"/>
  <c r="H533" i="19"/>
  <c r="K533" i="19" s="1"/>
  <c r="H534" i="19"/>
  <c r="K534" i="19" s="1"/>
  <c r="H535" i="19"/>
  <c r="K535" i="19" s="1"/>
  <c r="H536" i="19"/>
  <c r="K536" i="19" s="1"/>
  <c r="H537" i="19"/>
  <c r="K537" i="19" s="1"/>
  <c r="H538" i="19"/>
  <c r="K538" i="19" s="1"/>
  <c r="H539" i="19"/>
  <c r="K539" i="19" s="1"/>
  <c r="H540" i="19"/>
  <c r="K540" i="19" s="1"/>
  <c r="H541" i="19"/>
  <c r="K541" i="19" s="1"/>
  <c r="H542" i="19"/>
  <c r="K542" i="19" s="1"/>
  <c r="H543" i="19"/>
  <c r="K543" i="19" s="1"/>
  <c r="H544" i="19"/>
  <c r="K544" i="19" s="1"/>
  <c r="H545" i="19"/>
  <c r="K545" i="19" s="1"/>
  <c r="H546" i="19"/>
  <c r="K546" i="19" s="1"/>
  <c r="H547" i="19"/>
  <c r="K547" i="19" s="1"/>
  <c r="H548" i="19"/>
  <c r="K548" i="19" s="1"/>
  <c r="H549" i="19"/>
  <c r="K549" i="19" s="1"/>
  <c r="H550" i="19"/>
  <c r="K550" i="19" s="1"/>
  <c r="H551" i="19"/>
  <c r="K551" i="19" s="1"/>
  <c r="H552" i="19"/>
  <c r="K552" i="19" s="1"/>
  <c r="H553" i="19"/>
  <c r="K553" i="19" s="1"/>
  <c r="H554" i="19"/>
  <c r="K554" i="19" s="1"/>
  <c r="H555" i="19"/>
  <c r="K555" i="19" s="1"/>
  <c r="H556" i="19"/>
  <c r="K556" i="19" s="1"/>
  <c r="H557" i="19"/>
  <c r="K557" i="19" s="1"/>
  <c r="H558" i="19"/>
  <c r="K558" i="19" s="1"/>
  <c r="H559" i="19"/>
  <c r="K559" i="19" s="1"/>
  <c r="H560" i="19"/>
  <c r="K560" i="19" s="1"/>
  <c r="H561" i="19"/>
  <c r="K561" i="19" s="1"/>
  <c r="H562" i="19"/>
  <c r="K562" i="19" s="1"/>
  <c r="H563" i="19"/>
  <c r="K563" i="19" s="1"/>
  <c r="H564" i="19"/>
  <c r="K564" i="19" s="1"/>
  <c r="H565" i="19"/>
  <c r="K565" i="19" s="1"/>
  <c r="H566" i="19"/>
  <c r="K566" i="19" s="1"/>
  <c r="H567" i="19"/>
  <c r="K567" i="19" s="1"/>
  <c r="H568" i="19"/>
  <c r="K568" i="19" s="1"/>
  <c r="H569" i="19"/>
  <c r="K569" i="19" s="1"/>
  <c r="H570" i="19"/>
  <c r="K570" i="19" s="1"/>
  <c r="H571" i="19"/>
  <c r="K571" i="19" s="1"/>
  <c r="H572" i="19"/>
  <c r="K572" i="19" s="1"/>
  <c r="H573" i="19"/>
  <c r="K573" i="19" s="1"/>
  <c r="H574" i="19"/>
  <c r="K574" i="19" s="1"/>
  <c r="H575" i="19"/>
  <c r="K575" i="19" s="1"/>
  <c r="H576" i="19"/>
  <c r="K576" i="19" s="1"/>
  <c r="H577" i="19"/>
  <c r="K577" i="19" s="1"/>
  <c r="H578" i="19"/>
  <c r="K578" i="19" s="1"/>
  <c r="H579" i="19"/>
  <c r="K579" i="19" s="1"/>
  <c r="H580" i="19"/>
  <c r="K580" i="19" s="1"/>
  <c r="H581" i="19"/>
  <c r="K581" i="19" s="1"/>
  <c r="H582" i="19"/>
  <c r="K582" i="19" s="1"/>
  <c r="H583" i="19"/>
  <c r="K583" i="19" s="1"/>
  <c r="H584" i="19"/>
  <c r="K584" i="19" s="1"/>
  <c r="H585" i="19"/>
  <c r="K585" i="19" s="1"/>
  <c r="H586" i="19"/>
  <c r="K586" i="19" s="1"/>
  <c r="H587" i="19"/>
  <c r="K587" i="19" s="1"/>
  <c r="H588" i="19"/>
  <c r="K588" i="19" s="1"/>
  <c r="H589" i="19"/>
  <c r="K589" i="19" s="1"/>
  <c r="H590" i="19"/>
  <c r="K590" i="19" s="1"/>
  <c r="H591" i="19"/>
  <c r="K591" i="19" s="1"/>
  <c r="H592" i="19"/>
  <c r="K592" i="19" s="1"/>
  <c r="H593" i="19"/>
  <c r="K593" i="19" s="1"/>
  <c r="H594" i="19"/>
  <c r="K594" i="19" s="1"/>
  <c r="H595" i="19"/>
  <c r="K595" i="19" s="1"/>
  <c r="H596" i="19"/>
  <c r="K596" i="19" s="1"/>
  <c r="H597" i="19"/>
  <c r="K597" i="19" s="1"/>
  <c r="H598" i="19"/>
  <c r="K598" i="19" s="1"/>
  <c r="H599" i="19"/>
  <c r="K599" i="19" s="1"/>
  <c r="H600" i="19"/>
  <c r="K600" i="19" s="1"/>
  <c r="H601" i="19"/>
  <c r="K601" i="19" s="1"/>
  <c r="H602" i="19"/>
  <c r="K602" i="19" s="1"/>
  <c r="H603" i="19"/>
  <c r="K603" i="19" s="1"/>
  <c r="H604" i="19"/>
  <c r="K604" i="19" s="1"/>
  <c r="H605" i="19"/>
  <c r="K605" i="19" s="1"/>
  <c r="H606" i="19"/>
  <c r="K606" i="19" s="1"/>
  <c r="H607" i="19"/>
  <c r="K607" i="19" s="1"/>
  <c r="H608" i="19"/>
  <c r="K608" i="19" s="1"/>
  <c r="H609" i="19"/>
  <c r="K609" i="19" s="1"/>
  <c r="H610" i="19"/>
  <c r="K610" i="19" s="1"/>
  <c r="H611" i="19"/>
  <c r="K611" i="19" s="1"/>
  <c r="H612" i="19"/>
  <c r="H613" i="19"/>
  <c r="H11" i="19"/>
  <c r="G12" i="19"/>
  <c r="J12" i="19" s="1"/>
  <c r="G13" i="19"/>
  <c r="J13" i="19" s="1"/>
  <c r="G14" i="19"/>
  <c r="J14" i="19" s="1"/>
  <c r="G15" i="19"/>
  <c r="J15" i="19" s="1"/>
  <c r="G16" i="19"/>
  <c r="J16" i="19" s="1"/>
  <c r="G17" i="19"/>
  <c r="J17" i="19" s="1"/>
  <c r="G18" i="19"/>
  <c r="J18" i="19" s="1"/>
  <c r="G19" i="19"/>
  <c r="J19" i="19" s="1"/>
  <c r="G20" i="19"/>
  <c r="J20" i="19" s="1"/>
  <c r="G21" i="19"/>
  <c r="J21" i="19" s="1"/>
  <c r="G22" i="19"/>
  <c r="J22" i="19" s="1"/>
  <c r="G23" i="19"/>
  <c r="J23" i="19" s="1"/>
  <c r="G24" i="19"/>
  <c r="J24" i="19" s="1"/>
  <c r="G25" i="19"/>
  <c r="J25" i="19" s="1"/>
  <c r="G26" i="19"/>
  <c r="J26" i="19" s="1"/>
  <c r="G27" i="19"/>
  <c r="J27" i="19" s="1"/>
  <c r="G28" i="19"/>
  <c r="J28" i="19" s="1"/>
  <c r="G29" i="19"/>
  <c r="J29" i="19" s="1"/>
  <c r="G30" i="19"/>
  <c r="J30" i="19" s="1"/>
  <c r="G31" i="19"/>
  <c r="J31" i="19" s="1"/>
  <c r="G32" i="19"/>
  <c r="J32" i="19" s="1"/>
  <c r="G33" i="19"/>
  <c r="J33" i="19" s="1"/>
  <c r="G34" i="19"/>
  <c r="J34" i="19" s="1"/>
  <c r="G35" i="19"/>
  <c r="J35" i="19" s="1"/>
  <c r="G36" i="19"/>
  <c r="J36" i="19" s="1"/>
  <c r="G37" i="19"/>
  <c r="J37" i="19" s="1"/>
  <c r="G38" i="19"/>
  <c r="J38" i="19" s="1"/>
  <c r="G39" i="19"/>
  <c r="J39" i="19" s="1"/>
  <c r="G40" i="19"/>
  <c r="J40" i="19" s="1"/>
  <c r="G41" i="19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100" i="19"/>
  <c r="J100" i="19" s="1"/>
  <c r="G101" i="19"/>
  <c r="J101" i="19" s="1"/>
  <c r="G102" i="19"/>
  <c r="J102" i="19" s="1"/>
  <c r="G103" i="19"/>
  <c r="J103" i="19" s="1"/>
  <c r="G104" i="19"/>
  <c r="J104" i="19" s="1"/>
  <c r="G105" i="19"/>
  <c r="J105" i="19" s="1"/>
  <c r="G106" i="19"/>
  <c r="J106" i="19" s="1"/>
  <c r="G107" i="19"/>
  <c r="G108" i="19"/>
  <c r="J108" i="19" s="1"/>
  <c r="G109" i="19"/>
  <c r="J109" i="19" s="1"/>
  <c r="G110" i="19"/>
  <c r="J110" i="19" s="1"/>
  <c r="G111" i="19"/>
  <c r="J111" i="19" s="1"/>
  <c r="G112" i="19"/>
  <c r="J112" i="19" s="1"/>
  <c r="G113" i="19"/>
  <c r="J113" i="19" s="1"/>
  <c r="G114" i="19"/>
  <c r="J114" i="19" s="1"/>
  <c r="G115" i="19"/>
  <c r="J115" i="19" s="1"/>
  <c r="G116" i="19"/>
  <c r="J116" i="19" s="1"/>
  <c r="G117" i="19"/>
  <c r="J117" i="19" s="1"/>
  <c r="G118" i="19"/>
  <c r="J118" i="19" s="1"/>
  <c r="G119" i="19"/>
  <c r="J119" i="19" s="1"/>
  <c r="G120" i="19"/>
  <c r="J120" i="19" s="1"/>
  <c r="G121" i="19"/>
  <c r="J121" i="19" s="1"/>
  <c r="G122" i="19"/>
  <c r="J122" i="19" s="1"/>
  <c r="G123" i="19"/>
  <c r="J123" i="19" s="1"/>
  <c r="G124" i="19"/>
  <c r="J124" i="19" s="1"/>
  <c r="G125" i="19"/>
  <c r="J125" i="19" s="1"/>
  <c r="G126" i="19"/>
  <c r="J126" i="19" s="1"/>
  <c r="G127" i="19"/>
  <c r="J127" i="19" s="1"/>
  <c r="G128" i="19"/>
  <c r="J128" i="19" s="1"/>
  <c r="G129" i="19"/>
  <c r="J129" i="19" s="1"/>
  <c r="G130" i="19"/>
  <c r="J130" i="19" s="1"/>
  <c r="G131" i="19"/>
  <c r="J131" i="19" s="1"/>
  <c r="G132" i="19"/>
  <c r="J132" i="19" s="1"/>
  <c r="G133" i="19"/>
  <c r="J133" i="19" s="1"/>
  <c r="G134" i="19"/>
  <c r="J134" i="19" s="1"/>
  <c r="G135" i="19"/>
  <c r="J135" i="19" s="1"/>
  <c r="G136" i="19"/>
  <c r="J136" i="19" s="1"/>
  <c r="G137" i="19"/>
  <c r="J137" i="19" s="1"/>
  <c r="G138" i="19"/>
  <c r="J138" i="19" s="1"/>
  <c r="G139" i="19"/>
  <c r="J139" i="19" s="1"/>
  <c r="G140" i="19"/>
  <c r="J140" i="19" s="1"/>
  <c r="G141" i="19"/>
  <c r="J141" i="19" s="1"/>
  <c r="G142" i="19"/>
  <c r="J142" i="19" s="1"/>
  <c r="G143" i="19"/>
  <c r="J143" i="19" s="1"/>
  <c r="G144" i="19"/>
  <c r="J144" i="19" s="1"/>
  <c r="G145" i="19"/>
  <c r="J145" i="19" s="1"/>
  <c r="G146" i="19"/>
  <c r="J146" i="19" s="1"/>
  <c r="G147" i="19"/>
  <c r="J147" i="19" s="1"/>
  <c r="G148" i="19"/>
  <c r="J148" i="19" s="1"/>
  <c r="G149" i="19"/>
  <c r="J149" i="19" s="1"/>
  <c r="G150" i="19"/>
  <c r="J150" i="19" s="1"/>
  <c r="G151" i="19"/>
  <c r="J151" i="19" s="1"/>
  <c r="G152" i="19"/>
  <c r="J152" i="19" s="1"/>
  <c r="G153" i="19"/>
  <c r="J153" i="19" s="1"/>
  <c r="G154" i="19"/>
  <c r="J154" i="19" s="1"/>
  <c r="G155" i="19"/>
  <c r="J155" i="19" s="1"/>
  <c r="G156" i="19"/>
  <c r="J156" i="19" s="1"/>
  <c r="G157" i="19"/>
  <c r="J157" i="19" s="1"/>
  <c r="G158" i="19"/>
  <c r="J158" i="19" s="1"/>
  <c r="G159" i="19"/>
  <c r="J159" i="19" s="1"/>
  <c r="G160" i="19"/>
  <c r="J160" i="19" s="1"/>
  <c r="G161" i="19"/>
  <c r="J161" i="19" s="1"/>
  <c r="G162" i="19"/>
  <c r="J162" i="19" s="1"/>
  <c r="G163" i="19"/>
  <c r="J163" i="19" s="1"/>
  <c r="G164" i="19"/>
  <c r="J164" i="19" s="1"/>
  <c r="G165" i="19"/>
  <c r="J165" i="19" s="1"/>
  <c r="G166" i="19"/>
  <c r="J166" i="19" s="1"/>
  <c r="G167" i="19"/>
  <c r="J167" i="19" s="1"/>
  <c r="G168" i="19"/>
  <c r="J168" i="19" s="1"/>
  <c r="G169" i="19"/>
  <c r="J169" i="19" s="1"/>
  <c r="G170" i="19"/>
  <c r="J170" i="19" s="1"/>
  <c r="G171" i="19"/>
  <c r="J171" i="19" s="1"/>
  <c r="G172" i="19"/>
  <c r="J172" i="19" s="1"/>
  <c r="G173" i="19"/>
  <c r="J173" i="19" s="1"/>
  <c r="G174" i="19"/>
  <c r="J174" i="19" s="1"/>
  <c r="G175" i="19"/>
  <c r="J175" i="19" s="1"/>
  <c r="G176" i="19"/>
  <c r="J176" i="19" s="1"/>
  <c r="G177" i="19"/>
  <c r="J177" i="19" s="1"/>
  <c r="G178" i="19"/>
  <c r="J178" i="19" s="1"/>
  <c r="G179" i="19"/>
  <c r="J179" i="19" s="1"/>
  <c r="G180" i="19"/>
  <c r="J180" i="19" s="1"/>
  <c r="G181" i="19"/>
  <c r="J181" i="19" s="1"/>
  <c r="G182" i="19"/>
  <c r="J182" i="19" s="1"/>
  <c r="G183" i="19"/>
  <c r="J183" i="19" s="1"/>
  <c r="G184" i="19"/>
  <c r="J184" i="19" s="1"/>
  <c r="G185" i="19"/>
  <c r="J185" i="19" s="1"/>
  <c r="G186" i="19"/>
  <c r="J186" i="19" s="1"/>
  <c r="G187" i="19"/>
  <c r="J187" i="19" s="1"/>
  <c r="G188" i="19"/>
  <c r="J188" i="19" s="1"/>
  <c r="G189" i="19"/>
  <c r="J189" i="19" s="1"/>
  <c r="G190" i="19"/>
  <c r="J190" i="19" s="1"/>
  <c r="G191" i="19"/>
  <c r="J191" i="19" s="1"/>
  <c r="G192" i="19"/>
  <c r="J192" i="19" s="1"/>
  <c r="G193" i="19"/>
  <c r="J193" i="19" s="1"/>
  <c r="G194" i="19"/>
  <c r="J194" i="19" s="1"/>
  <c r="G195" i="19"/>
  <c r="J195" i="19" s="1"/>
  <c r="G196" i="19"/>
  <c r="J196" i="19" s="1"/>
  <c r="G197" i="19"/>
  <c r="J197" i="19" s="1"/>
  <c r="G198" i="19"/>
  <c r="J198" i="19" s="1"/>
  <c r="G199" i="19"/>
  <c r="J199" i="19" s="1"/>
  <c r="G200" i="19"/>
  <c r="J200" i="19" s="1"/>
  <c r="G201" i="19"/>
  <c r="J201" i="19" s="1"/>
  <c r="G202" i="19"/>
  <c r="J202" i="19" s="1"/>
  <c r="G203" i="19"/>
  <c r="G204" i="19"/>
  <c r="J204" i="19" s="1"/>
  <c r="G205" i="19"/>
  <c r="J205" i="19" s="1"/>
  <c r="G206" i="19"/>
  <c r="J206" i="19" s="1"/>
  <c r="G207" i="19"/>
  <c r="J207" i="19" s="1"/>
  <c r="G208" i="19"/>
  <c r="J208" i="19" s="1"/>
  <c r="G209" i="19"/>
  <c r="J209" i="19" s="1"/>
  <c r="G210" i="19"/>
  <c r="J210" i="19" s="1"/>
  <c r="G211" i="19"/>
  <c r="J211" i="19" s="1"/>
  <c r="G212" i="19"/>
  <c r="J212" i="19" s="1"/>
  <c r="G213" i="19"/>
  <c r="J213" i="19" s="1"/>
  <c r="G214" i="19"/>
  <c r="J214" i="19" s="1"/>
  <c r="G215" i="19"/>
  <c r="J215" i="19" s="1"/>
  <c r="G216" i="19"/>
  <c r="J216" i="19" s="1"/>
  <c r="G217" i="19"/>
  <c r="J217" i="19" s="1"/>
  <c r="G218" i="19"/>
  <c r="J218" i="19" s="1"/>
  <c r="G219" i="19"/>
  <c r="J219" i="19" s="1"/>
  <c r="G220" i="19"/>
  <c r="J220" i="19" s="1"/>
  <c r="G221" i="19"/>
  <c r="J221" i="19" s="1"/>
  <c r="G222" i="19"/>
  <c r="J222" i="19" s="1"/>
  <c r="G223" i="19"/>
  <c r="J223" i="19" s="1"/>
  <c r="G224" i="19"/>
  <c r="J224" i="19" s="1"/>
  <c r="G225" i="19"/>
  <c r="J225" i="19" s="1"/>
  <c r="G226" i="19"/>
  <c r="J226" i="19" s="1"/>
  <c r="G227" i="19"/>
  <c r="J227" i="19" s="1"/>
  <c r="G228" i="19"/>
  <c r="J228" i="19" s="1"/>
  <c r="G229" i="19"/>
  <c r="J229" i="19" s="1"/>
  <c r="G230" i="19"/>
  <c r="J230" i="19" s="1"/>
  <c r="G231" i="19"/>
  <c r="J231" i="19" s="1"/>
  <c r="G232" i="19"/>
  <c r="J232" i="19" s="1"/>
  <c r="G233" i="19"/>
  <c r="J233" i="19" s="1"/>
  <c r="G234" i="19"/>
  <c r="J234" i="19" s="1"/>
  <c r="G235" i="19"/>
  <c r="J235" i="19" s="1"/>
  <c r="G236" i="19"/>
  <c r="J236" i="19" s="1"/>
  <c r="G237" i="19"/>
  <c r="J237" i="19" s="1"/>
  <c r="G238" i="19"/>
  <c r="J238" i="19" s="1"/>
  <c r="G239" i="19"/>
  <c r="J239" i="19" s="1"/>
  <c r="G240" i="19"/>
  <c r="J240" i="19" s="1"/>
  <c r="G241" i="19"/>
  <c r="J241" i="19" s="1"/>
  <c r="G242" i="19"/>
  <c r="J242" i="19" s="1"/>
  <c r="G243" i="19"/>
  <c r="J243" i="19" s="1"/>
  <c r="G244" i="19"/>
  <c r="J244" i="19" s="1"/>
  <c r="G245" i="19"/>
  <c r="J245" i="19" s="1"/>
  <c r="G246" i="19"/>
  <c r="J246" i="19" s="1"/>
  <c r="G247" i="19"/>
  <c r="J247" i="19" s="1"/>
  <c r="G248" i="19"/>
  <c r="J248" i="19" s="1"/>
  <c r="G249" i="19"/>
  <c r="J249" i="19" s="1"/>
  <c r="G250" i="19"/>
  <c r="J250" i="19" s="1"/>
  <c r="G251" i="19"/>
  <c r="J251" i="19" s="1"/>
  <c r="G252" i="19"/>
  <c r="J252" i="19" s="1"/>
  <c r="G253" i="19"/>
  <c r="J253" i="19" s="1"/>
  <c r="G254" i="19"/>
  <c r="J254" i="19" s="1"/>
  <c r="G255" i="19"/>
  <c r="J255" i="19" s="1"/>
  <c r="G256" i="19"/>
  <c r="J256" i="19" s="1"/>
  <c r="G257" i="19"/>
  <c r="J257" i="19" s="1"/>
  <c r="G258" i="19"/>
  <c r="J258" i="19" s="1"/>
  <c r="G259" i="19"/>
  <c r="J259" i="19" s="1"/>
  <c r="G260" i="19"/>
  <c r="J260" i="19" s="1"/>
  <c r="G261" i="19"/>
  <c r="J261" i="19" s="1"/>
  <c r="G262" i="19"/>
  <c r="J262" i="19" s="1"/>
  <c r="G263" i="19"/>
  <c r="J263" i="19" s="1"/>
  <c r="G264" i="19"/>
  <c r="J264" i="19" s="1"/>
  <c r="G265" i="19"/>
  <c r="J265" i="19" s="1"/>
  <c r="G266" i="19"/>
  <c r="J266" i="19" s="1"/>
  <c r="G267" i="19"/>
  <c r="J267" i="19" s="1"/>
  <c r="G268" i="19"/>
  <c r="J268" i="19" s="1"/>
  <c r="G269" i="19"/>
  <c r="J269" i="19" s="1"/>
  <c r="G270" i="19"/>
  <c r="J270" i="19" s="1"/>
  <c r="G271" i="19"/>
  <c r="J271" i="19" s="1"/>
  <c r="G272" i="19"/>
  <c r="J272" i="19" s="1"/>
  <c r="G273" i="19"/>
  <c r="J273" i="19" s="1"/>
  <c r="G274" i="19"/>
  <c r="J274" i="19" s="1"/>
  <c r="G275" i="19"/>
  <c r="J275" i="19" s="1"/>
  <c r="G276" i="19"/>
  <c r="J276" i="19" s="1"/>
  <c r="G277" i="19"/>
  <c r="J277" i="19" s="1"/>
  <c r="G278" i="19"/>
  <c r="J278" i="19" s="1"/>
  <c r="G279" i="19"/>
  <c r="J279" i="19" s="1"/>
  <c r="G280" i="19"/>
  <c r="J280" i="19" s="1"/>
  <c r="G281" i="19"/>
  <c r="J281" i="19" s="1"/>
  <c r="G282" i="19"/>
  <c r="J282" i="19" s="1"/>
  <c r="G283" i="19"/>
  <c r="J283" i="19" s="1"/>
  <c r="G284" i="19"/>
  <c r="J284" i="19" s="1"/>
  <c r="G285" i="19"/>
  <c r="J285" i="19" s="1"/>
  <c r="G286" i="19"/>
  <c r="J286" i="19" s="1"/>
  <c r="G287" i="19"/>
  <c r="J287" i="19" s="1"/>
  <c r="G288" i="19"/>
  <c r="J288" i="19" s="1"/>
  <c r="G289" i="19"/>
  <c r="J289" i="19" s="1"/>
  <c r="G290" i="19"/>
  <c r="J290" i="19" s="1"/>
  <c r="G291" i="19"/>
  <c r="J291" i="19" s="1"/>
  <c r="G292" i="19"/>
  <c r="J292" i="19" s="1"/>
  <c r="G293" i="19"/>
  <c r="J293" i="19" s="1"/>
  <c r="G294" i="19"/>
  <c r="J294" i="19" s="1"/>
  <c r="G295" i="19"/>
  <c r="J295" i="19" s="1"/>
  <c r="G296" i="19"/>
  <c r="J296" i="19" s="1"/>
  <c r="G297" i="19"/>
  <c r="J297" i="19" s="1"/>
  <c r="G298" i="19"/>
  <c r="J298" i="19" s="1"/>
  <c r="G299" i="19"/>
  <c r="J299" i="19" s="1"/>
  <c r="G300" i="19"/>
  <c r="J300" i="19" s="1"/>
  <c r="G301" i="19"/>
  <c r="J301" i="19" s="1"/>
  <c r="G302" i="19"/>
  <c r="J302" i="19" s="1"/>
  <c r="G303" i="19"/>
  <c r="J303" i="19" s="1"/>
  <c r="G304" i="19"/>
  <c r="J304" i="19" s="1"/>
  <c r="G305" i="19"/>
  <c r="J305" i="19" s="1"/>
  <c r="G306" i="19"/>
  <c r="J306" i="19" s="1"/>
  <c r="G307" i="19"/>
  <c r="J307" i="19" s="1"/>
  <c r="G308" i="19"/>
  <c r="J308" i="19" s="1"/>
  <c r="G309" i="19"/>
  <c r="J309" i="19" s="1"/>
  <c r="G310" i="19"/>
  <c r="J310" i="19" s="1"/>
  <c r="G311" i="19"/>
  <c r="J311" i="19" s="1"/>
  <c r="G312" i="19"/>
  <c r="J312" i="19" s="1"/>
  <c r="G313" i="19"/>
  <c r="J313" i="19" s="1"/>
  <c r="G314" i="19"/>
  <c r="J314" i="19" s="1"/>
  <c r="G315" i="19"/>
  <c r="J315" i="19" s="1"/>
  <c r="G316" i="19"/>
  <c r="J316" i="19" s="1"/>
  <c r="G317" i="19"/>
  <c r="J317" i="19" s="1"/>
  <c r="G318" i="19"/>
  <c r="J318" i="19" s="1"/>
  <c r="G319" i="19"/>
  <c r="J319" i="19" s="1"/>
  <c r="G320" i="19"/>
  <c r="J320" i="19" s="1"/>
  <c r="G321" i="19"/>
  <c r="J321" i="19" s="1"/>
  <c r="G322" i="19"/>
  <c r="J322" i="19" s="1"/>
  <c r="G323" i="19"/>
  <c r="J323" i="19" s="1"/>
  <c r="G324" i="19"/>
  <c r="J324" i="19" s="1"/>
  <c r="G325" i="19"/>
  <c r="J325" i="19" s="1"/>
  <c r="G326" i="19"/>
  <c r="J326" i="19" s="1"/>
  <c r="G327" i="19"/>
  <c r="J327" i="19" s="1"/>
  <c r="G328" i="19"/>
  <c r="J328" i="19" s="1"/>
  <c r="G329" i="19"/>
  <c r="J329" i="19" s="1"/>
  <c r="G330" i="19"/>
  <c r="J330" i="19" s="1"/>
  <c r="G331" i="19"/>
  <c r="J331" i="19" s="1"/>
  <c r="G332" i="19"/>
  <c r="J332" i="19" s="1"/>
  <c r="G333" i="19"/>
  <c r="J333" i="19" s="1"/>
  <c r="G334" i="19"/>
  <c r="J334" i="19" s="1"/>
  <c r="G335" i="19"/>
  <c r="J335" i="19" s="1"/>
  <c r="G336" i="19"/>
  <c r="J336" i="19" s="1"/>
  <c r="G337" i="19"/>
  <c r="J337" i="19" s="1"/>
  <c r="G338" i="19"/>
  <c r="J338" i="19" s="1"/>
  <c r="G339" i="19"/>
  <c r="J339" i="19" s="1"/>
  <c r="G340" i="19"/>
  <c r="J340" i="19" s="1"/>
  <c r="G341" i="19"/>
  <c r="J341" i="19" s="1"/>
  <c r="G342" i="19"/>
  <c r="J342" i="19" s="1"/>
  <c r="G343" i="19"/>
  <c r="J343" i="19" s="1"/>
  <c r="G344" i="19"/>
  <c r="J344" i="19" s="1"/>
  <c r="G345" i="19"/>
  <c r="J345" i="19" s="1"/>
  <c r="G346" i="19"/>
  <c r="J346" i="19" s="1"/>
  <c r="G347" i="19"/>
  <c r="J347" i="19" s="1"/>
  <c r="G348" i="19"/>
  <c r="J348" i="19" s="1"/>
  <c r="G349" i="19"/>
  <c r="J349" i="19" s="1"/>
  <c r="G350" i="19"/>
  <c r="J350" i="19" s="1"/>
  <c r="G351" i="19"/>
  <c r="J351" i="19" s="1"/>
  <c r="G352" i="19"/>
  <c r="J352" i="19" s="1"/>
  <c r="G353" i="19"/>
  <c r="J353" i="19" s="1"/>
  <c r="G354" i="19"/>
  <c r="J354" i="19" s="1"/>
  <c r="G355" i="19"/>
  <c r="J355" i="19" s="1"/>
  <c r="G356" i="19"/>
  <c r="J356" i="19" s="1"/>
  <c r="G357" i="19"/>
  <c r="J357" i="19" s="1"/>
  <c r="G358" i="19"/>
  <c r="J358" i="19" s="1"/>
  <c r="G359" i="19"/>
  <c r="J359" i="19" s="1"/>
  <c r="G360" i="19"/>
  <c r="J360" i="19" s="1"/>
  <c r="G361" i="19"/>
  <c r="J361" i="19" s="1"/>
  <c r="G362" i="19"/>
  <c r="J362" i="19" s="1"/>
  <c r="G363" i="19"/>
  <c r="J363" i="19" s="1"/>
  <c r="G364" i="19"/>
  <c r="J364" i="19" s="1"/>
  <c r="G365" i="19"/>
  <c r="J365" i="19" s="1"/>
  <c r="G366" i="19"/>
  <c r="J366" i="19" s="1"/>
  <c r="G367" i="19"/>
  <c r="J367" i="19" s="1"/>
  <c r="G368" i="19"/>
  <c r="J368" i="19" s="1"/>
  <c r="G369" i="19"/>
  <c r="J369" i="19" s="1"/>
  <c r="G370" i="19"/>
  <c r="J370" i="19" s="1"/>
  <c r="G371" i="19"/>
  <c r="J371" i="19" s="1"/>
  <c r="G372" i="19"/>
  <c r="J372" i="19" s="1"/>
  <c r="G373" i="19"/>
  <c r="J373" i="19" s="1"/>
  <c r="G374" i="19"/>
  <c r="J374" i="19" s="1"/>
  <c r="G375" i="19"/>
  <c r="J375" i="19" s="1"/>
  <c r="G376" i="19"/>
  <c r="J376" i="19" s="1"/>
  <c r="G377" i="19"/>
  <c r="J377" i="19" s="1"/>
  <c r="G378" i="19"/>
  <c r="J378" i="19" s="1"/>
  <c r="G379" i="19"/>
  <c r="J379" i="19" s="1"/>
  <c r="G380" i="19"/>
  <c r="J380" i="19" s="1"/>
  <c r="G381" i="19"/>
  <c r="J381" i="19" s="1"/>
  <c r="G382" i="19"/>
  <c r="J382" i="19" s="1"/>
  <c r="G383" i="19"/>
  <c r="J383" i="19" s="1"/>
  <c r="G384" i="19"/>
  <c r="J384" i="19" s="1"/>
  <c r="G385" i="19"/>
  <c r="J385" i="19" s="1"/>
  <c r="G386" i="19"/>
  <c r="J386" i="19" s="1"/>
  <c r="G387" i="19"/>
  <c r="J387" i="19" s="1"/>
  <c r="G388" i="19"/>
  <c r="J388" i="19" s="1"/>
  <c r="G389" i="19"/>
  <c r="J389" i="19" s="1"/>
  <c r="G390" i="19"/>
  <c r="J390" i="19" s="1"/>
  <c r="G391" i="19"/>
  <c r="J391" i="19" s="1"/>
  <c r="G392" i="19"/>
  <c r="J392" i="19" s="1"/>
  <c r="G393" i="19"/>
  <c r="J393" i="19" s="1"/>
  <c r="G394" i="19"/>
  <c r="J394" i="19" s="1"/>
  <c r="G395" i="19"/>
  <c r="J395" i="19" s="1"/>
  <c r="G396" i="19"/>
  <c r="J396" i="19" s="1"/>
  <c r="G397" i="19"/>
  <c r="J397" i="19" s="1"/>
  <c r="G398" i="19"/>
  <c r="J398" i="19" s="1"/>
  <c r="G399" i="19"/>
  <c r="J399" i="19" s="1"/>
  <c r="G400" i="19"/>
  <c r="J400" i="19" s="1"/>
  <c r="G401" i="19"/>
  <c r="J401" i="19" s="1"/>
  <c r="G402" i="19"/>
  <c r="J402" i="19" s="1"/>
  <c r="G403" i="19"/>
  <c r="J403" i="19" s="1"/>
  <c r="G404" i="19"/>
  <c r="J404" i="19" s="1"/>
  <c r="G405" i="19"/>
  <c r="J405" i="19" s="1"/>
  <c r="G406" i="19"/>
  <c r="J406" i="19" s="1"/>
  <c r="G407" i="19"/>
  <c r="J407" i="19" s="1"/>
  <c r="G408" i="19"/>
  <c r="J408" i="19" s="1"/>
  <c r="G409" i="19"/>
  <c r="J409" i="19" s="1"/>
  <c r="G410" i="19"/>
  <c r="J410" i="19" s="1"/>
  <c r="G411" i="19"/>
  <c r="J411" i="19" s="1"/>
  <c r="G412" i="19"/>
  <c r="J412" i="19" s="1"/>
  <c r="G413" i="19"/>
  <c r="J413" i="19" s="1"/>
  <c r="G414" i="19"/>
  <c r="J414" i="19" s="1"/>
  <c r="G415" i="19"/>
  <c r="J415" i="19" s="1"/>
  <c r="G416" i="19"/>
  <c r="J416" i="19" s="1"/>
  <c r="G417" i="19"/>
  <c r="J417" i="19" s="1"/>
  <c r="G418" i="19"/>
  <c r="J418" i="19" s="1"/>
  <c r="G419" i="19"/>
  <c r="J419" i="19" s="1"/>
  <c r="G420" i="19"/>
  <c r="J420" i="19" s="1"/>
  <c r="G421" i="19"/>
  <c r="J421" i="19" s="1"/>
  <c r="G422" i="19"/>
  <c r="J422" i="19" s="1"/>
  <c r="G423" i="19"/>
  <c r="J423" i="19" s="1"/>
  <c r="G424" i="19"/>
  <c r="J424" i="19" s="1"/>
  <c r="G425" i="19"/>
  <c r="J425" i="19" s="1"/>
  <c r="G426" i="19"/>
  <c r="J426" i="19" s="1"/>
  <c r="G427" i="19"/>
  <c r="J427" i="19" s="1"/>
  <c r="G428" i="19"/>
  <c r="J428" i="19" s="1"/>
  <c r="G429" i="19"/>
  <c r="J429" i="19" s="1"/>
  <c r="G430" i="19"/>
  <c r="J430" i="19" s="1"/>
  <c r="G431" i="19"/>
  <c r="J431" i="19" s="1"/>
  <c r="G432" i="19"/>
  <c r="J432" i="19" s="1"/>
  <c r="G433" i="19"/>
  <c r="J433" i="19" s="1"/>
  <c r="G434" i="19"/>
  <c r="J434" i="19" s="1"/>
  <c r="G435" i="19"/>
  <c r="J435" i="19" s="1"/>
  <c r="G436" i="19"/>
  <c r="J436" i="19" s="1"/>
  <c r="G437" i="19"/>
  <c r="J437" i="19" s="1"/>
  <c r="G438" i="19"/>
  <c r="J438" i="19" s="1"/>
  <c r="G439" i="19"/>
  <c r="J439" i="19" s="1"/>
  <c r="G440" i="19"/>
  <c r="J440" i="19" s="1"/>
  <c r="G441" i="19"/>
  <c r="J441" i="19" s="1"/>
  <c r="G442" i="19"/>
  <c r="J442" i="19" s="1"/>
  <c r="G443" i="19"/>
  <c r="J443" i="19" s="1"/>
  <c r="G444" i="19"/>
  <c r="J444" i="19" s="1"/>
  <c r="G445" i="19"/>
  <c r="J445" i="19" s="1"/>
  <c r="G446" i="19"/>
  <c r="J446" i="19" s="1"/>
  <c r="G447" i="19"/>
  <c r="J447" i="19" s="1"/>
  <c r="G448" i="19"/>
  <c r="J448" i="19" s="1"/>
  <c r="G449" i="19"/>
  <c r="J449" i="19" s="1"/>
  <c r="G450" i="19"/>
  <c r="J450" i="19" s="1"/>
  <c r="G451" i="19"/>
  <c r="J451" i="19" s="1"/>
  <c r="G452" i="19"/>
  <c r="J452" i="19" s="1"/>
  <c r="G453" i="19"/>
  <c r="J453" i="19" s="1"/>
  <c r="G454" i="19"/>
  <c r="J454" i="19" s="1"/>
  <c r="G455" i="19"/>
  <c r="J455" i="19" s="1"/>
  <c r="G456" i="19"/>
  <c r="J456" i="19" s="1"/>
  <c r="G457" i="19"/>
  <c r="J457" i="19" s="1"/>
  <c r="G458" i="19"/>
  <c r="J458" i="19" s="1"/>
  <c r="G459" i="19"/>
  <c r="J459" i="19" s="1"/>
  <c r="G460" i="19"/>
  <c r="J460" i="19" s="1"/>
  <c r="G461" i="19"/>
  <c r="J461" i="19" s="1"/>
  <c r="G462" i="19"/>
  <c r="J462" i="19" s="1"/>
  <c r="G463" i="19"/>
  <c r="J463" i="19" s="1"/>
  <c r="G464" i="19"/>
  <c r="J464" i="19" s="1"/>
  <c r="G465" i="19"/>
  <c r="J465" i="19" s="1"/>
  <c r="G466" i="19"/>
  <c r="J466" i="19" s="1"/>
  <c r="G467" i="19"/>
  <c r="G468" i="19"/>
  <c r="J468" i="19" s="1"/>
  <c r="G469" i="19"/>
  <c r="J469" i="19" s="1"/>
  <c r="G470" i="19"/>
  <c r="J470" i="19" s="1"/>
  <c r="G471" i="19"/>
  <c r="J471" i="19" s="1"/>
  <c r="G472" i="19"/>
  <c r="J472" i="19" s="1"/>
  <c r="G473" i="19"/>
  <c r="J473" i="19" s="1"/>
  <c r="G474" i="19"/>
  <c r="J474" i="19" s="1"/>
  <c r="G475" i="19"/>
  <c r="J475" i="19" s="1"/>
  <c r="G476" i="19"/>
  <c r="J476" i="19" s="1"/>
  <c r="G477" i="19"/>
  <c r="J477" i="19" s="1"/>
  <c r="G478" i="19"/>
  <c r="J478" i="19" s="1"/>
  <c r="G479" i="19"/>
  <c r="J479" i="19" s="1"/>
  <c r="G480" i="19"/>
  <c r="J480" i="19" s="1"/>
  <c r="G481" i="19"/>
  <c r="J481" i="19" s="1"/>
  <c r="G482" i="19"/>
  <c r="J482" i="19" s="1"/>
  <c r="G483" i="19"/>
  <c r="J483" i="19" s="1"/>
  <c r="G484" i="19"/>
  <c r="J484" i="19" s="1"/>
  <c r="G485" i="19"/>
  <c r="J485" i="19" s="1"/>
  <c r="G486" i="19"/>
  <c r="J486" i="19" s="1"/>
  <c r="G487" i="19"/>
  <c r="J487" i="19" s="1"/>
  <c r="G488" i="19"/>
  <c r="J488" i="19" s="1"/>
  <c r="G489" i="19"/>
  <c r="J489" i="19" s="1"/>
  <c r="G490" i="19"/>
  <c r="J490" i="19" s="1"/>
  <c r="G491" i="19"/>
  <c r="J491" i="19" s="1"/>
  <c r="G492" i="19"/>
  <c r="J492" i="19" s="1"/>
  <c r="G493" i="19"/>
  <c r="J493" i="19" s="1"/>
  <c r="G494" i="19"/>
  <c r="J494" i="19" s="1"/>
  <c r="G495" i="19"/>
  <c r="J495" i="19" s="1"/>
  <c r="G496" i="19"/>
  <c r="J496" i="19" s="1"/>
  <c r="G497" i="19"/>
  <c r="J497" i="19" s="1"/>
  <c r="G498" i="19"/>
  <c r="J498" i="19" s="1"/>
  <c r="G499" i="19"/>
  <c r="J499" i="19" s="1"/>
  <c r="G500" i="19"/>
  <c r="J500" i="19" s="1"/>
  <c r="G501" i="19"/>
  <c r="J501" i="19" s="1"/>
  <c r="G502" i="19"/>
  <c r="J502" i="19" s="1"/>
  <c r="G503" i="19"/>
  <c r="J503" i="19" s="1"/>
  <c r="G504" i="19"/>
  <c r="J504" i="19" s="1"/>
  <c r="G505" i="19"/>
  <c r="J505" i="19" s="1"/>
  <c r="G506" i="19"/>
  <c r="J506" i="19" s="1"/>
  <c r="G507" i="19"/>
  <c r="J507" i="19" s="1"/>
  <c r="G508" i="19"/>
  <c r="G509" i="19"/>
  <c r="J509" i="19" s="1"/>
  <c r="G510" i="19"/>
  <c r="J510" i="19" s="1"/>
  <c r="G511" i="19"/>
  <c r="J511" i="19" s="1"/>
  <c r="G512" i="19"/>
  <c r="J512" i="19" s="1"/>
  <c r="G513" i="19"/>
  <c r="J513" i="19" s="1"/>
  <c r="G514" i="19"/>
  <c r="J514" i="19" s="1"/>
  <c r="G515" i="19"/>
  <c r="J515" i="19" s="1"/>
  <c r="G516" i="19"/>
  <c r="J516" i="19" s="1"/>
  <c r="G517" i="19"/>
  <c r="J517" i="19" s="1"/>
  <c r="G518" i="19"/>
  <c r="J518" i="19" s="1"/>
  <c r="G519" i="19"/>
  <c r="J519" i="19" s="1"/>
  <c r="G520" i="19"/>
  <c r="J520" i="19" s="1"/>
  <c r="G521" i="19"/>
  <c r="J521" i="19" s="1"/>
  <c r="G522" i="19"/>
  <c r="J522" i="19" s="1"/>
  <c r="G523" i="19"/>
  <c r="J523" i="19" s="1"/>
  <c r="G524" i="19"/>
  <c r="J524" i="19" s="1"/>
  <c r="G525" i="19"/>
  <c r="J525" i="19" s="1"/>
  <c r="G526" i="19"/>
  <c r="J526" i="19" s="1"/>
  <c r="G527" i="19"/>
  <c r="J527" i="19" s="1"/>
  <c r="G528" i="19"/>
  <c r="J528" i="19" s="1"/>
  <c r="G529" i="19"/>
  <c r="J529" i="19" s="1"/>
  <c r="G530" i="19"/>
  <c r="J530" i="19" s="1"/>
  <c r="G531" i="19"/>
  <c r="J531" i="19" s="1"/>
  <c r="G532" i="19"/>
  <c r="J532" i="19" s="1"/>
  <c r="G533" i="19"/>
  <c r="J533" i="19" s="1"/>
  <c r="G534" i="19"/>
  <c r="J534" i="19" s="1"/>
  <c r="G535" i="19"/>
  <c r="J535" i="19" s="1"/>
  <c r="G536" i="19"/>
  <c r="J536" i="19" s="1"/>
  <c r="G537" i="19"/>
  <c r="J537" i="19" s="1"/>
  <c r="G538" i="19"/>
  <c r="J538" i="19" s="1"/>
  <c r="G539" i="19"/>
  <c r="J539" i="19" s="1"/>
  <c r="G540" i="19"/>
  <c r="J540" i="19" s="1"/>
  <c r="G541" i="19"/>
  <c r="J541" i="19" s="1"/>
  <c r="G542" i="19"/>
  <c r="J542" i="19" s="1"/>
  <c r="G543" i="19"/>
  <c r="J543" i="19" s="1"/>
  <c r="G544" i="19"/>
  <c r="J544" i="19" s="1"/>
  <c r="G545" i="19"/>
  <c r="J545" i="19" s="1"/>
  <c r="G546" i="19"/>
  <c r="J546" i="19" s="1"/>
  <c r="G547" i="19"/>
  <c r="J547" i="19" s="1"/>
  <c r="G548" i="19"/>
  <c r="J548" i="19" s="1"/>
  <c r="G549" i="19"/>
  <c r="J549" i="19" s="1"/>
  <c r="G550" i="19"/>
  <c r="J550" i="19" s="1"/>
  <c r="G551" i="19"/>
  <c r="J551" i="19" s="1"/>
  <c r="G552" i="19"/>
  <c r="J552" i="19" s="1"/>
  <c r="G553" i="19"/>
  <c r="J553" i="19" s="1"/>
  <c r="G554" i="19"/>
  <c r="J554" i="19" s="1"/>
  <c r="G555" i="19"/>
  <c r="J555" i="19" s="1"/>
  <c r="G556" i="19"/>
  <c r="J556" i="19" s="1"/>
  <c r="G557" i="19"/>
  <c r="J557" i="19" s="1"/>
  <c r="G558" i="19"/>
  <c r="J558" i="19" s="1"/>
  <c r="G559" i="19"/>
  <c r="J559" i="19" s="1"/>
  <c r="G560" i="19"/>
  <c r="J560" i="19" s="1"/>
  <c r="G561" i="19"/>
  <c r="J561" i="19" s="1"/>
  <c r="G562" i="19"/>
  <c r="J562" i="19" s="1"/>
  <c r="G563" i="19"/>
  <c r="J563" i="19" s="1"/>
  <c r="G564" i="19"/>
  <c r="J564" i="19" s="1"/>
  <c r="G565" i="19"/>
  <c r="J565" i="19" s="1"/>
  <c r="G566" i="19"/>
  <c r="J566" i="19" s="1"/>
  <c r="G567" i="19"/>
  <c r="J567" i="19" s="1"/>
  <c r="G568" i="19"/>
  <c r="J568" i="19" s="1"/>
  <c r="G569" i="19"/>
  <c r="J569" i="19" s="1"/>
  <c r="G570" i="19"/>
  <c r="J570" i="19" s="1"/>
  <c r="G571" i="19"/>
  <c r="J571" i="19" s="1"/>
  <c r="G572" i="19"/>
  <c r="J572" i="19" s="1"/>
  <c r="G573" i="19"/>
  <c r="J573" i="19" s="1"/>
  <c r="G574" i="19"/>
  <c r="J574" i="19" s="1"/>
  <c r="G575" i="19"/>
  <c r="J575" i="19" s="1"/>
  <c r="G576" i="19"/>
  <c r="J576" i="19" s="1"/>
  <c r="G577" i="19"/>
  <c r="J577" i="19" s="1"/>
  <c r="G578" i="19"/>
  <c r="J578" i="19" s="1"/>
  <c r="G579" i="19"/>
  <c r="J579" i="19" s="1"/>
  <c r="G580" i="19"/>
  <c r="J580" i="19" s="1"/>
  <c r="G581" i="19"/>
  <c r="J581" i="19" s="1"/>
  <c r="G582" i="19"/>
  <c r="J582" i="19" s="1"/>
  <c r="G583" i="19"/>
  <c r="J583" i="19" s="1"/>
  <c r="G584" i="19"/>
  <c r="J584" i="19" s="1"/>
  <c r="G585" i="19"/>
  <c r="J585" i="19" s="1"/>
  <c r="G586" i="19"/>
  <c r="J586" i="19" s="1"/>
  <c r="G587" i="19"/>
  <c r="J587" i="19" s="1"/>
  <c r="G588" i="19"/>
  <c r="J588" i="19" s="1"/>
  <c r="G589" i="19"/>
  <c r="J589" i="19" s="1"/>
  <c r="G590" i="19"/>
  <c r="J590" i="19" s="1"/>
  <c r="G591" i="19"/>
  <c r="J591" i="19" s="1"/>
  <c r="G592" i="19"/>
  <c r="J592" i="19" s="1"/>
  <c r="G593" i="19"/>
  <c r="J593" i="19" s="1"/>
  <c r="G594" i="19"/>
  <c r="J594" i="19" s="1"/>
  <c r="G595" i="19"/>
  <c r="J595" i="19" s="1"/>
  <c r="G596" i="19"/>
  <c r="J596" i="19" s="1"/>
  <c r="G597" i="19"/>
  <c r="J597" i="19" s="1"/>
  <c r="G598" i="19"/>
  <c r="J598" i="19" s="1"/>
  <c r="G599" i="19"/>
  <c r="J599" i="19" s="1"/>
  <c r="G600" i="19"/>
  <c r="J600" i="19" s="1"/>
  <c r="G601" i="19"/>
  <c r="J601" i="19" s="1"/>
  <c r="G602" i="19"/>
  <c r="J602" i="19" s="1"/>
  <c r="G603" i="19"/>
  <c r="J603" i="19" s="1"/>
  <c r="G604" i="19"/>
  <c r="J604" i="19" s="1"/>
  <c r="G605" i="19"/>
  <c r="J605" i="19" s="1"/>
  <c r="G606" i="19"/>
  <c r="J606" i="19" s="1"/>
  <c r="G607" i="19"/>
  <c r="J607" i="19" s="1"/>
  <c r="G608" i="19"/>
  <c r="J608" i="19" s="1"/>
  <c r="G609" i="19"/>
  <c r="J609" i="19" s="1"/>
  <c r="G610" i="19"/>
  <c r="J610" i="19" s="1"/>
  <c r="G611" i="19"/>
  <c r="J611" i="19" s="1"/>
  <c r="G612" i="19"/>
  <c r="G613" i="19"/>
  <c r="J613" i="19" s="1"/>
  <c r="G11" i="19"/>
  <c r="E14" i="8" l="1"/>
  <c r="F14" i="8"/>
  <c r="J612" i="19"/>
  <c r="J467" i="19"/>
  <c r="F17" i="8"/>
  <c r="F16" i="8"/>
  <c r="F15" i="8"/>
  <c r="K612" i="19"/>
  <c r="E17" i="8"/>
  <c r="E16" i="8"/>
  <c r="E15" i="8"/>
  <c r="I613" i="19"/>
  <c r="I609" i="19"/>
  <c r="I605" i="19"/>
  <c r="I601" i="19"/>
  <c r="I597" i="19"/>
  <c r="I593" i="19"/>
  <c r="I589" i="19"/>
  <c r="I585" i="19"/>
  <c r="I581" i="19"/>
  <c r="I577" i="19"/>
  <c r="I573" i="19"/>
  <c r="I569" i="19"/>
  <c r="I565" i="19"/>
  <c r="I561" i="19"/>
  <c r="I557" i="19"/>
  <c r="I553" i="19"/>
  <c r="I549" i="19"/>
  <c r="I545" i="19"/>
  <c r="I541" i="19"/>
  <c r="I537" i="19"/>
  <c r="I533" i="19"/>
  <c r="I529" i="19"/>
  <c r="I525" i="19"/>
  <c r="I521" i="19"/>
  <c r="I517" i="19"/>
  <c r="I513" i="19"/>
  <c r="I509" i="19"/>
  <c r="K613" i="19"/>
  <c r="I612" i="19"/>
  <c r="I608" i="19"/>
  <c r="I604" i="19"/>
  <c r="I600" i="19"/>
  <c r="I596" i="19"/>
  <c r="I592" i="19"/>
  <c r="I588" i="19"/>
  <c r="I584" i="19"/>
  <c r="I580" i="19"/>
  <c r="I576" i="19"/>
  <c r="I572" i="19"/>
  <c r="I568" i="19"/>
  <c r="I564" i="19"/>
  <c r="I560" i="19"/>
  <c r="I556" i="19"/>
  <c r="I552" i="19"/>
  <c r="I548" i="19"/>
  <c r="I544" i="19"/>
  <c r="I540" i="19"/>
  <c r="I536" i="19"/>
  <c r="I532" i="19"/>
  <c r="I528" i="19"/>
  <c r="I524" i="19"/>
  <c r="I520" i="19"/>
  <c r="I516" i="19"/>
  <c r="I512" i="19"/>
  <c r="I508" i="19"/>
  <c r="K508" i="19"/>
  <c r="I611" i="19"/>
  <c r="I607" i="19"/>
  <c r="I603" i="19"/>
  <c r="I599" i="19"/>
  <c r="I595" i="19"/>
  <c r="I591" i="19"/>
  <c r="I587" i="19"/>
  <c r="I583" i="19"/>
  <c r="I579" i="19"/>
  <c r="I575" i="19"/>
  <c r="I571" i="19"/>
  <c r="I567" i="19"/>
  <c r="I563" i="19"/>
  <c r="I559" i="19"/>
  <c r="I555" i="19"/>
  <c r="I551" i="19"/>
  <c r="I547" i="19"/>
  <c r="I543" i="19"/>
  <c r="I539" i="19"/>
  <c r="I535" i="19"/>
  <c r="I531" i="19"/>
  <c r="I527" i="19"/>
  <c r="I523" i="19"/>
  <c r="I519" i="19"/>
  <c r="I515" i="19"/>
  <c r="I511" i="19"/>
  <c r="I610" i="19"/>
  <c r="I606" i="19"/>
  <c r="I602" i="19"/>
  <c r="I598" i="19"/>
  <c r="I594" i="19"/>
  <c r="I590" i="19"/>
  <c r="I586" i="19"/>
  <c r="I582" i="19"/>
  <c r="I578" i="19"/>
  <c r="I574" i="19"/>
  <c r="I570" i="19"/>
  <c r="I566" i="19"/>
  <c r="I562" i="19"/>
  <c r="I558" i="19"/>
  <c r="I554" i="19"/>
  <c r="I550" i="19"/>
  <c r="I546" i="19"/>
  <c r="I542" i="19"/>
  <c r="I538" i="19"/>
  <c r="I534" i="19"/>
  <c r="I530" i="19"/>
  <c r="I526" i="19"/>
  <c r="I522" i="19"/>
  <c r="I518" i="19"/>
  <c r="I514" i="19"/>
  <c r="I510" i="19"/>
  <c r="J508" i="19"/>
  <c r="I11" i="19"/>
  <c r="K485" i="19"/>
  <c r="L485" i="19" s="1"/>
  <c r="I485" i="19"/>
  <c r="K445" i="19"/>
  <c r="L445" i="19" s="1"/>
  <c r="I445" i="19"/>
  <c r="K405" i="19"/>
  <c r="L405" i="19" s="1"/>
  <c r="I405" i="19"/>
  <c r="K365" i="19"/>
  <c r="L365" i="19" s="1"/>
  <c r="I365" i="19"/>
  <c r="K325" i="19"/>
  <c r="L325" i="19" s="1"/>
  <c r="I325" i="19"/>
  <c r="K285" i="19"/>
  <c r="L285" i="19" s="1"/>
  <c r="I285" i="19"/>
  <c r="K245" i="19"/>
  <c r="L245" i="19" s="1"/>
  <c r="I245" i="19"/>
  <c r="K213" i="19"/>
  <c r="L213" i="19" s="1"/>
  <c r="I213" i="19"/>
  <c r="K173" i="19"/>
  <c r="L173" i="19" s="1"/>
  <c r="I173" i="19"/>
  <c r="K133" i="19"/>
  <c r="L133" i="19" s="1"/>
  <c r="I133" i="19"/>
  <c r="K101" i="19"/>
  <c r="L101" i="19" s="1"/>
  <c r="I101" i="19"/>
  <c r="K69" i="19"/>
  <c r="L69" i="19" s="1"/>
  <c r="I69" i="19"/>
  <c r="K37" i="19"/>
  <c r="L37" i="19" s="1"/>
  <c r="I37" i="19"/>
  <c r="K507" i="19"/>
  <c r="L507" i="19" s="1"/>
  <c r="I507" i="19"/>
  <c r="K499" i="19"/>
  <c r="L499" i="19" s="1"/>
  <c r="I499" i="19"/>
  <c r="K491" i="19"/>
  <c r="L491" i="19" s="1"/>
  <c r="I491" i="19"/>
  <c r="K483" i="19"/>
  <c r="L483" i="19" s="1"/>
  <c r="I483" i="19"/>
  <c r="K475" i="19"/>
  <c r="L475" i="19" s="1"/>
  <c r="I475" i="19"/>
  <c r="K467" i="19"/>
  <c r="L467" i="19" s="1"/>
  <c r="I467" i="19"/>
  <c r="K459" i="19"/>
  <c r="L459" i="19" s="1"/>
  <c r="I459" i="19"/>
  <c r="K451" i="19"/>
  <c r="L451" i="19" s="1"/>
  <c r="I451" i="19"/>
  <c r="K443" i="19"/>
  <c r="L443" i="19" s="1"/>
  <c r="I443" i="19"/>
  <c r="K435" i="19"/>
  <c r="L435" i="19" s="1"/>
  <c r="I435" i="19"/>
  <c r="K427" i="19"/>
  <c r="L427" i="19" s="1"/>
  <c r="I427" i="19"/>
  <c r="K419" i="19"/>
  <c r="L419" i="19" s="1"/>
  <c r="I419" i="19"/>
  <c r="K411" i="19"/>
  <c r="L411" i="19" s="1"/>
  <c r="I411" i="19"/>
  <c r="K403" i="19"/>
  <c r="L403" i="19" s="1"/>
  <c r="I403" i="19"/>
  <c r="K395" i="19"/>
  <c r="L395" i="19" s="1"/>
  <c r="I395" i="19"/>
  <c r="K387" i="19"/>
  <c r="L387" i="19" s="1"/>
  <c r="I387" i="19"/>
  <c r="K379" i="19"/>
  <c r="L379" i="19" s="1"/>
  <c r="I379" i="19"/>
  <c r="K371" i="19"/>
  <c r="L371" i="19" s="1"/>
  <c r="I371" i="19"/>
  <c r="K363" i="19"/>
  <c r="L363" i="19" s="1"/>
  <c r="I363" i="19"/>
  <c r="K355" i="19"/>
  <c r="L355" i="19" s="1"/>
  <c r="I355" i="19"/>
  <c r="K347" i="19"/>
  <c r="L347" i="19" s="1"/>
  <c r="I347" i="19"/>
  <c r="K339" i="19"/>
  <c r="L339" i="19" s="1"/>
  <c r="I339" i="19"/>
  <c r="K331" i="19"/>
  <c r="L331" i="19" s="1"/>
  <c r="I331" i="19"/>
  <c r="K323" i="19"/>
  <c r="L323" i="19" s="1"/>
  <c r="I323" i="19"/>
  <c r="K315" i="19"/>
  <c r="L315" i="19" s="1"/>
  <c r="I315" i="19"/>
  <c r="K307" i="19"/>
  <c r="L307" i="19" s="1"/>
  <c r="I307" i="19"/>
  <c r="K299" i="19"/>
  <c r="L299" i="19" s="1"/>
  <c r="I299" i="19"/>
  <c r="K291" i="19"/>
  <c r="L291" i="19" s="1"/>
  <c r="I291" i="19"/>
  <c r="K283" i="19"/>
  <c r="L283" i="19" s="1"/>
  <c r="I283" i="19"/>
  <c r="K275" i="19"/>
  <c r="L275" i="19" s="1"/>
  <c r="I275" i="19"/>
  <c r="K267" i="19"/>
  <c r="L267" i="19" s="1"/>
  <c r="I267" i="19"/>
  <c r="K259" i="19"/>
  <c r="L259" i="19" s="1"/>
  <c r="I259" i="19"/>
  <c r="K251" i="19"/>
  <c r="L251" i="19" s="1"/>
  <c r="I251" i="19"/>
  <c r="K243" i="19"/>
  <c r="L243" i="19" s="1"/>
  <c r="I243" i="19"/>
  <c r="K235" i="19"/>
  <c r="L235" i="19" s="1"/>
  <c r="I235" i="19"/>
  <c r="K227" i="19"/>
  <c r="L227" i="19" s="1"/>
  <c r="I227" i="19"/>
  <c r="K219" i="19"/>
  <c r="L219" i="19" s="1"/>
  <c r="I219" i="19"/>
  <c r="K211" i="19"/>
  <c r="L211" i="19" s="1"/>
  <c r="I211" i="19"/>
  <c r="K203" i="19"/>
  <c r="I203" i="19"/>
  <c r="K195" i="19"/>
  <c r="L195" i="19" s="1"/>
  <c r="I195" i="19"/>
  <c r="K187" i="19"/>
  <c r="L187" i="19" s="1"/>
  <c r="I187" i="19"/>
  <c r="K179" i="19"/>
  <c r="L179" i="19" s="1"/>
  <c r="I179" i="19"/>
  <c r="K171" i="19"/>
  <c r="L171" i="19" s="1"/>
  <c r="I171" i="19"/>
  <c r="K163" i="19"/>
  <c r="L163" i="19" s="1"/>
  <c r="I163" i="19"/>
  <c r="K155" i="19"/>
  <c r="L155" i="19" s="1"/>
  <c r="I155" i="19"/>
  <c r="K147" i="19"/>
  <c r="L147" i="19" s="1"/>
  <c r="I147" i="19"/>
  <c r="K139" i="19"/>
  <c r="L139" i="19" s="1"/>
  <c r="I139" i="19"/>
  <c r="K131" i="19"/>
  <c r="L131" i="19" s="1"/>
  <c r="I131" i="19"/>
  <c r="K123" i="19"/>
  <c r="L123" i="19" s="1"/>
  <c r="I123" i="19"/>
  <c r="K115" i="19"/>
  <c r="L115" i="19" s="1"/>
  <c r="I115" i="19"/>
  <c r="K107" i="19"/>
  <c r="I107" i="19"/>
  <c r="K99" i="19"/>
  <c r="L99" i="19" s="1"/>
  <c r="I99" i="19"/>
  <c r="K91" i="19"/>
  <c r="L91" i="19" s="1"/>
  <c r="I91" i="19"/>
  <c r="K83" i="19"/>
  <c r="L83" i="19" s="1"/>
  <c r="I83" i="19"/>
  <c r="K75" i="19"/>
  <c r="L75" i="19" s="1"/>
  <c r="I75" i="19"/>
  <c r="K67" i="19"/>
  <c r="L67" i="19" s="1"/>
  <c r="I67" i="19"/>
  <c r="K59" i="19"/>
  <c r="L59" i="19" s="1"/>
  <c r="I59" i="19"/>
  <c r="K51" i="19"/>
  <c r="L51" i="19" s="1"/>
  <c r="I51" i="19"/>
  <c r="K43" i="19"/>
  <c r="L43" i="19" s="1"/>
  <c r="I43" i="19"/>
  <c r="K35" i="19"/>
  <c r="L35" i="19" s="1"/>
  <c r="I35" i="19"/>
  <c r="K27" i="19"/>
  <c r="L27" i="19" s="1"/>
  <c r="I27" i="19"/>
  <c r="K19" i="19"/>
  <c r="L19" i="19" s="1"/>
  <c r="I19" i="19"/>
  <c r="K477" i="19"/>
  <c r="L477" i="19" s="1"/>
  <c r="I477" i="19"/>
  <c r="K437" i="19"/>
  <c r="L437" i="19" s="1"/>
  <c r="I437" i="19"/>
  <c r="K397" i="19"/>
  <c r="L397" i="19" s="1"/>
  <c r="I397" i="19"/>
  <c r="K357" i="19"/>
  <c r="L357" i="19" s="1"/>
  <c r="I357" i="19"/>
  <c r="K317" i="19"/>
  <c r="L317" i="19" s="1"/>
  <c r="I317" i="19"/>
  <c r="K277" i="19"/>
  <c r="L277" i="19" s="1"/>
  <c r="I277" i="19"/>
  <c r="K237" i="19"/>
  <c r="L237" i="19" s="1"/>
  <c r="I237" i="19"/>
  <c r="K197" i="19"/>
  <c r="L197" i="19" s="1"/>
  <c r="I197" i="19"/>
  <c r="K157" i="19"/>
  <c r="L157" i="19" s="1"/>
  <c r="I157" i="19"/>
  <c r="K125" i="19"/>
  <c r="L125" i="19" s="1"/>
  <c r="I125" i="19"/>
  <c r="K85" i="19"/>
  <c r="L85" i="19" s="1"/>
  <c r="I85" i="19"/>
  <c r="K45" i="19"/>
  <c r="L45" i="19" s="1"/>
  <c r="I45" i="19"/>
  <c r="K506" i="19"/>
  <c r="L506" i="19" s="1"/>
  <c r="I506" i="19"/>
  <c r="K498" i="19"/>
  <c r="L498" i="19" s="1"/>
  <c r="I498" i="19"/>
  <c r="K490" i="19"/>
  <c r="L490" i="19" s="1"/>
  <c r="I490" i="19"/>
  <c r="K482" i="19"/>
  <c r="L482" i="19" s="1"/>
  <c r="I482" i="19"/>
  <c r="K474" i="19"/>
  <c r="L474" i="19" s="1"/>
  <c r="I474" i="19"/>
  <c r="K466" i="19"/>
  <c r="L466" i="19" s="1"/>
  <c r="I466" i="19"/>
  <c r="K458" i="19"/>
  <c r="L458" i="19" s="1"/>
  <c r="I458" i="19"/>
  <c r="K450" i="19"/>
  <c r="L450" i="19" s="1"/>
  <c r="I450" i="19"/>
  <c r="K442" i="19"/>
  <c r="L442" i="19" s="1"/>
  <c r="I442" i="19"/>
  <c r="K434" i="19"/>
  <c r="L434" i="19" s="1"/>
  <c r="I434" i="19"/>
  <c r="K426" i="19"/>
  <c r="L426" i="19" s="1"/>
  <c r="I426" i="19"/>
  <c r="K418" i="19"/>
  <c r="L418" i="19" s="1"/>
  <c r="I418" i="19"/>
  <c r="K410" i="19"/>
  <c r="L410" i="19" s="1"/>
  <c r="I410" i="19"/>
  <c r="K402" i="19"/>
  <c r="L402" i="19" s="1"/>
  <c r="I402" i="19"/>
  <c r="K394" i="19"/>
  <c r="L394" i="19" s="1"/>
  <c r="I394" i="19"/>
  <c r="K386" i="19"/>
  <c r="L386" i="19" s="1"/>
  <c r="I386" i="19"/>
  <c r="K378" i="19"/>
  <c r="L378" i="19" s="1"/>
  <c r="I378" i="19"/>
  <c r="K370" i="19"/>
  <c r="L370" i="19" s="1"/>
  <c r="I370" i="19"/>
  <c r="K362" i="19"/>
  <c r="L362" i="19" s="1"/>
  <c r="I362" i="19"/>
  <c r="K354" i="19"/>
  <c r="L354" i="19" s="1"/>
  <c r="I354" i="19"/>
  <c r="K346" i="19"/>
  <c r="L346" i="19" s="1"/>
  <c r="I346" i="19"/>
  <c r="K338" i="19"/>
  <c r="L338" i="19" s="1"/>
  <c r="I338" i="19"/>
  <c r="K330" i="19"/>
  <c r="L330" i="19" s="1"/>
  <c r="I330" i="19"/>
  <c r="K322" i="19"/>
  <c r="L322" i="19" s="1"/>
  <c r="I322" i="19"/>
  <c r="K314" i="19"/>
  <c r="L314" i="19" s="1"/>
  <c r="I314" i="19"/>
  <c r="K306" i="19"/>
  <c r="L306" i="19" s="1"/>
  <c r="I306" i="19"/>
  <c r="K298" i="19"/>
  <c r="L298" i="19" s="1"/>
  <c r="I298" i="19"/>
  <c r="K290" i="19"/>
  <c r="L290" i="19" s="1"/>
  <c r="I290" i="19"/>
  <c r="K282" i="19"/>
  <c r="L282" i="19" s="1"/>
  <c r="I282" i="19"/>
  <c r="K274" i="19"/>
  <c r="L274" i="19" s="1"/>
  <c r="I274" i="19"/>
  <c r="K266" i="19"/>
  <c r="L266" i="19" s="1"/>
  <c r="I266" i="19"/>
  <c r="K258" i="19"/>
  <c r="L258" i="19" s="1"/>
  <c r="I258" i="19"/>
  <c r="K250" i="19"/>
  <c r="L250" i="19" s="1"/>
  <c r="I250" i="19"/>
  <c r="K242" i="19"/>
  <c r="L242" i="19" s="1"/>
  <c r="I242" i="19"/>
  <c r="K234" i="19"/>
  <c r="L234" i="19" s="1"/>
  <c r="I234" i="19"/>
  <c r="K226" i="19"/>
  <c r="L226" i="19" s="1"/>
  <c r="I226" i="19"/>
  <c r="K218" i="19"/>
  <c r="L218" i="19" s="1"/>
  <c r="I218" i="19"/>
  <c r="K210" i="19"/>
  <c r="L210" i="19" s="1"/>
  <c r="I210" i="19"/>
  <c r="K202" i="19"/>
  <c r="L202" i="19" s="1"/>
  <c r="I202" i="19"/>
  <c r="K194" i="19"/>
  <c r="L194" i="19" s="1"/>
  <c r="I194" i="19"/>
  <c r="K186" i="19"/>
  <c r="L186" i="19" s="1"/>
  <c r="I186" i="19"/>
  <c r="K178" i="19"/>
  <c r="L178" i="19" s="1"/>
  <c r="I178" i="19"/>
  <c r="K170" i="19"/>
  <c r="L170" i="19" s="1"/>
  <c r="I170" i="19"/>
  <c r="K162" i="19"/>
  <c r="L162" i="19" s="1"/>
  <c r="I162" i="19"/>
  <c r="K154" i="19"/>
  <c r="L154" i="19" s="1"/>
  <c r="I154" i="19"/>
  <c r="K146" i="19"/>
  <c r="L146" i="19" s="1"/>
  <c r="I146" i="19"/>
  <c r="K138" i="19"/>
  <c r="L138" i="19" s="1"/>
  <c r="I138" i="19"/>
  <c r="K130" i="19"/>
  <c r="L130" i="19" s="1"/>
  <c r="I130" i="19"/>
  <c r="K122" i="19"/>
  <c r="L122" i="19" s="1"/>
  <c r="I122" i="19"/>
  <c r="K114" i="19"/>
  <c r="L114" i="19" s="1"/>
  <c r="I114" i="19"/>
  <c r="K106" i="19"/>
  <c r="L106" i="19" s="1"/>
  <c r="I106" i="19"/>
  <c r="K98" i="19"/>
  <c r="L98" i="19" s="1"/>
  <c r="I98" i="19"/>
  <c r="K90" i="19"/>
  <c r="L90" i="19" s="1"/>
  <c r="I90" i="19"/>
  <c r="K82" i="19"/>
  <c r="L82" i="19" s="1"/>
  <c r="I82" i="19"/>
  <c r="K74" i="19"/>
  <c r="L74" i="19" s="1"/>
  <c r="I74" i="19"/>
  <c r="K66" i="19"/>
  <c r="L66" i="19" s="1"/>
  <c r="I66" i="19"/>
  <c r="K58" i="19"/>
  <c r="L58" i="19" s="1"/>
  <c r="I58" i="19"/>
  <c r="K50" i="19"/>
  <c r="L50" i="19" s="1"/>
  <c r="I50" i="19"/>
  <c r="K42" i="19"/>
  <c r="L42" i="19" s="1"/>
  <c r="I42" i="19"/>
  <c r="K34" i="19"/>
  <c r="L34" i="19" s="1"/>
  <c r="I34" i="19"/>
  <c r="K26" i="19"/>
  <c r="L26" i="19" s="1"/>
  <c r="I26" i="19"/>
  <c r="K18" i="19"/>
  <c r="L18" i="19" s="1"/>
  <c r="I18" i="19"/>
  <c r="K469" i="19"/>
  <c r="L469" i="19" s="1"/>
  <c r="I469" i="19"/>
  <c r="K429" i="19"/>
  <c r="L429" i="19" s="1"/>
  <c r="I429" i="19"/>
  <c r="K389" i="19"/>
  <c r="L389" i="19" s="1"/>
  <c r="I389" i="19"/>
  <c r="K349" i="19"/>
  <c r="L349" i="19" s="1"/>
  <c r="I349" i="19"/>
  <c r="K309" i="19"/>
  <c r="L309" i="19" s="1"/>
  <c r="I309" i="19"/>
  <c r="K269" i="19"/>
  <c r="L269" i="19" s="1"/>
  <c r="I269" i="19"/>
  <c r="K229" i="19"/>
  <c r="L229" i="19" s="1"/>
  <c r="I229" i="19"/>
  <c r="K181" i="19"/>
  <c r="L181" i="19" s="1"/>
  <c r="I181" i="19"/>
  <c r="K149" i="19"/>
  <c r="L149" i="19" s="1"/>
  <c r="I149" i="19"/>
  <c r="K109" i="19"/>
  <c r="L109" i="19" s="1"/>
  <c r="I109" i="19"/>
  <c r="K61" i="19"/>
  <c r="L61" i="19" s="1"/>
  <c r="I61" i="19"/>
  <c r="K13" i="19"/>
  <c r="L13" i="19" s="1"/>
  <c r="I13" i="19"/>
  <c r="K505" i="19"/>
  <c r="L505" i="19" s="1"/>
  <c r="I505" i="19"/>
  <c r="K497" i="19"/>
  <c r="L497" i="19" s="1"/>
  <c r="I497" i="19"/>
  <c r="K489" i="19"/>
  <c r="L489" i="19" s="1"/>
  <c r="I489" i="19"/>
  <c r="K481" i="19"/>
  <c r="L481" i="19" s="1"/>
  <c r="I481" i="19"/>
  <c r="K473" i="19"/>
  <c r="L473" i="19" s="1"/>
  <c r="I473" i="19"/>
  <c r="K465" i="19"/>
  <c r="L465" i="19" s="1"/>
  <c r="I465" i="19"/>
  <c r="K457" i="19"/>
  <c r="L457" i="19" s="1"/>
  <c r="I457" i="19"/>
  <c r="K449" i="19"/>
  <c r="L449" i="19" s="1"/>
  <c r="I449" i="19"/>
  <c r="K441" i="19"/>
  <c r="L441" i="19" s="1"/>
  <c r="I441" i="19"/>
  <c r="K433" i="19"/>
  <c r="L433" i="19" s="1"/>
  <c r="I433" i="19"/>
  <c r="K425" i="19"/>
  <c r="L425" i="19" s="1"/>
  <c r="I425" i="19"/>
  <c r="K417" i="19"/>
  <c r="L417" i="19" s="1"/>
  <c r="I417" i="19"/>
  <c r="K409" i="19"/>
  <c r="L409" i="19" s="1"/>
  <c r="I409" i="19"/>
  <c r="K401" i="19"/>
  <c r="L401" i="19" s="1"/>
  <c r="I401" i="19"/>
  <c r="K393" i="19"/>
  <c r="L393" i="19" s="1"/>
  <c r="I393" i="19"/>
  <c r="K385" i="19"/>
  <c r="L385" i="19" s="1"/>
  <c r="I385" i="19"/>
  <c r="K377" i="19"/>
  <c r="L377" i="19" s="1"/>
  <c r="I377" i="19"/>
  <c r="K369" i="19"/>
  <c r="L369" i="19" s="1"/>
  <c r="I369" i="19"/>
  <c r="K361" i="19"/>
  <c r="L361" i="19" s="1"/>
  <c r="I361" i="19"/>
  <c r="K353" i="19"/>
  <c r="L353" i="19" s="1"/>
  <c r="I353" i="19"/>
  <c r="K345" i="19"/>
  <c r="L345" i="19" s="1"/>
  <c r="I345" i="19"/>
  <c r="K337" i="19"/>
  <c r="L337" i="19" s="1"/>
  <c r="I337" i="19"/>
  <c r="K329" i="19"/>
  <c r="L329" i="19" s="1"/>
  <c r="I329" i="19"/>
  <c r="K321" i="19"/>
  <c r="L321" i="19" s="1"/>
  <c r="I321" i="19"/>
  <c r="K313" i="19"/>
  <c r="L313" i="19" s="1"/>
  <c r="I313" i="19"/>
  <c r="K305" i="19"/>
  <c r="L305" i="19" s="1"/>
  <c r="I305" i="19"/>
  <c r="K297" i="19"/>
  <c r="L297" i="19" s="1"/>
  <c r="I297" i="19"/>
  <c r="K289" i="19"/>
  <c r="L289" i="19" s="1"/>
  <c r="I289" i="19"/>
  <c r="K281" i="19"/>
  <c r="L281" i="19" s="1"/>
  <c r="I281" i="19"/>
  <c r="K273" i="19"/>
  <c r="L273" i="19" s="1"/>
  <c r="I273" i="19"/>
  <c r="K265" i="19"/>
  <c r="L265" i="19" s="1"/>
  <c r="I265" i="19"/>
  <c r="K257" i="19"/>
  <c r="L257" i="19" s="1"/>
  <c r="I257" i="19"/>
  <c r="K249" i="19"/>
  <c r="L249" i="19" s="1"/>
  <c r="I249" i="19"/>
  <c r="K241" i="19"/>
  <c r="L241" i="19" s="1"/>
  <c r="I241" i="19"/>
  <c r="K233" i="19"/>
  <c r="L233" i="19" s="1"/>
  <c r="I233" i="19"/>
  <c r="K225" i="19"/>
  <c r="L225" i="19" s="1"/>
  <c r="I225" i="19"/>
  <c r="K217" i="19"/>
  <c r="L217" i="19" s="1"/>
  <c r="I217" i="19"/>
  <c r="K209" i="19"/>
  <c r="L209" i="19" s="1"/>
  <c r="I209" i="19"/>
  <c r="K201" i="19"/>
  <c r="L201" i="19" s="1"/>
  <c r="I201" i="19"/>
  <c r="K193" i="19"/>
  <c r="L193" i="19" s="1"/>
  <c r="I193" i="19"/>
  <c r="K185" i="19"/>
  <c r="L185" i="19" s="1"/>
  <c r="I185" i="19"/>
  <c r="K177" i="19"/>
  <c r="L177" i="19" s="1"/>
  <c r="I177" i="19"/>
  <c r="K169" i="19"/>
  <c r="L169" i="19" s="1"/>
  <c r="I169" i="19"/>
  <c r="K161" i="19"/>
  <c r="L161" i="19" s="1"/>
  <c r="I161" i="19"/>
  <c r="K153" i="19"/>
  <c r="L153" i="19" s="1"/>
  <c r="I153" i="19"/>
  <c r="K145" i="19"/>
  <c r="L145" i="19" s="1"/>
  <c r="I145" i="19"/>
  <c r="K137" i="19"/>
  <c r="L137" i="19" s="1"/>
  <c r="I137" i="19"/>
  <c r="K129" i="19"/>
  <c r="L129" i="19" s="1"/>
  <c r="I129" i="19"/>
  <c r="K121" i="19"/>
  <c r="L121" i="19" s="1"/>
  <c r="I121" i="19"/>
  <c r="K113" i="19"/>
  <c r="L113" i="19" s="1"/>
  <c r="I113" i="19"/>
  <c r="K105" i="19"/>
  <c r="L105" i="19" s="1"/>
  <c r="I105" i="19"/>
  <c r="K97" i="19"/>
  <c r="L97" i="19" s="1"/>
  <c r="I97" i="19"/>
  <c r="K89" i="19"/>
  <c r="L89" i="19" s="1"/>
  <c r="I89" i="19"/>
  <c r="K81" i="19"/>
  <c r="L81" i="19" s="1"/>
  <c r="I81" i="19"/>
  <c r="K73" i="19"/>
  <c r="L73" i="19" s="1"/>
  <c r="I73" i="19"/>
  <c r="K65" i="19"/>
  <c r="L65" i="19" s="1"/>
  <c r="I65" i="19"/>
  <c r="K57" i="19"/>
  <c r="L57" i="19" s="1"/>
  <c r="I57" i="19"/>
  <c r="K49" i="19"/>
  <c r="L49" i="19" s="1"/>
  <c r="I49" i="19"/>
  <c r="K41" i="19"/>
  <c r="L41" i="19" s="1"/>
  <c r="I41" i="19"/>
  <c r="K33" i="19"/>
  <c r="L33" i="19" s="1"/>
  <c r="I33" i="19"/>
  <c r="K25" i="19"/>
  <c r="L25" i="19" s="1"/>
  <c r="I25" i="19"/>
  <c r="K17" i="19"/>
  <c r="L17" i="19" s="1"/>
  <c r="I17" i="19"/>
  <c r="K493" i="19"/>
  <c r="L493" i="19" s="1"/>
  <c r="I493" i="19"/>
  <c r="K453" i="19"/>
  <c r="L453" i="19" s="1"/>
  <c r="I453" i="19"/>
  <c r="K413" i="19"/>
  <c r="L413" i="19" s="1"/>
  <c r="I413" i="19"/>
  <c r="K373" i="19"/>
  <c r="L373" i="19" s="1"/>
  <c r="I373" i="19"/>
  <c r="K333" i="19"/>
  <c r="L333" i="19" s="1"/>
  <c r="I333" i="19"/>
  <c r="K293" i="19"/>
  <c r="L293" i="19" s="1"/>
  <c r="I293" i="19"/>
  <c r="K261" i="19"/>
  <c r="L261" i="19" s="1"/>
  <c r="I261" i="19"/>
  <c r="K221" i="19"/>
  <c r="L221" i="19" s="1"/>
  <c r="I221" i="19"/>
  <c r="K189" i="19"/>
  <c r="L189" i="19" s="1"/>
  <c r="I189" i="19"/>
  <c r="K165" i="19"/>
  <c r="L165" i="19" s="1"/>
  <c r="I165" i="19"/>
  <c r="K117" i="19"/>
  <c r="L117" i="19" s="1"/>
  <c r="I117" i="19"/>
  <c r="K77" i="19"/>
  <c r="L77" i="19" s="1"/>
  <c r="I77" i="19"/>
  <c r="K21" i="19"/>
  <c r="L21" i="19" s="1"/>
  <c r="I21" i="19"/>
  <c r="J11" i="19"/>
  <c r="K504" i="19"/>
  <c r="L504" i="19" s="1"/>
  <c r="I504" i="19"/>
  <c r="K496" i="19"/>
  <c r="L496" i="19" s="1"/>
  <c r="I496" i="19"/>
  <c r="K488" i="19"/>
  <c r="L488" i="19" s="1"/>
  <c r="I488" i="19"/>
  <c r="K480" i="19"/>
  <c r="L480" i="19" s="1"/>
  <c r="I480" i="19"/>
  <c r="K472" i="19"/>
  <c r="L472" i="19" s="1"/>
  <c r="I472" i="19"/>
  <c r="K464" i="19"/>
  <c r="L464" i="19" s="1"/>
  <c r="I464" i="19"/>
  <c r="K456" i="19"/>
  <c r="L456" i="19" s="1"/>
  <c r="I456" i="19"/>
  <c r="K448" i="19"/>
  <c r="L448" i="19" s="1"/>
  <c r="I448" i="19"/>
  <c r="K440" i="19"/>
  <c r="L440" i="19" s="1"/>
  <c r="I440" i="19"/>
  <c r="K432" i="19"/>
  <c r="L432" i="19" s="1"/>
  <c r="I432" i="19"/>
  <c r="K424" i="19"/>
  <c r="L424" i="19" s="1"/>
  <c r="I424" i="19"/>
  <c r="K416" i="19"/>
  <c r="L416" i="19" s="1"/>
  <c r="I416" i="19"/>
  <c r="K408" i="19"/>
  <c r="L408" i="19" s="1"/>
  <c r="I408" i="19"/>
  <c r="K400" i="19"/>
  <c r="L400" i="19" s="1"/>
  <c r="I400" i="19"/>
  <c r="K392" i="19"/>
  <c r="L392" i="19" s="1"/>
  <c r="I392" i="19"/>
  <c r="K384" i="19"/>
  <c r="L384" i="19" s="1"/>
  <c r="I384" i="19"/>
  <c r="K376" i="19"/>
  <c r="L376" i="19" s="1"/>
  <c r="I376" i="19"/>
  <c r="K368" i="19"/>
  <c r="L368" i="19" s="1"/>
  <c r="I368" i="19"/>
  <c r="K360" i="19"/>
  <c r="L360" i="19" s="1"/>
  <c r="I360" i="19"/>
  <c r="K352" i="19"/>
  <c r="L352" i="19" s="1"/>
  <c r="I352" i="19"/>
  <c r="K344" i="19"/>
  <c r="L344" i="19" s="1"/>
  <c r="I344" i="19"/>
  <c r="K336" i="19"/>
  <c r="L336" i="19" s="1"/>
  <c r="I336" i="19"/>
  <c r="K328" i="19"/>
  <c r="L328" i="19" s="1"/>
  <c r="I328" i="19"/>
  <c r="K320" i="19"/>
  <c r="L320" i="19" s="1"/>
  <c r="I320" i="19"/>
  <c r="K312" i="19"/>
  <c r="L312" i="19" s="1"/>
  <c r="I312" i="19"/>
  <c r="K304" i="19"/>
  <c r="L304" i="19" s="1"/>
  <c r="I304" i="19"/>
  <c r="K296" i="19"/>
  <c r="L296" i="19" s="1"/>
  <c r="I296" i="19"/>
  <c r="K288" i="19"/>
  <c r="L288" i="19" s="1"/>
  <c r="I288" i="19"/>
  <c r="K280" i="19"/>
  <c r="L280" i="19" s="1"/>
  <c r="I280" i="19"/>
  <c r="K272" i="19"/>
  <c r="L272" i="19" s="1"/>
  <c r="I272" i="19"/>
  <c r="K264" i="19"/>
  <c r="L264" i="19" s="1"/>
  <c r="I264" i="19"/>
  <c r="K256" i="19"/>
  <c r="L256" i="19" s="1"/>
  <c r="I256" i="19"/>
  <c r="K248" i="19"/>
  <c r="L248" i="19" s="1"/>
  <c r="I248" i="19"/>
  <c r="K240" i="19"/>
  <c r="L240" i="19" s="1"/>
  <c r="I240" i="19"/>
  <c r="K232" i="19"/>
  <c r="L232" i="19" s="1"/>
  <c r="I232" i="19"/>
  <c r="K224" i="19"/>
  <c r="L224" i="19" s="1"/>
  <c r="I224" i="19"/>
  <c r="K216" i="19"/>
  <c r="L216" i="19" s="1"/>
  <c r="I216" i="19"/>
  <c r="K208" i="19"/>
  <c r="L208" i="19" s="1"/>
  <c r="I208" i="19"/>
  <c r="K200" i="19"/>
  <c r="L200" i="19" s="1"/>
  <c r="I200" i="19"/>
  <c r="K192" i="19"/>
  <c r="L192" i="19" s="1"/>
  <c r="I192" i="19"/>
  <c r="K184" i="19"/>
  <c r="L184" i="19" s="1"/>
  <c r="I184" i="19"/>
  <c r="K176" i="19"/>
  <c r="L176" i="19" s="1"/>
  <c r="I176" i="19"/>
  <c r="K168" i="19"/>
  <c r="L168" i="19" s="1"/>
  <c r="I168" i="19"/>
  <c r="K160" i="19"/>
  <c r="L160" i="19" s="1"/>
  <c r="I160" i="19"/>
  <c r="K152" i="19"/>
  <c r="L152" i="19" s="1"/>
  <c r="I152" i="19"/>
  <c r="K144" i="19"/>
  <c r="L144" i="19" s="1"/>
  <c r="I144" i="19"/>
  <c r="K136" i="19"/>
  <c r="L136" i="19" s="1"/>
  <c r="I136" i="19"/>
  <c r="K128" i="19"/>
  <c r="L128" i="19" s="1"/>
  <c r="I128" i="19"/>
  <c r="K120" i="19"/>
  <c r="L120" i="19" s="1"/>
  <c r="I120" i="19"/>
  <c r="K112" i="19"/>
  <c r="L112" i="19" s="1"/>
  <c r="I112" i="19"/>
  <c r="K104" i="19"/>
  <c r="L104" i="19" s="1"/>
  <c r="I104" i="19"/>
  <c r="K96" i="19"/>
  <c r="L96" i="19" s="1"/>
  <c r="I96" i="19"/>
  <c r="K88" i="19"/>
  <c r="L88" i="19" s="1"/>
  <c r="I88" i="19"/>
  <c r="K80" i="19"/>
  <c r="L80" i="19" s="1"/>
  <c r="I80" i="19"/>
  <c r="K72" i="19"/>
  <c r="L72" i="19" s="1"/>
  <c r="I72" i="19"/>
  <c r="K64" i="19"/>
  <c r="L64" i="19" s="1"/>
  <c r="I64" i="19"/>
  <c r="K56" i="19"/>
  <c r="L56" i="19" s="1"/>
  <c r="I56" i="19"/>
  <c r="K48" i="19"/>
  <c r="L48" i="19" s="1"/>
  <c r="I48" i="19"/>
  <c r="K40" i="19"/>
  <c r="L40" i="19" s="1"/>
  <c r="I40" i="19"/>
  <c r="K32" i="19"/>
  <c r="L32" i="19" s="1"/>
  <c r="I32" i="19"/>
  <c r="K24" i="19"/>
  <c r="L24" i="19" s="1"/>
  <c r="I24" i="19"/>
  <c r="K16" i="19"/>
  <c r="L16" i="19" s="1"/>
  <c r="I16" i="19"/>
  <c r="I503" i="19"/>
  <c r="K503" i="19"/>
  <c r="L503" i="19" s="1"/>
  <c r="K495" i="19"/>
  <c r="L495" i="19" s="1"/>
  <c r="I495" i="19"/>
  <c r="K487" i="19"/>
  <c r="L487" i="19" s="1"/>
  <c r="I487" i="19"/>
  <c r="K479" i="19"/>
  <c r="L479" i="19" s="1"/>
  <c r="I479" i="19"/>
  <c r="K471" i="19"/>
  <c r="L471" i="19" s="1"/>
  <c r="I471" i="19"/>
  <c r="I463" i="19"/>
  <c r="K463" i="19"/>
  <c r="L463" i="19" s="1"/>
  <c r="I455" i="19"/>
  <c r="K455" i="19"/>
  <c r="L455" i="19" s="1"/>
  <c r="I447" i="19"/>
  <c r="K447" i="19"/>
  <c r="L447" i="19" s="1"/>
  <c r="K439" i="19"/>
  <c r="L439" i="19" s="1"/>
  <c r="I439" i="19"/>
  <c r="K431" i="19"/>
  <c r="L431" i="19" s="1"/>
  <c r="I431" i="19"/>
  <c r="K423" i="19"/>
  <c r="L423" i="19" s="1"/>
  <c r="I423" i="19"/>
  <c r="K415" i="19"/>
  <c r="L415" i="19" s="1"/>
  <c r="I415" i="19"/>
  <c r="K407" i="19"/>
  <c r="L407" i="19" s="1"/>
  <c r="I407" i="19"/>
  <c r="K399" i="19"/>
  <c r="L399" i="19" s="1"/>
  <c r="I399" i="19"/>
  <c r="K391" i="19"/>
  <c r="L391" i="19" s="1"/>
  <c r="I391" i="19"/>
  <c r="I383" i="19"/>
  <c r="K383" i="19"/>
  <c r="L383" i="19" s="1"/>
  <c r="I375" i="19"/>
  <c r="K375" i="19"/>
  <c r="L375" i="19" s="1"/>
  <c r="K367" i="19"/>
  <c r="L367" i="19" s="1"/>
  <c r="I367" i="19"/>
  <c r="K359" i="19"/>
  <c r="L359" i="19" s="1"/>
  <c r="I359" i="19"/>
  <c r="K351" i="19"/>
  <c r="L351" i="19" s="1"/>
  <c r="I351" i="19"/>
  <c r="K343" i="19"/>
  <c r="L343" i="19" s="1"/>
  <c r="I343" i="19"/>
  <c r="I335" i="19"/>
  <c r="K335" i="19"/>
  <c r="L335" i="19" s="1"/>
  <c r="I327" i="19"/>
  <c r="K327" i="19"/>
  <c r="L327" i="19" s="1"/>
  <c r="I319" i="19"/>
  <c r="K319" i="19"/>
  <c r="L319" i="19" s="1"/>
  <c r="K311" i="19"/>
  <c r="L311" i="19" s="1"/>
  <c r="I311" i="19"/>
  <c r="K303" i="19"/>
  <c r="L303" i="19" s="1"/>
  <c r="I303" i="19"/>
  <c r="K295" i="19"/>
  <c r="L295" i="19" s="1"/>
  <c r="I295" i="19"/>
  <c r="K287" i="19"/>
  <c r="L287" i="19" s="1"/>
  <c r="I287" i="19"/>
  <c r="K279" i="19"/>
  <c r="L279" i="19" s="1"/>
  <c r="I279" i="19"/>
  <c r="K271" i="19"/>
  <c r="L271" i="19" s="1"/>
  <c r="I271" i="19"/>
  <c r="K263" i="19"/>
  <c r="L263" i="19" s="1"/>
  <c r="I263" i="19"/>
  <c r="I255" i="19"/>
  <c r="K255" i="19"/>
  <c r="L255" i="19" s="1"/>
  <c r="K247" i="19"/>
  <c r="L247" i="19" s="1"/>
  <c r="I247" i="19"/>
  <c r="K239" i="19"/>
  <c r="L239" i="19" s="1"/>
  <c r="I239" i="19"/>
  <c r="K231" i="19"/>
  <c r="L231" i="19" s="1"/>
  <c r="I231" i="19"/>
  <c r="K223" i="19"/>
  <c r="L223" i="19" s="1"/>
  <c r="I223" i="19"/>
  <c r="K215" i="19"/>
  <c r="L215" i="19" s="1"/>
  <c r="I215" i="19"/>
  <c r="K207" i="19"/>
  <c r="L207" i="19" s="1"/>
  <c r="I207" i="19"/>
  <c r="K199" i="19"/>
  <c r="L199" i="19" s="1"/>
  <c r="I199" i="19"/>
  <c r="K191" i="19"/>
  <c r="L191" i="19" s="1"/>
  <c r="I191" i="19"/>
  <c r="K183" i="19"/>
  <c r="L183" i="19" s="1"/>
  <c r="I183" i="19"/>
  <c r="K175" i="19"/>
  <c r="L175" i="19" s="1"/>
  <c r="I175" i="19"/>
  <c r="K167" i="19"/>
  <c r="L167" i="19" s="1"/>
  <c r="I167" i="19"/>
  <c r="K159" i="19"/>
  <c r="L159" i="19" s="1"/>
  <c r="I159" i="19"/>
  <c r="K151" i="19"/>
  <c r="L151" i="19" s="1"/>
  <c r="I151" i="19"/>
  <c r="K143" i="19"/>
  <c r="L143" i="19" s="1"/>
  <c r="I143" i="19"/>
  <c r="K135" i="19"/>
  <c r="L135" i="19" s="1"/>
  <c r="I135" i="19"/>
  <c r="K127" i="19"/>
  <c r="L127" i="19" s="1"/>
  <c r="I127" i="19"/>
  <c r="K119" i="19"/>
  <c r="L119" i="19" s="1"/>
  <c r="I119" i="19"/>
  <c r="K111" i="19"/>
  <c r="L111" i="19" s="1"/>
  <c r="I111" i="19"/>
  <c r="K103" i="19"/>
  <c r="L103" i="19" s="1"/>
  <c r="I103" i="19"/>
  <c r="K95" i="19"/>
  <c r="L95" i="19" s="1"/>
  <c r="I95" i="19"/>
  <c r="K87" i="19"/>
  <c r="L87" i="19" s="1"/>
  <c r="I87" i="19"/>
  <c r="K79" i="19"/>
  <c r="L79" i="19" s="1"/>
  <c r="I79" i="19"/>
  <c r="K71" i="19"/>
  <c r="L71" i="19" s="1"/>
  <c r="I71" i="19"/>
  <c r="K63" i="19"/>
  <c r="L63" i="19" s="1"/>
  <c r="I63" i="19"/>
  <c r="K55" i="19"/>
  <c r="L55" i="19" s="1"/>
  <c r="I55" i="19"/>
  <c r="K47" i="19"/>
  <c r="L47" i="19" s="1"/>
  <c r="I47" i="19"/>
  <c r="K39" i="19"/>
  <c r="L39" i="19" s="1"/>
  <c r="I39" i="19"/>
  <c r="K31" i="19"/>
  <c r="L31" i="19" s="1"/>
  <c r="I31" i="19"/>
  <c r="K23" i="19"/>
  <c r="L23" i="19" s="1"/>
  <c r="I23" i="19"/>
  <c r="K15" i="19"/>
  <c r="L15" i="19" s="1"/>
  <c r="I15" i="19"/>
  <c r="J203" i="19"/>
  <c r="J107" i="19"/>
  <c r="K11" i="19"/>
  <c r="K502" i="19"/>
  <c r="L502" i="19" s="1"/>
  <c r="I502" i="19"/>
  <c r="K494" i="19"/>
  <c r="L494" i="19" s="1"/>
  <c r="I494" i="19"/>
  <c r="K486" i="19"/>
  <c r="L486" i="19" s="1"/>
  <c r="I486" i="19"/>
  <c r="K478" i="19"/>
  <c r="L478" i="19" s="1"/>
  <c r="I478" i="19"/>
  <c r="K470" i="19"/>
  <c r="L470" i="19" s="1"/>
  <c r="I470" i="19"/>
  <c r="K462" i="19"/>
  <c r="L462" i="19" s="1"/>
  <c r="I462" i="19"/>
  <c r="K454" i="19"/>
  <c r="L454" i="19" s="1"/>
  <c r="I454" i="19"/>
  <c r="K446" i="19"/>
  <c r="L446" i="19" s="1"/>
  <c r="I446" i="19"/>
  <c r="K438" i="19"/>
  <c r="L438" i="19" s="1"/>
  <c r="I438" i="19"/>
  <c r="K430" i="19"/>
  <c r="L430" i="19" s="1"/>
  <c r="I430" i="19"/>
  <c r="K422" i="19"/>
  <c r="L422" i="19" s="1"/>
  <c r="I422" i="19"/>
  <c r="K414" i="19"/>
  <c r="L414" i="19" s="1"/>
  <c r="I414" i="19"/>
  <c r="K406" i="19"/>
  <c r="L406" i="19" s="1"/>
  <c r="I406" i="19"/>
  <c r="K398" i="19"/>
  <c r="L398" i="19" s="1"/>
  <c r="I398" i="19"/>
  <c r="K390" i="19"/>
  <c r="L390" i="19" s="1"/>
  <c r="I390" i="19"/>
  <c r="K382" i="19"/>
  <c r="L382" i="19" s="1"/>
  <c r="I382" i="19"/>
  <c r="K374" i="19"/>
  <c r="L374" i="19" s="1"/>
  <c r="I374" i="19"/>
  <c r="K366" i="19"/>
  <c r="L366" i="19" s="1"/>
  <c r="I366" i="19"/>
  <c r="K358" i="19"/>
  <c r="L358" i="19" s="1"/>
  <c r="I358" i="19"/>
  <c r="K350" i="19"/>
  <c r="L350" i="19" s="1"/>
  <c r="I350" i="19"/>
  <c r="K342" i="19"/>
  <c r="L342" i="19" s="1"/>
  <c r="I342" i="19"/>
  <c r="K334" i="19"/>
  <c r="L334" i="19" s="1"/>
  <c r="I334" i="19"/>
  <c r="K326" i="19"/>
  <c r="L326" i="19" s="1"/>
  <c r="I326" i="19"/>
  <c r="K318" i="19"/>
  <c r="L318" i="19" s="1"/>
  <c r="I318" i="19"/>
  <c r="K310" i="19"/>
  <c r="L310" i="19" s="1"/>
  <c r="I310" i="19"/>
  <c r="K302" i="19"/>
  <c r="L302" i="19" s="1"/>
  <c r="I302" i="19"/>
  <c r="K294" i="19"/>
  <c r="L294" i="19" s="1"/>
  <c r="I294" i="19"/>
  <c r="K286" i="19"/>
  <c r="L286" i="19" s="1"/>
  <c r="I286" i="19"/>
  <c r="K278" i="19"/>
  <c r="L278" i="19" s="1"/>
  <c r="I278" i="19"/>
  <c r="K270" i="19"/>
  <c r="L270" i="19" s="1"/>
  <c r="I270" i="19"/>
  <c r="K262" i="19"/>
  <c r="L262" i="19" s="1"/>
  <c r="I262" i="19"/>
  <c r="K254" i="19"/>
  <c r="L254" i="19" s="1"/>
  <c r="I254" i="19"/>
  <c r="K246" i="19"/>
  <c r="L246" i="19" s="1"/>
  <c r="I246" i="19"/>
  <c r="K238" i="19"/>
  <c r="L238" i="19" s="1"/>
  <c r="I238" i="19"/>
  <c r="K230" i="19"/>
  <c r="L230" i="19" s="1"/>
  <c r="I230" i="19"/>
  <c r="K222" i="19"/>
  <c r="L222" i="19" s="1"/>
  <c r="I222" i="19"/>
  <c r="K214" i="19"/>
  <c r="L214" i="19" s="1"/>
  <c r="I214" i="19"/>
  <c r="K206" i="19"/>
  <c r="L206" i="19" s="1"/>
  <c r="I206" i="19"/>
  <c r="K198" i="19"/>
  <c r="L198" i="19" s="1"/>
  <c r="I198" i="19"/>
  <c r="K190" i="19"/>
  <c r="L190" i="19" s="1"/>
  <c r="I190" i="19"/>
  <c r="K182" i="19"/>
  <c r="L182" i="19" s="1"/>
  <c r="I182" i="19"/>
  <c r="K174" i="19"/>
  <c r="L174" i="19" s="1"/>
  <c r="I174" i="19"/>
  <c r="K166" i="19"/>
  <c r="L166" i="19" s="1"/>
  <c r="I166" i="19"/>
  <c r="K158" i="19"/>
  <c r="L158" i="19" s="1"/>
  <c r="I158" i="19"/>
  <c r="K150" i="19"/>
  <c r="L150" i="19" s="1"/>
  <c r="I150" i="19"/>
  <c r="K142" i="19"/>
  <c r="L142" i="19" s="1"/>
  <c r="I142" i="19"/>
  <c r="K134" i="19"/>
  <c r="L134" i="19" s="1"/>
  <c r="I134" i="19"/>
  <c r="K126" i="19"/>
  <c r="L126" i="19" s="1"/>
  <c r="I126" i="19"/>
  <c r="K118" i="19"/>
  <c r="L118" i="19" s="1"/>
  <c r="I118" i="19"/>
  <c r="K110" i="19"/>
  <c r="L110" i="19" s="1"/>
  <c r="I110" i="19"/>
  <c r="K102" i="19"/>
  <c r="L102" i="19" s="1"/>
  <c r="I102" i="19"/>
  <c r="K94" i="19"/>
  <c r="L94" i="19" s="1"/>
  <c r="I94" i="19"/>
  <c r="K86" i="19"/>
  <c r="L86" i="19" s="1"/>
  <c r="I86" i="19"/>
  <c r="K78" i="19"/>
  <c r="L78" i="19" s="1"/>
  <c r="I78" i="19"/>
  <c r="K70" i="19"/>
  <c r="L70" i="19" s="1"/>
  <c r="I70" i="19"/>
  <c r="K62" i="19"/>
  <c r="L62" i="19" s="1"/>
  <c r="I62" i="19"/>
  <c r="K54" i="19"/>
  <c r="L54" i="19" s="1"/>
  <c r="I54" i="19"/>
  <c r="K46" i="19"/>
  <c r="L46" i="19" s="1"/>
  <c r="I46" i="19"/>
  <c r="K38" i="19"/>
  <c r="L38" i="19" s="1"/>
  <c r="I38" i="19"/>
  <c r="K30" i="19"/>
  <c r="L30" i="19" s="1"/>
  <c r="I30" i="19"/>
  <c r="K22" i="19"/>
  <c r="L22" i="19" s="1"/>
  <c r="I22" i="19"/>
  <c r="K14" i="19"/>
  <c r="L14" i="19" s="1"/>
  <c r="I14" i="19"/>
  <c r="K501" i="19"/>
  <c r="L501" i="19" s="1"/>
  <c r="I501" i="19"/>
  <c r="K461" i="19"/>
  <c r="L461" i="19" s="1"/>
  <c r="I461" i="19"/>
  <c r="K421" i="19"/>
  <c r="L421" i="19" s="1"/>
  <c r="I421" i="19"/>
  <c r="K381" i="19"/>
  <c r="L381" i="19" s="1"/>
  <c r="I381" i="19"/>
  <c r="K341" i="19"/>
  <c r="L341" i="19" s="1"/>
  <c r="I341" i="19"/>
  <c r="K301" i="19"/>
  <c r="L301" i="19" s="1"/>
  <c r="I301" i="19"/>
  <c r="K253" i="19"/>
  <c r="L253" i="19" s="1"/>
  <c r="I253" i="19"/>
  <c r="K205" i="19"/>
  <c r="L205" i="19" s="1"/>
  <c r="I205" i="19"/>
  <c r="K141" i="19"/>
  <c r="L141" i="19" s="1"/>
  <c r="I141" i="19"/>
  <c r="K93" i="19"/>
  <c r="L93" i="19" s="1"/>
  <c r="I93" i="19"/>
  <c r="K53" i="19"/>
  <c r="L53" i="19" s="1"/>
  <c r="I53" i="19"/>
  <c r="K29" i="19"/>
  <c r="L29" i="19" s="1"/>
  <c r="I29" i="19"/>
  <c r="K500" i="19"/>
  <c r="L500" i="19" s="1"/>
  <c r="I500" i="19"/>
  <c r="K492" i="19"/>
  <c r="L492" i="19" s="1"/>
  <c r="I492" i="19"/>
  <c r="K484" i="19"/>
  <c r="L484" i="19" s="1"/>
  <c r="I484" i="19"/>
  <c r="K476" i="19"/>
  <c r="L476" i="19" s="1"/>
  <c r="I476" i="19"/>
  <c r="K468" i="19"/>
  <c r="L468" i="19" s="1"/>
  <c r="I468" i="19"/>
  <c r="K460" i="19"/>
  <c r="L460" i="19" s="1"/>
  <c r="I460" i="19"/>
  <c r="K452" i="19"/>
  <c r="L452" i="19" s="1"/>
  <c r="I452" i="19"/>
  <c r="K444" i="19"/>
  <c r="L444" i="19" s="1"/>
  <c r="I444" i="19"/>
  <c r="K436" i="19"/>
  <c r="L436" i="19" s="1"/>
  <c r="I436" i="19"/>
  <c r="K428" i="19"/>
  <c r="L428" i="19" s="1"/>
  <c r="I428" i="19"/>
  <c r="K420" i="19"/>
  <c r="L420" i="19" s="1"/>
  <c r="I420" i="19"/>
  <c r="K412" i="19"/>
  <c r="L412" i="19" s="1"/>
  <c r="I412" i="19"/>
  <c r="K404" i="19"/>
  <c r="L404" i="19" s="1"/>
  <c r="I404" i="19"/>
  <c r="K396" i="19"/>
  <c r="L396" i="19" s="1"/>
  <c r="I396" i="19"/>
  <c r="K388" i="19"/>
  <c r="L388" i="19" s="1"/>
  <c r="I388" i="19"/>
  <c r="K380" i="19"/>
  <c r="L380" i="19" s="1"/>
  <c r="I380" i="19"/>
  <c r="K372" i="19"/>
  <c r="L372" i="19" s="1"/>
  <c r="I372" i="19"/>
  <c r="K364" i="19"/>
  <c r="L364" i="19" s="1"/>
  <c r="I364" i="19"/>
  <c r="K356" i="19"/>
  <c r="L356" i="19" s="1"/>
  <c r="I356" i="19"/>
  <c r="K348" i="19"/>
  <c r="L348" i="19" s="1"/>
  <c r="I348" i="19"/>
  <c r="K340" i="19"/>
  <c r="L340" i="19" s="1"/>
  <c r="I340" i="19"/>
  <c r="K332" i="19"/>
  <c r="L332" i="19" s="1"/>
  <c r="I332" i="19"/>
  <c r="K324" i="19"/>
  <c r="L324" i="19" s="1"/>
  <c r="I324" i="19"/>
  <c r="K316" i="19"/>
  <c r="L316" i="19" s="1"/>
  <c r="I316" i="19"/>
  <c r="K308" i="19"/>
  <c r="L308" i="19" s="1"/>
  <c r="I308" i="19"/>
  <c r="K300" i="19"/>
  <c r="L300" i="19" s="1"/>
  <c r="I300" i="19"/>
  <c r="K292" i="19"/>
  <c r="L292" i="19" s="1"/>
  <c r="I292" i="19"/>
  <c r="K284" i="19"/>
  <c r="L284" i="19" s="1"/>
  <c r="I284" i="19"/>
  <c r="K276" i="19"/>
  <c r="L276" i="19" s="1"/>
  <c r="I276" i="19"/>
  <c r="K268" i="19"/>
  <c r="L268" i="19" s="1"/>
  <c r="I268" i="19"/>
  <c r="K260" i="19"/>
  <c r="L260" i="19" s="1"/>
  <c r="I260" i="19"/>
  <c r="K252" i="19"/>
  <c r="L252" i="19" s="1"/>
  <c r="I252" i="19"/>
  <c r="K244" i="19"/>
  <c r="L244" i="19" s="1"/>
  <c r="I244" i="19"/>
  <c r="K236" i="19"/>
  <c r="L236" i="19" s="1"/>
  <c r="I236" i="19"/>
  <c r="K228" i="19"/>
  <c r="L228" i="19" s="1"/>
  <c r="I228" i="19"/>
  <c r="K220" i="19"/>
  <c r="L220" i="19" s="1"/>
  <c r="I220" i="19"/>
  <c r="K212" i="19"/>
  <c r="L212" i="19" s="1"/>
  <c r="I212" i="19"/>
  <c r="K204" i="19"/>
  <c r="L204" i="19" s="1"/>
  <c r="I204" i="19"/>
  <c r="K196" i="19"/>
  <c r="L196" i="19" s="1"/>
  <c r="I196" i="19"/>
  <c r="K188" i="19"/>
  <c r="L188" i="19" s="1"/>
  <c r="I188" i="19"/>
  <c r="K180" i="19"/>
  <c r="L180" i="19" s="1"/>
  <c r="I180" i="19"/>
  <c r="K172" i="19"/>
  <c r="L172" i="19" s="1"/>
  <c r="I172" i="19"/>
  <c r="K164" i="19"/>
  <c r="L164" i="19" s="1"/>
  <c r="I164" i="19"/>
  <c r="K156" i="19"/>
  <c r="L156" i="19" s="1"/>
  <c r="I156" i="19"/>
  <c r="K148" i="19"/>
  <c r="L148" i="19" s="1"/>
  <c r="I148" i="19"/>
  <c r="K140" i="19"/>
  <c r="L140" i="19" s="1"/>
  <c r="I140" i="19"/>
  <c r="K132" i="19"/>
  <c r="L132" i="19" s="1"/>
  <c r="I132" i="19"/>
  <c r="K124" i="19"/>
  <c r="L124" i="19" s="1"/>
  <c r="I124" i="19"/>
  <c r="K116" i="19"/>
  <c r="L116" i="19" s="1"/>
  <c r="I116" i="19"/>
  <c r="K108" i="19"/>
  <c r="L108" i="19" s="1"/>
  <c r="I108" i="19"/>
  <c r="K100" i="19"/>
  <c r="L100" i="19" s="1"/>
  <c r="I100" i="19"/>
  <c r="K92" i="19"/>
  <c r="L92" i="19" s="1"/>
  <c r="I92" i="19"/>
  <c r="K84" i="19"/>
  <c r="L84" i="19" s="1"/>
  <c r="I84" i="19"/>
  <c r="K76" i="19"/>
  <c r="L76" i="19" s="1"/>
  <c r="I76" i="19"/>
  <c r="K68" i="19"/>
  <c r="L68" i="19" s="1"/>
  <c r="I68" i="19"/>
  <c r="K60" i="19"/>
  <c r="L60" i="19" s="1"/>
  <c r="I60" i="19"/>
  <c r="K52" i="19"/>
  <c r="L52" i="19" s="1"/>
  <c r="I52" i="19"/>
  <c r="K44" i="19"/>
  <c r="L44" i="19" s="1"/>
  <c r="I44" i="19"/>
  <c r="K36" i="19"/>
  <c r="L36" i="19" s="1"/>
  <c r="I36" i="19"/>
  <c r="K28" i="19"/>
  <c r="L28" i="19" s="1"/>
  <c r="I28" i="19"/>
  <c r="K20" i="19"/>
  <c r="L20" i="19" s="1"/>
  <c r="I20" i="19"/>
  <c r="K12" i="19"/>
  <c r="L12" i="19" s="1"/>
  <c r="I12" i="19"/>
  <c r="G14" i="8" l="1"/>
  <c r="G17" i="8"/>
  <c r="G16" i="8"/>
  <c r="G15" i="8"/>
  <c r="E7" i="8"/>
  <c r="E9" i="8"/>
  <c r="E8" i="8"/>
  <c r="L203" i="19"/>
  <c r="L11" i="19"/>
  <c r="L107" i="19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7" i="40"/>
  <c r="F48" i="40"/>
  <c r="F49" i="40"/>
  <c r="F50" i="40"/>
  <c r="F51" i="40"/>
  <c r="F52" i="40"/>
  <c r="F53" i="40"/>
  <c r="F54" i="40"/>
  <c r="F55" i="40"/>
  <c r="F56" i="40"/>
  <c r="F57" i="40"/>
  <c r="F58" i="40"/>
  <c r="F59" i="40"/>
  <c r="F60" i="40"/>
  <c r="F61" i="40"/>
  <c r="F62" i="40"/>
  <c r="F63" i="40"/>
  <c r="F64" i="40"/>
  <c r="F65" i="40"/>
  <c r="F66" i="40"/>
  <c r="F67" i="40"/>
  <c r="F68" i="40"/>
  <c r="F69" i="40"/>
  <c r="F70" i="40"/>
  <c r="F71" i="40"/>
  <c r="F72" i="40"/>
  <c r="F73" i="40"/>
  <c r="F74" i="40"/>
  <c r="F75" i="40"/>
  <c r="F76" i="40"/>
  <c r="F77" i="40"/>
  <c r="F78" i="40"/>
  <c r="F79" i="40"/>
  <c r="F80" i="40"/>
  <c r="F81" i="40"/>
  <c r="F82" i="40"/>
  <c r="F83" i="40"/>
  <c r="F84" i="40"/>
  <c r="F85" i="40"/>
  <c r="F86" i="40"/>
  <c r="F87" i="40"/>
  <c r="F88" i="40"/>
  <c r="F89" i="40"/>
  <c r="F90" i="40"/>
  <c r="F91" i="40"/>
  <c r="F92" i="40"/>
  <c r="F93" i="40"/>
  <c r="F94" i="40"/>
  <c r="F95" i="40"/>
  <c r="F96" i="40"/>
  <c r="F97" i="40"/>
  <c r="F98" i="40"/>
  <c r="F99" i="40"/>
  <c r="F100" i="40"/>
  <c r="F101" i="40"/>
  <c r="F102" i="40"/>
  <c r="F103" i="40"/>
  <c r="F104" i="40"/>
  <c r="F105" i="40"/>
  <c r="F106" i="40"/>
  <c r="F107" i="40"/>
  <c r="F108" i="40"/>
  <c r="F109" i="40"/>
  <c r="F110" i="40"/>
  <c r="F111" i="40"/>
  <c r="F112" i="40"/>
  <c r="F113" i="40"/>
  <c r="F114" i="40"/>
  <c r="F115" i="40"/>
  <c r="F116" i="40"/>
  <c r="F117" i="40"/>
  <c r="F118" i="40"/>
  <c r="F119" i="40"/>
  <c r="F120" i="40"/>
  <c r="F121" i="40"/>
  <c r="F122" i="40"/>
  <c r="F123" i="40"/>
  <c r="F124" i="40"/>
  <c r="F125" i="40"/>
  <c r="F126" i="40"/>
  <c r="F127" i="40"/>
  <c r="F128" i="40"/>
  <c r="F129" i="40"/>
  <c r="F130" i="40"/>
  <c r="F131" i="40"/>
  <c r="F132" i="40"/>
  <c r="F133" i="40"/>
  <c r="F134" i="40"/>
  <c r="F135" i="40"/>
  <c r="F136" i="40"/>
  <c r="F137" i="40"/>
  <c r="F138" i="40"/>
  <c r="F139" i="40"/>
  <c r="F140" i="40"/>
  <c r="F141" i="40"/>
  <c r="F142" i="40"/>
  <c r="F143" i="40"/>
  <c r="F5" i="40"/>
  <c r="G121" i="40"/>
  <c r="E12" i="18" l="1"/>
  <c r="G12" i="18" s="1"/>
  <c r="H12" i="18" s="1"/>
  <c r="I12" i="18" s="1"/>
  <c r="J12" i="18" s="1"/>
  <c r="E24" i="8"/>
  <c r="E23" i="8"/>
  <c r="E22" i="8"/>
  <c r="E25" i="8"/>
  <c r="G132" i="40"/>
  <c r="D17" i="33" l="1"/>
  <c r="D16" i="33"/>
  <c r="F16" i="33" s="1"/>
  <c r="F33" i="37"/>
  <c r="G6" i="18"/>
  <c r="H6" i="18" s="1"/>
  <c r="I6" i="18" s="1"/>
  <c r="J6" i="18" s="1"/>
  <c r="G7" i="18"/>
  <c r="H7" i="18" s="1"/>
  <c r="I7" i="18" s="1"/>
  <c r="J7" i="18" s="1"/>
  <c r="G8" i="18"/>
  <c r="H8" i="18" s="1"/>
  <c r="I8" i="18" s="1"/>
  <c r="J8" i="18" s="1"/>
  <c r="E17" i="18"/>
  <c r="E29" i="18"/>
  <c r="R24" i="36" l="1"/>
  <c r="R25" i="36"/>
  <c r="R26" i="36"/>
  <c r="R27" i="36"/>
  <c r="R28" i="36"/>
  <c r="R29" i="36"/>
  <c r="R30" i="36"/>
  <c r="R31" i="36"/>
  <c r="R32" i="36"/>
  <c r="R33" i="36"/>
  <c r="R23" i="36"/>
  <c r="Q23" i="36"/>
  <c r="Q33" i="36"/>
  <c r="Q32" i="36"/>
  <c r="Q31" i="36"/>
  <c r="Q30" i="36"/>
  <c r="Q29" i="36"/>
  <c r="Q28" i="36"/>
  <c r="Q27" i="36"/>
  <c r="Q26" i="36"/>
  <c r="Q25" i="36"/>
  <c r="Q24" i="36"/>
  <c r="G95" i="40" l="1"/>
  <c r="G99" i="40"/>
  <c r="G103" i="40"/>
  <c r="G107" i="40"/>
  <c r="G111" i="40"/>
  <c r="G115" i="40"/>
  <c r="G119" i="40"/>
  <c r="G123" i="40"/>
  <c r="G127" i="40"/>
  <c r="G131" i="40"/>
  <c r="G96" i="40"/>
  <c r="G100" i="40"/>
  <c r="G104" i="40"/>
  <c r="G108" i="40"/>
  <c r="G112" i="40"/>
  <c r="G116" i="40"/>
  <c r="G120" i="40"/>
  <c r="G124" i="40"/>
  <c r="G128" i="40"/>
  <c r="G97" i="40"/>
  <c r="G101" i="40"/>
  <c r="G105" i="40"/>
  <c r="G109" i="40"/>
  <c r="G113" i="40"/>
  <c r="G117" i="40"/>
  <c r="G125" i="40"/>
  <c r="G129" i="40"/>
  <c r="G94" i="40"/>
  <c r="G98" i="40"/>
  <c r="G102" i="40"/>
  <c r="G106" i="40"/>
  <c r="G110" i="40"/>
  <c r="G114" i="40"/>
  <c r="G118" i="40"/>
  <c r="G122" i="40"/>
  <c r="G126" i="40"/>
  <c r="G130" i="40"/>
  <c r="G138" i="40" l="1"/>
  <c r="G137" i="40"/>
  <c r="G143" i="40"/>
  <c r="G134" i="40"/>
  <c r="G135" i="40"/>
  <c r="G141" i="40"/>
  <c r="G140" i="40"/>
  <c r="G139" i="40"/>
  <c r="G142" i="40"/>
  <c r="G133" i="40"/>
  <c r="G136" i="40" l="1"/>
  <c r="F25" i="8" s="1"/>
  <c r="F23" i="8" l="1"/>
  <c r="F22" i="8"/>
  <c r="F24" i="8"/>
  <c r="G22" i="8"/>
  <c r="E18" i="18" l="1"/>
  <c r="F24" i="18" s="1"/>
  <c r="E30" i="18"/>
  <c r="F32" i="37"/>
  <c r="F31" i="37"/>
  <c r="F30" i="37"/>
  <c r="F29" i="37"/>
  <c r="H28" i="37"/>
  <c r="H22" i="37"/>
  <c r="H14" i="37"/>
  <c r="H7" i="37"/>
  <c r="G4" i="37"/>
  <c r="J3" i="37"/>
  <c r="H3" i="37"/>
  <c r="G3" i="37"/>
  <c r="N44" i="36"/>
  <c r="N43" i="36"/>
  <c r="N42" i="36"/>
  <c r="N41" i="36"/>
  <c r="N40" i="36"/>
  <c r="N39" i="36"/>
  <c r="N38" i="36"/>
  <c r="N37" i="36"/>
  <c r="N36" i="36"/>
  <c r="N35" i="36"/>
  <c r="G33" i="37"/>
  <c r="H34" i="36"/>
  <c r="G34" i="36"/>
  <c r="F34" i="36"/>
  <c r="G32" i="37"/>
  <c r="G31" i="37"/>
  <c r="H31" i="37"/>
  <c r="G30" i="37"/>
  <c r="G27" i="37"/>
  <c r="G26" i="37"/>
  <c r="H26" i="37"/>
  <c r="G25" i="37"/>
  <c r="H24" i="37"/>
  <c r="H23" i="37"/>
  <c r="H21" i="37"/>
  <c r="H20" i="37"/>
  <c r="H18" i="37"/>
  <c r="H16" i="37"/>
  <c r="H10" i="37"/>
  <c r="AH7" i="36"/>
  <c r="AG7" i="36"/>
  <c r="AF5" i="36"/>
  <c r="C310" i="35"/>
  <c r="C309" i="35"/>
  <c r="C308" i="35"/>
  <c r="C307" i="35"/>
  <c r="C306" i="35"/>
  <c r="C305" i="35"/>
  <c r="C304" i="35"/>
  <c r="C303" i="35"/>
  <c r="C302" i="35"/>
  <c r="C301" i="35"/>
  <c r="C300" i="35"/>
  <c r="C299" i="35"/>
  <c r="C298" i="35"/>
  <c r="C297" i="35"/>
  <c r="C296" i="35"/>
  <c r="C295" i="35"/>
  <c r="C294" i="35"/>
  <c r="C293" i="35"/>
  <c r="C292" i="35"/>
  <c r="C291" i="35"/>
  <c r="C290" i="35"/>
  <c r="C289" i="35"/>
  <c r="C288" i="35"/>
  <c r="C287" i="35"/>
  <c r="C286" i="35"/>
  <c r="C285" i="35"/>
  <c r="C284" i="35"/>
  <c r="C283" i="35"/>
  <c r="C282" i="35"/>
  <c r="C281" i="35"/>
  <c r="C280" i="35"/>
  <c r="C279" i="35"/>
  <c r="C278" i="35"/>
  <c r="C277" i="35"/>
  <c r="C276" i="35"/>
  <c r="C275" i="35"/>
  <c r="C274" i="35"/>
  <c r="C273" i="35"/>
  <c r="C272" i="35"/>
  <c r="C271" i="35"/>
  <c r="C270" i="35"/>
  <c r="C269" i="35"/>
  <c r="C268" i="35"/>
  <c r="C267" i="35"/>
  <c r="C266" i="35"/>
  <c r="C265" i="35"/>
  <c r="C264" i="35"/>
  <c r="C263" i="35"/>
  <c r="C262" i="35"/>
  <c r="C261" i="35"/>
  <c r="C260" i="35"/>
  <c r="C259" i="35"/>
  <c r="C258" i="35"/>
  <c r="C257" i="35"/>
  <c r="C256" i="35"/>
  <c r="C255" i="35"/>
  <c r="C254" i="35"/>
  <c r="C253" i="35"/>
  <c r="C252" i="35"/>
  <c r="C251" i="35"/>
  <c r="C250" i="35"/>
  <c r="C249" i="35"/>
  <c r="C248" i="35"/>
  <c r="C247" i="35"/>
  <c r="C246" i="35"/>
  <c r="C245" i="35"/>
  <c r="C244" i="35"/>
  <c r="C243" i="35"/>
  <c r="C242" i="35"/>
  <c r="C241" i="35"/>
  <c r="C240" i="35"/>
  <c r="C239" i="35"/>
  <c r="C238" i="35"/>
  <c r="C237" i="35"/>
  <c r="C236" i="35"/>
  <c r="C235" i="35"/>
  <c r="C234" i="35"/>
  <c r="C233" i="35"/>
  <c r="C232" i="35"/>
  <c r="C231" i="35"/>
  <c r="C230" i="35"/>
  <c r="C229" i="35"/>
  <c r="C228" i="35"/>
  <c r="C227" i="35"/>
  <c r="C226" i="35"/>
  <c r="C225" i="35"/>
  <c r="C224" i="35"/>
  <c r="C223" i="35"/>
  <c r="C222" i="35"/>
  <c r="C221" i="35"/>
  <c r="C220" i="35"/>
  <c r="C219" i="35"/>
  <c r="C218" i="35"/>
  <c r="C217" i="35"/>
  <c r="C216" i="35"/>
  <c r="C215" i="35"/>
  <c r="C214" i="35"/>
  <c r="C213" i="35"/>
  <c r="C212" i="35"/>
  <c r="C211" i="35"/>
  <c r="C210" i="35"/>
  <c r="C209" i="35"/>
  <c r="C208" i="35"/>
  <c r="C207" i="35"/>
  <c r="C206" i="35"/>
  <c r="C205" i="35"/>
  <c r="C204" i="35"/>
  <c r="C203" i="35"/>
  <c r="C202" i="35"/>
  <c r="C201" i="35"/>
  <c r="C200" i="35"/>
  <c r="C199" i="35"/>
  <c r="C198" i="35"/>
  <c r="C197" i="35"/>
  <c r="C196" i="35"/>
  <c r="C195" i="35"/>
  <c r="C194" i="35"/>
  <c r="C193" i="35"/>
  <c r="C192" i="35"/>
  <c r="C191" i="35"/>
  <c r="C190" i="35"/>
  <c r="C189" i="35"/>
  <c r="C188" i="35"/>
  <c r="C187" i="35"/>
  <c r="C186" i="35"/>
  <c r="C185" i="35"/>
  <c r="C184" i="35"/>
  <c r="C183" i="35"/>
  <c r="C182" i="35"/>
  <c r="C181" i="35"/>
  <c r="C180" i="35"/>
  <c r="C179" i="35"/>
  <c r="C178" i="35"/>
  <c r="C177" i="35"/>
  <c r="C176" i="35"/>
  <c r="C175" i="35"/>
  <c r="C174" i="35"/>
  <c r="C173" i="35"/>
  <c r="C172" i="35"/>
  <c r="C171" i="35"/>
  <c r="C170" i="35"/>
  <c r="C169" i="35"/>
  <c r="C168" i="35"/>
  <c r="C167" i="35"/>
  <c r="C166" i="35"/>
  <c r="C165" i="35"/>
  <c r="C164" i="35"/>
  <c r="C163" i="35"/>
  <c r="C162" i="35"/>
  <c r="C161" i="35"/>
  <c r="C160" i="35"/>
  <c r="C159" i="35"/>
  <c r="C158" i="35"/>
  <c r="C157" i="35"/>
  <c r="C156" i="35"/>
  <c r="C155" i="35"/>
  <c r="C154" i="35"/>
  <c r="C153" i="35"/>
  <c r="C152" i="35"/>
  <c r="C151" i="35"/>
  <c r="C150" i="35"/>
  <c r="C149" i="35"/>
  <c r="C148" i="35"/>
  <c r="C147" i="35"/>
  <c r="C146" i="35"/>
  <c r="C145" i="35"/>
  <c r="C144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L11" i="34"/>
  <c r="D11" i="34"/>
  <c r="C11" i="34"/>
  <c r="C10" i="34"/>
  <c r="L9" i="34"/>
  <c r="C9" i="34"/>
  <c r="C8" i="34"/>
  <c r="L7" i="34"/>
  <c r="D7" i="34"/>
  <c r="C7" i="34"/>
  <c r="D6" i="34"/>
  <c r="C6" i="34"/>
  <c r="P11" i="33"/>
  <c r="M17" i="33"/>
  <c r="J17" i="33"/>
  <c r="D33" i="37" s="1"/>
  <c r="U4" i="36"/>
  <c r="T34" i="36" s="1"/>
  <c r="D10" i="34"/>
  <c r="H16" i="33"/>
  <c r="P9" i="33"/>
  <c r="H15" i="33"/>
  <c r="J14" i="33"/>
  <c r="D30" i="37" s="1"/>
  <c r="F14" i="33"/>
  <c r="H14" i="33" s="1"/>
  <c r="D29" i="37"/>
  <c r="F13" i="33"/>
  <c r="H13" i="33" s="1"/>
  <c r="L12" i="33"/>
  <c r="F12" i="33"/>
  <c r="H12" i="33" s="1"/>
  <c r="K12" i="33" s="1"/>
  <c r="E6" i="34" s="1"/>
  <c r="F11" i="33"/>
  <c r="H11" i="33" s="1"/>
  <c r="F10" i="33"/>
  <c r="H10" i="33" s="1"/>
  <c r="K10" i="33" s="1"/>
  <c r="F9" i="33"/>
  <c r="H9" i="33" s="1"/>
  <c r="F8" i="33"/>
  <c r="L7" i="33"/>
  <c r="F7" i="33"/>
  <c r="H7" i="33" s="1"/>
  <c r="K7" i="33" s="1"/>
  <c r="L6" i="33"/>
  <c r="F6" i="33"/>
  <c r="H6" i="33" s="1"/>
  <c r="F22" i="18" l="1"/>
  <c r="F23" i="18"/>
  <c r="G24" i="18" s="1"/>
  <c r="H24" i="18" s="1"/>
  <c r="L33" i="37"/>
  <c r="Y34" i="36"/>
  <c r="X34" i="36"/>
  <c r="AD34" i="36" s="1"/>
  <c r="Q33" i="37" s="1"/>
  <c r="AA34" i="36"/>
  <c r="Z34" i="36"/>
  <c r="AB34" i="36"/>
  <c r="AB35" i="36" s="1"/>
  <c r="AB36" i="36" s="1"/>
  <c r="AB37" i="36" s="1"/>
  <c r="I33" i="37"/>
  <c r="F35" i="18"/>
  <c r="F44" i="18"/>
  <c r="F42" i="18"/>
  <c r="F34" i="18"/>
  <c r="F36" i="18"/>
  <c r="F43" i="18"/>
  <c r="I29" i="37"/>
  <c r="F6" i="34"/>
  <c r="G6" i="34" s="1"/>
  <c r="H6" i="34" s="1"/>
  <c r="I6" i="34" s="1"/>
  <c r="J6" i="34" s="1"/>
  <c r="F35" i="36"/>
  <c r="L17" i="33"/>
  <c r="Q34" i="36"/>
  <c r="U43" i="36"/>
  <c r="I30" i="37"/>
  <c r="G28" i="37"/>
  <c r="G29" i="37"/>
  <c r="G35" i="36"/>
  <c r="H15" i="37"/>
  <c r="H27" i="37"/>
  <c r="T43" i="36"/>
  <c r="H29" i="37"/>
  <c r="V38" i="36"/>
  <c r="H25" i="37"/>
  <c r="H30" i="37"/>
  <c r="H11" i="37"/>
  <c r="H19" i="37"/>
  <c r="H8" i="37"/>
  <c r="H12" i="37"/>
  <c r="H9" i="37"/>
  <c r="H13" i="37"/>
  <c r="H17" i="37"/>
  <c r="L8" i="33"/>
  <c r="J16" i="33"/>
  <c r="D32" i="37" s="1"/>
  <c r="I32" i="37" s="1"/>
  <c r="L8" i="34"/>
  <c r="D8" i="34"/>
  <c r="P8" i="33"/>
  <c r="D9" i="34"/>
  <c r="L10" i="34"/>
  <c r="L16" i="33"/>
  <c r="K6" i="33"/>
  <c r="L10" i="33"/>
  <c r="K16" i="33"/>
  <c r="K15" i="33"/>
  <c r="H8" i="33"/>
  <c r="K8" i="33" s="1"/>
  <c r="Q8" i="33"/>
  <c r="L15" i="33"/>
  <c r="K11" i="33"/>
  <c r="P7" i="33"/>
  <c r="K14" i="33"/>
  <c r="J15" i="33"/>
  <c r="L9" i="33"/>
  <c r="L11" i="33"/>
  <c r="L14" i="33"/>
  <c r="Q9" i="33"/>
  <c r="R9" i="33" s="1"/>
  <c r="Q7" i="33"/>
  <c r="F17" i="33"/>
  <c r="H17" i="33" s="1"/>
  <c r="K17" i="33" s="1"/>
  <c r="K13" i="33"/>
  <c r="P10" i="33"/>
  <c r="K9" i="33"/>
  <c r="L13" i="33"/>
  <c r="Q10" i="33"/>
  <c r="AA36" i="36" l="1"/>
  <c r="AA37" i="36" s="1"/>
  <c r="AA38" i="36" s="1"/>
  <c r="AA35" i="36"/>
  <c r="G22" i="18"/>
  <c r="H22" i="18" s="1"/>
  <c r="I22" i="18" s="1"/>
  <c r="J22" i="18" s="1"/>
  <c r="G36" i="18"/>
  <c r="H36" i="18" s="1"/>
  <c r="I36" i="18" s="1"/>
  <c r="J36" i="18" s="1"/>
  <c r="G42" i="18"/>
  <c r="H42" i="18" s="1"/>
  <c r="I42" i="18" s="1"/>
  <c r="J42" i="18" s="1"/>
  <c r="G34" i="18"/>
  <c r="H34" i="18" s="1"/>
  <c r="I34" i="18" s="1"/>
  <c r="J34" i="18" s="1"/>
  <c r="G44" i="18"/>
  <c r="H44" i="18" s="1"/>
  <c r="I44" i="18" s="1"/>
  <c r="J44" i="18" s="1"/>
  <c r="G36" i="36"/>
  <c r="X35" i="36"/>
  <c r="I24" i="18"/>
  <c r="J24" i="18" s="1"/>
  <c r="P12" i="33"/>
  <c r="F36" i="36"/>
  <c r="U40" i="36"/>
  <c r="U35" i="36"/>
  <c r="AH35" i="36" s="1"/>
  <c r="V41" i="36"/>
  <c r="R8" i="33"/>
  <c r="T37" i="36"/>
  <c r="U38" i="36"/>
  <c r="R10" i="33"/>
  <c r="R7" i="33"/>
  <c r="V35" i="36"/>
  <c r="AG35" i="36" s="1"/>
  <c r="V44" i="36"/>
  <c r="V40" i="36"/>
  <c r="T39" i="36"/>
  <c r="V37" i="36"/>
  <c r="U36" i="36"/>
  <c r="V34" i="36"/>
  <c r="N33" i="37" s="1"/>
  <c r="U44" i="36"/>
  <c r="V42" i="36"/>
  <c r="U41" i="36"/>
  <c r="U37" i="36"/>
  <c r="AH37" i="36" s="1"/>
  <c r="T36" i="36"/>
  <c r="U34" i="36"/>
  <c r="M33" i="37" s="1"/>
  <c r="V43" i="36"/>
  <c r="T44" i="36"/>
  <c r="U42" i="36"/>
  <c r="T41" i="36"/>
  <c r="V39" i="36"/>
  <c r="T38" i="36"/>
  <c r="T42" i="36"/>
  <c r="U39" i="36"/>
  <c r="V36" i="36"/>
  <c r="T40" i="36"/>
  <c r="T35" i="36"/>
  <c r="L34" i="37" s="1"/>
  <c r="E7" i="34"/>
  <c r="F7" i="34" s="1"/>
  <c r="G7" i="34" s="1"/>
  <c r="E29" i="37"/>
  <c r="J29" i="37" s="1"/>
  <c r="E10" i="34"/>
  <c r="F10" i="34" s="1"/>
  <c r="G10" i="34" s="1"/>
  <c r="H10" i="34" s="1"/>
  <c r="I10" i="34" s="1"/>
  <c r="J10" i="34" s="1"/>
  <c r="E32" i="37"/>
  <c r="J32" i="37" s="1"/>
  <c r="E8" i="34"/>
  <c r="F8" i="34" s="1"/>
  <c r="G8" i="34" s="1"/>
  <c r="H8" i="34" s="1"/>
  <c r="I8" i="34" s="1"/>
  <c r="J8" i="34" s="1"/>
  <c r="E30" i="37"/>
  <c r="J30" i="37" s="1"/>
  <c r="E9" i="34"/>
  <c r="F9" i="34" s="1"/>
  <c r="G9" i="34" s="1"/>
  <c r="H9" i="34" s="1"/>
  <c r="I9" i="34" s="1"/>
  <c r="J9" i="34" s="1"/>
  <c r="E31" i="37"/>
  <c r="J31" i="37" s="1"/>
  <c r="J18" i="33"/>
  <c r="D31" i="37"/>
  <c r="I31" i="37" s="1"/>
  <c r="Y35" i="36"/>
  <c r="H35" i="36"/>
  <c r="AB38" i="36"/>
  <c r="Q11" i="33"/>
  <c r="Q12" i="33" s="1"/>
  <c r="L18" i="33"/>
  <c r="AG37" i="36" l="1"/>
  <c r="AG36" i="36"/>
  <c r="L35" i="37"/>
  <c r="N34" i="37"/>
  <c r="M35" i="37"/>
  <c r="Y36" i="36"/>
  <c r="AE36" i="36" s="1"/>
  <c r="R35" i="37" s="1"/>
  <c r="G37" i="36"/>
  <c r="Y37" i="36" s="1"/>
  <c r="AE37" i="36" s="1"/>
  <c r="M34" i="37"/>
  <c r="H36" i="36"/>
  <c r="AF34" i="36"/>
  <c r="S33" i="37" s="1"/>
  <c r="F37" i="36"/>
  <c r="X36" i="36"/>
  <c r="AD36" i="36" s="1"/>
  <c r="Q35" i="37" s="1"/>
  <c r="R12" i="33"/>
  <c r="AD35" i="36"/>
  <c r="Q34" i="37" s="1"/>
  <c r="AE35" i="36"/>
  <c r="R34" i="37" s="1"/>
  <c r="AH36" i="36"/>
  <c r="AG34" i="36"/>
  <c r="R11" i="33"/>
  <c r="E11" i="34"/>
  <c r="F11" i="34" s="1"/>
  <c r="G11" i="34" s="1"/>
  <c r="H11" i="34" s="1"/>
  <c r="I11" i="34" s="1"/>
  <c r="J11" i="34" s="1"/>
  <c r="E33" i="37"/>
  <c r="J33" i="37" s="1"/>
  <c r="AE34" i="36"/>
  <c r="R33" i="37" s="1"/>
  <c r="AH34" i="36"/>
  <c r="Z35" i="36"/>
  <c r="AF35" i="36" s="1"/>
  <c r="S34" i="37" s="1"/>
  <c r="AA39" i="36"/>
  <c r="AG38" i="36"/>
  <c r="AB39" i="36"/>
  <c r="AH38" i="36"/>
  <c r="K18" i="33"/>
  <c r="H7" i="34"/>
  <c r="G38" i="36" l="1"/>
  <c r="M37" i="37" s="1"/>
  <c r="N35" i="37"/>
  <c r="L36" i="37"/>
  <c r="Z36" i="36"/>
  <c r="AF36" i="36" s="1"/>
  <c r="S35" i="37" s="1"/>
  <c r="R36" i="37"/>
  <c r="M36" i="37"/>
  <c r="X37" i="36"/>
  <c r="AD37" i="36" s="1"/>
  <c r="Q36" i="37" s="1"/>
  <c r="H37" i="36"/>
  <c r="F38" i="36"/>
  <c r="G14" i="34"/>
  <c r="F14" i="34"/>
  <c r="G39" i="36"/>
  <c r="AB40" i="36"/>
  <c r="AH39" i="36"/>
  <c r="AA40" i="36"/>
  <c r="AG39" i="36"/>
  <c r="I7" i="34"/>
  <c r="H14" i="34"/>
  <c r="Y38" i="36" l="1"/>
  <c r="AE38" i="36" s="1"/>
  <c r="R37" i="37" s="1"/>
  <c r="H38" i="36"/>
  <c r="Z38" i="36" s="1"/>
  <c r="AF38" i="36" s="1"/>
  <c r="L37" i="37"/>
  <c r="N36" i="37"/>
  <c r="M38" i="37"/>
  <c r="X38" i="36"/>
  <c r="AD38" i="36" s="1"/>
  <c r="Q37" i="37" s="1"/>
  <c r="F39" i="36"/>
  <c r="X39" i="36" s="1"/>
  <c r="AD39" i="36" s="1"/>
  <c r="Z37" i="36"/>
  <c r="AF37" i="36" s="1"/>
  <c r="S36" i="37" s="1"/>
  <c r="G40" i="36"/>
  <c r="Y39" i="36"/>
  <c r="AE39" i="36" s="1"/>
  <c r="R38" i="37" s="1"/>
  <c r="AA41" i="36"/>
  <c r="AG40" i="36"/>
  <c r="AB41" i="36"/>
  <c r="AH40" i="36"/>
  <c r="I14" i="34"/>
  <c r="J7" i="34"/>
  <c r="J14" i="34" s="1"/>
  <c r="F40" i="36" l="1"/>
  <c r="L39" i="37" s="1"/>
  <c r="M39" i="37"/>
  <c r="Q38" i="37"/>
  <c r="L38" i="37"/>
  <c r="H39" i="36"/>
  <c r="Z39" i="36" s="1"/>
  <c r="AF39" i="36" s="1"/>
  <c r="S37" i="37"/>
  <c r="N37" i="37"/>
  <c r="AA42" i="36"/>
  <c r="AG41" i="36"/>
  <c r="G41" i="36"/>
  <c r="Y40" i="36"/>
  <c r="AE40" i="36" s="1"/>
  <c r="R39" i="37" s="1"/>
  <c r="AB42" i="36"/>
  <c r="AH41" i="36"/>
  <c r="H40" i="36" l="1"/>
  <c r="N39" i="37" s="1"/>
  <c r="X40" i="36"/>
  <c r="AD40" i="36" s="1"/>
  <c r="Q39" i="37" s="1"/>
  <c r="F41" i="36"/>
  <c r="L40" i="37" s="1"/>
  <c r="M40" i="37"/>
  <c r="S38" i="37"/>
  <c r="N38" i="37"/>
  <c r="AB43" i="36"/>
  <c r="AH42" i="36"/>
  <c r="Y41" i="36"/>
  <c r="AE41" i="36" s="1"/>
  <c r="R40" i="37" s="1"/>
  <c r="G42" i="36"/>
  <c r="H41" i="36"/>
  <c r="F42" i="36"/>
  <c r="X41" i="36"/>
  <c r="AD41" i="36" s="1"/>
  <c r="Q40" i="37" s="1"/>
  <c r="AA43" i="36"/>
  <c r="AG42" i="36"/>
  <c r="Z40" i="36" l="1"/>
  <c r="AF40" i="36" s="1"/>
  <c r="S39" i="37" s="1"/>
  <c r="N40" i="37"/>
  <c r="M41" i="37"/>
  <c r="L41" i="37"/>
  <c r="Z41" i="36"/>
  <c r="AF41" i="36" s="1"/>
  <c r="S40" i="37" s="1"/>
  <c r="G43" i="36"/>
  <c r="Y42" i="36"/>
  <c r="AE42" i="36" s="1"/>
  <c r="R41" i="37" s="1"/>
  <c r="AB44" i="36"/>
  <c r="AH44" i="36" s="1"/>
  <c r="AH43" i="36"/>
  <c r="AA44" i="36"/>
  <c r="AG44" i="36" s="1"/>
  <c r="AG43" i="36"/>
  <c r="F43" i="36"/>
  <c r="H42" i="36"/>
  <c r="X42" i="36"/>
  <c r="AD42" i="36" s="1"/>
  <c r="Q41" i="37" s="1"/>
  <c r="L42" i="37" l="1"/>
  <c r="M42" i="37"/>
  <c r="N41" i="37"/>
  <c r="Z42" i="36"/>
  <c r="AF42" i="36" s="1"/>
  <c r="S41" i="37" s="1"/>
  <c r="X43" i="36"/>
  <c r="AD43" i="36" s="1"/>
  <c r="Q42" i="37" s="1"/>
  <c r="H43" i="36"/>
  <c r="F44" i="36"/>
  <c r="Y43" i="36"/>
  <c r="AE43" i="36" s="1"/>
  <c r="R42" i="37" s="1"/>
  <c r="G44" i="36"/>
  <c r="N42" i="37" l="1"/>
  <c r="M43" i="37"/>
  <c r="L43" i="37"/>
  <c r="Z43" i="36"/>
  <c r="AF43" i="36" s="1"/>
  <c r="S42" i="37" s="1"/>
  <c r="Y44" i="36"/>
  <c r="AE44" i="36" s="1"/>
  <c r="R43" i="37" s="1"/>
  <c r="H44" i="36"/>
  <c r="X44" i="36"/>
  <c r="AD44" i="36" s="1"/>
  <c r="Q43" i="37" s="1"/>
  <c r="N43" i="37" l="1"/>
  <c r="Z44" i="36"/>
  <c r="AF44" i="36" s="1"/>
  <c r="S43" i="37" s="1"/>
  <c r="L514" i="19" l="1"/>
  <c r="L516" i="19"/>
  <c r="L533" i="19"/>
  <c r="L525" i="19"/>
  <c r="L513" i="19"/>
  <c r="L511" i="19"/>
  <c r="L544" i="19"/>
  <c r="L536" i="19"/>
  <c r="L528" i="19"/>
  <c r="L520" i="19"/>
  <c r="L512" i="19"/>
  <c r="L518" i="19"/>
  <c r="L510" i="19"/>
  <c r="L609" i="19"/>
  <c r="L603" i="19"/>
  <c r="L599" i="19"/>
  <c r="L595" i="19"/>
  <c r="L591" i="19"/>
  <c r="L587" i="19"/>
  <c r="L583" i="19"/>
  <c r="L579" i="19"/>
  <c r="L575" i="19"/>
  <c r="L571" i="19"/>
  <c r="L567" i="19"/>
  <c r="L563" i="19"/>
  <c r="L559" i="19"/>
  <c r="L555" i="19"/>
  <c r="L551" i="19"/>
  <c r="L547" i="19"/>
  <c r="L543" i="19"/>
  <c r="L539" i="19"/>
  <c r="L535" i="19"/>
  <c r="L531" i="19"/>
  <c r="L527" i="19"/>
  <c r="L523" i="19"/>
  <c r="L519" i="19"/>
  <c r="L612" i="19"/>
  <c r="L604" i="19"/>
  <c r="L597" i="19"/>
  <c r="L589" i="19"/>
  <c r="L581" i="19"/>
  <c r="L573" i="19"/>
  <c r="L565" i="19"/>
  <c r="L557" i="19"/>
  <c r="L549" i="19"/>
  <c r="L541" i="19"/>
  <c r="L515" i="19"/>
  <c r="L602" i="19"/>
  <c r="L598" i="19"/>
  <c r="L594" i="19"/>
  <c r="L590" i="19"/>
  <c r="L586" i="19"/>
  <c r="L582" i="19"/>
  <c r="L578" i="19"/>
  <c r="L574" i="19"/>
  <c r="L570" i="19"/>
  <c r="L566" i="19"/>
  <c r="L558" i="19"/>
  <c r="L550" i="19"/>
  <c r="L542" i="19"/>
  <c r="L534" i="19"/>
  <c r="L526" i="19"/>
  <c r="L517" i="19"/>
  <c r="L509" i="19"/>
  <c r="L606" i="19"/>
  <c r="L508" i="19"/>
  <c r="L562" i="19"/>
  <c r="L554" i="19"/>
  <c r="L546" i="19"/>
  <c r="L538" i="19"/>
  <c r="L530" i="19"/>
  <c r="L522" i="19"/>
  <c r="L611" i="19"/>
  <c r="L605" i="19"/>
  <c r="L610" i="19"/>
  <c r="L607" i="19"/>
  <c r="L548" i="19"/>
  <c r="L540" i="19"/>
  <c r="L532" i="19"/>
  <c r="L524" i="19"/>
  <c r="L608" i="19"/>
  <c r="L613" i="19"/>
  <c r="L601" i="19"/>
  <c r="L593" i="19"/>
  <c r="L585" i="19"/>
  <c r="L577" i="19"/>
  <c r="L569" i="19"/>
  <c r="L561" i="19"/>
  <c r="L553" i="19"/>
  <c r="L545" i="19"/>
  <c r="L537" i="19"/>
  <c r="L529" i="19"/>
  <c r="L521" i="19"/>
  <c r="L600" i="19"/>
  <c r="L596" i="19"/>
  <c r="L592" i="19"/>
  <c r="L588" i="19"/>
  <c r="L584" i="19"/>
  <c r="L580" i="19"/>
  <c r="L576" i="19"/>
  <c r="L572" i="19"/>
  <c r="L568" i="19"/>
  <c r="L564" i="19"/>
  <c r="L560" i="19"/>
  <c r="L556" i="19"/>
  <c r="L552" i="19"/>
  <c r="G7" i="8" l="1"/>
  <c r="G8" i="8" l="1"/>
  <c r="G23" i="8"/>
  <c r="G25" i="8"/>
  <c r="G24" i="8"/>
  <c r="G9" i="8" l="1"/>
</calcChain>
</file>

<file path=xl/sharedStrings.xml><?xml version="1.0" encoding="utf-8"?>
<sst xmlns="http://schemas.openxmlformats.org/spreadsheetml/2006/main" count="688" uniqueCount="545">
  <si>
    <t>RFR Term differences</t>
  </si>
  <si>
    <t>RFR Term Premium</t>
  </si>
  <si>
    <t>Min</t>
  </si>
  <si>
    <t>Average</t>
  </si>
  <si>
    <t>Max</t>
  </si>
  <si>
    <t>MRP Term Differences</t>
  </si>
  <si>
    <t>For various periods</t>
  </si>
  <si>
    <t>10-year</t>
  </si>
  <si>
    <t>5-year</t>
  </si>
  <si>
    <t>RFR</t>
  </si>
  <si>
    <t>MRP</t>
  </si>
  <si>
    <t>Beta</t>
  </si>
  <si>
    <t>Term Scenario</t>
  </si>
  <si>
    <t>Return on Equity Impact (RoEI)</t>
  </si>
  <si>
    <t>Rate of Return Impact (RoRI)*</t>
  </si>
  <si>
    <t>Revenue Impact (RI)*</t>
  </si>
  <si>
    <t>Household Bill impact (HBI)*</t>
  </si>
  <si>
    <t>Check</t>
  </si>
  <si>
    <t>Low scenario</t>
  </si>
  <si>
    <t>Base scenario</t>
  </si>
  <si>
    <t>High scenario</t>
  </si>
  <si>
    <t>Source 1</t>
  </si>
  <si>
    <t>Beta sensitivity</t>
  </si>
  <si>
    <t>Return on Equity (RoE)*</t>
  </si>
  <si>
    <t>Beta Scenarios for the 2022 instrument (5-year term)</t>
  </si>
  <si>
    <t>ROE Scenarios for the 2022 instrument (5-year term)</t>
  </si>
  <si>
    <t>Rate change</t>
  </si>
  <si>
    <t>RFR scenario</t>
  </si>
  <si>
    <t>ROE (2018 approach) with 6.1% MRP</t>
  </si>
  <si>
    <t>ROE (Option 3b)</t>
  </si>
  <si>
    <t>ROE Difference</t>
  </si>
  <si>
    <t>ROR Impact</t>
  </si>
  <si>
    <t>Revenue Impact</t>
  </si>
  <si>
    <t>Household Bill impact (%)</t>
  </si>
  <si>
    <t>Household Bill impact ($)</t>
  </si>
  <si>
    <t>ROE (2018 approach) with 6.5% MRP</t>
  </si>
  <si>
    <t>Average difference (2018-2022) -&gt;</t>
  </si>
  <si>
    <t>ROE Impact</t>
  </si>
  <si>
    <t>Beta 2022 onwards</t>
  </si>
  <si>
    <t>DGM MRP</t>
  </si>
  <si>
    <t>Correlation</t>
  </si>
  <si>
    <t>Weight on HER</t>
  </si>
  <si>
    <t>RFR TERM adjust</t>
  </si>
  <si>
    <t>MRP TERM adjust</t>
  </si>
  <si>
    <t>Intercept</t>
  </si>
  <si>
    <t>Weight on DGM</t>
  </si>
  <si>
    <t>Year</t>
  </si>
  <si>
    <t>RFR in ENA's DGM file</t>
  </si>
  <si>
    <t>Scenario inputs</t>
  </si>
  <si>
    <t>RFR Scenario C: Low</t>
  </si>
  <si>
    <t>RFR Scenario A: High</t>
  </si>
  <si>
    <t>RFR Scenario B: Mid</t>
  </si>
  <si>
    <t>RFR full</t>
  </si>
  <si>
    <t>RFR annual update</t>
  </si>
  <si>
    <t>Beta decision</t>
  </si>
  <si>
    <t>MRP decisions</t>
  </si>
  <si>
    <t>HER MRP (1988 onwards)</t>
  </si>
  <si>
    <t xml:space="preserve">DGM MRP </t>
  </si>
  <si>
    <t>MRP C</t>
  </si>
  <si>
    <t>MRP A</t>
  </si>
  <si>
    <t>MRP B</t>
  </si>
  <si>
    <t>MRP Stress low</t>
  </si>
  <si>
    <t>MRP Stress high</t>
  </si>
  <si>
    <t>TERM adjustment:</t>
  </si>
  <si>
    <t>HER</t>
  </si>
  <si>
    <t>MRP Option 1</t>
  </si>
  <si>
    <t>MRP Option 3b</t>
  </si>
  <si>
    <t>Equity indicative return</t>
  </si>
  <si>
    <t>Equity decisions</t>
  </si>
  <si>
    <t>HER COE</t>
  </si>
  <si>
    <t>2018 approach TERM adjusted</t>
  </si>
  <si>
    <t>Option 3b Term adjusted</t>
  </si>
  <si>
    <t>Low</t>
  </si>
  <si>
    <t>High</t>
  </si>
  <si>
    <t>Mid</t>
  </si>
  <si>
    <t>HER live version</t>
  </si>
  <si>
    <t>Source</t>
  </si>
  <si>
    <t>Capital Market Yields - Government Bonds</t>
  </si>
  <si>
    <t>Title</t>
  </si>
  <si>
    <t>Commonwealth Government 5 year bond</t>
  </si>
  <si>
    <t>Commonwealth Government 10 year bond</t>
  </si>
  <si>
    <t>Description</t>
  </si>
  <si>
    <t>Yields on Commonwealth government bonds, 10 years maturity</t>
  </si>
  <si>
    <t>Frequency</t>
  </si>
  <si>
    <t>Monthly</t>
  </si>
  <si>
    <t>Type</t>
  </si>
  <si>
    <t>Original</t>
  </si>
  <si>
    <t>Units</t>
  </si>
  <si>
    <t>Per cent per annum</t>
  </si>
  <si>
    <t>Publication date</t>
  </si>
  <si>
    <t>01-Apr-2022</t>
  </si>
  <si>
    <t>Series ID</t>
  </si>
  <si>
    <t>FCMYGBAG5</t>
  </si>
  <si>
    <t>FCMYGBAG10</t>
  </si>
  <si>
    <t>5-year ROE</t>
  </si>
  <si>
    <t>10-year ROE</t>
  </si>
  <si>
    <t>ROE Term Premium</t>
  </si>
  <si>
    <t>MRP: 
Option 1 (HER)</t>
  </si>
  <si>
    <t>MRP: 
Option 1 (HER) - with annual update</t>
  </si>
  <si>
    <t>Three stage DGM estimates</t>
  </si>
  <si>
    <t>MRP: 
Option 3b (HER &amp; DGM)</t>
  </si>
  <si>
    <t xml:space="preserve">Equity Beta </t>
  </si>
  <si>
    <t>Equity risk premium</t>
  </si>
  <si>
    <t>ROE (HER+DGM)</t>
  </si>
  <si>
    <t>ROE (HER) - with annual update</t>
  </si>
  <si>
    <t>ROE (HER)</t>
  </si>
  <si>
    <t>HER estimates (Geo)</t>
  </si>
  <si>
    <t>ROE: 
Option 1 (HER)</t>
  </si>
  <si>
    <t>ROE: 
Option 3b (HER &amp; DGM)</t>
  </si>
  <si>
    <t>YearMonth</t>
  </si>
  <si>
    <t>1996-01</t>
  </si>
  <si>
    <t>1996-02</t>
  </si>
  <si>
    <t>1996-03</t>
  </si>
  <si>
    <t>1996-04</t>
  </si>
  <si>
    <t>Row Labels</t>
  </si>
  <si>
    <t>Average of RFR</t>
  </si>
  <si>
    <t>1996-05</t>
  </si>
  <si>
    <t>1996</t>
  </si>
  <si>
    <t>1996-06</t>
  </si>
  <si>
    <t>1997</t>
  </si>
  <si>
    <t>1996-07</t>
  </si>
  <si>
    <t>1998</t>
  </si>
  <si>
    <t>1996-08</t>
  </si>
  <si>
    <t>1999</t>
  </si>
  <si>
    <t>1996-09</t>
  </si>
  <si>
    <t>2000</t>
  </si>
  <si>
    <t>1996-10</t>
  </si>
  <si>
    <t>2001</t>
  </si>
  <si>
    <t>1996-11</t>
  </si>
  <si>
    <t>2002</t>
  </si>
  <si>
    <t>1996-12</t>
  </si>
  <si>
    <t>2003</t>
  </si>
  <si>
    <t>1997-01</t>
  </si>
  <si>
    <t>2004</t>
  </si>
  <si>
    <t>1997-02</t>
  </si>
  <si>
    <t>2005</t>
  </si>
  <si>
    <t>1997-03</t>
  </si>
  <si>
    <t>2006</t>
  </si>
  <si>
    <t>1997-04</t>
  </si>
  <si>
    <t>2007</t>
  </si>
  <si>
    <t>1997-05</t>
  </si>
  <si>
    <t>2008</t>
  </si>
  <si>
    <t>1997-06</t>
  </si>
  <si>
    <t>2009</t>
  </si>
  <si>
    <t>1997-07</t>
  </si>
  <si>
    <t>2010</t>
  </si>
  <si>
    <t>1997-08</t>
  </si>
  <si>
    <t>2011</t>
  </si>
  <si>
    <t>1997-09</t>
  </si>
  <si>
    <t>2012</t>
  </si>
  <si>
    <t>1997-10</t>
  </si>
  <si>
    <t>2013</t>
  </si>
  <si>
    <t>1997-11</t>
  </si>
  <si>
    <t>2014</t>
  </si>
  <si>
    <t>1997-12</t>
  </si>
  <si>
    <t>2015</t>
  </si>
  <si>
    <t>1998-01</t>
  </si>
  <si>
    <t>2016</t>
  </si>
  <si>
    <t>1998-02</t>
  </si>
  <si>
    <t>2017</t>
  </si>
  <si>
    <t>1998-03</t>
  </si>
  <si>
    <t>2018</t>
  </si>
  <si>
    <t>1998-04</t>
  </si>
  <si>
    <t>2019</t>
  </si>
  <si>
    <t>1998-05</t>
  </si>
  <si>
    <t>2020</t>
  </si>
  <si>
    <t>1998-06</t>
  </si>
  <si>
    <t>2021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</si>
  <si>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</si>
  <si>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</si>
  <si>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</si>
  <si>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</si>
  <si>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</si>
  <si>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</si>
  <si>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</si>
  <si>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</si>
  <si>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</si>
  <si>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</si>
  <si>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</si>
  <si>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</si>
  <si>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</si>
  <si>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</si>
  <si>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</si>
  <si>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</si>
  <si>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</si>
  <si>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</si>
  <si>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</si>
  <si>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</si>
  <si>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</si>
  <si>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</si>
  <si>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</si>
  <si>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</si>
  <si>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</si>
  <si>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</si>
  <si>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</si>
  <si>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</si>
  <si>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</si>
  <si>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</si>
  <si>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</si>
  <si>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</si>
  <si>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</si>
  <si>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</si>
  <si>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</si>
  <si>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</si>
  <si>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</si>
  <si>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</si>
  <si>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</si>
  <si>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</si>
  <si>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</si>
  <si>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</si>
  <si>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</si>
  <si>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</si>
  <si>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</si>
  <si>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</si>
  <si>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</si>
  <si>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</si>
  <si>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</si>
  <si>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</si>
  <si>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</si>
  <si>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</si>
  <si>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</si>
  <si>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</si>
  <si>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</si>
  <si>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</si>
  <si>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</si>
  <si>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</si>
  <si>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</si>
  <si>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</si>
  <si>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</si>
  <si>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</si>
  <si>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</si>
  <si>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</si>
  <si>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</si>
  <si>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</si>
  <si>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</si>
  <si>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</si>
  <si>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</si>
  <si>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</si>
  <si>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</si>
  <si>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</si>
  <si>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</si>
  <si>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</si>
  <si>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</si>
  <si>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</si>
  <si>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</si>
  <si>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</si>
  <si>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</si>
  <si>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</si>
  <si>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</si>
  <si>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</si>
  <si>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</si>
  <si>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</si>
  <si>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</si>
  <si>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</si>
  <si>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</si>
  <si>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</si>
  <si>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</si>
  <si>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</si>
  <si>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</si>
  <si>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</si>
  <si>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</si>
  <si>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</si>
  <si>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</si>
  <si>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</si>
  <si>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</si>
  <si>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</si>
  <si>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</si>
  <si>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</si>
  <si>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</si>
  <si>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</si>
  <si>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</si>
  <si>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</si>
  <si>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</si>
  <si>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</si>
  <si>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</si>
  <si>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</si>
  <si>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</si>
  <si>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</si>
  <si>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</si>
  <si>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</si>
  <si>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</si>
  <si>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</si>
  <si>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</si>
  <si>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</si>
  <si>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</si>
  <si>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</si>
  <si>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</si>
  <si>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</si>
  <si>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</si>
  <si>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</si>
  <si>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</si>
  <si>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</si>
  <si>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</si>
  <si>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</si>
  <si>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</si>
  <si>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</si>
  <si>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</si>
  <si>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</si>
  <si>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</si>
  <si>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</si>
  <si>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</si>
  <si>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</si>
  <si>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</si>
  <si>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</si>
  <si>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</si>
  <si>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</si>
  <si>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</si>
  <si>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</si>
  <si>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</si>
  <si>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</si>
  <si>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</si>
  <si>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</si>
  <si>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</si>
  <si>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</si>
  <si>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</si>
  <si>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</si>
  <si>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</si>
  <si>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</si>
  <si>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</si>
  <si>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</si>
  <si>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</si>
  <si>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</si>
  <si>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</si>
  <si>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</si>
  <si>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</si>
  <si>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</si>
  <si>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</si>
  <si>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</si>
  <si>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</si>
  <si>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</si>
  <si>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</si>
  <si>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</si>
  <si>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</si>
  <si>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</si>
  <si>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</si>
  <si>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</si>
  <si>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</si>
  <si>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</si>
  <si>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</si>
  <si>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</si>
  <si>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</si>
  <si>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</si>
  <si>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</si>
  <si>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</si>
  <si>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</si>
  <si>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</si>
  <si>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</si>
  <si>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</si>
  <si>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</si>
  <si>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</si>
  <si>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</si>
  <si>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</si>
  <si>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</si>
  <si>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</si>
  <si>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</si>
  <si>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</si>
  <si>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</si>
  <si>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</si>
  <si>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</si>
  <si>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</si>
  <si>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</si>
  <si>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</si>
  <si>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</si>
  <si>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</si>
  <si>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</si>
  <si>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</si>
  <si>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</si>
  <si>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</si>
  <si>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</si>
  <si>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</si>
  <si>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</si>
  <si>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</si>
  <si>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</si>
  <si>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</si>
  <si>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</si>
  <si>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</si>
  <si>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</si>
  <si>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</si>
  <si>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</si>
  <si>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</si>
  <si>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</si>
  <si>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</si>
  <si>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</si>
  <si>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</si>
  <si>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</si>
  <si>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</si>
  <si>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</si>
  <si>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</si>
  <si>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</si>
  <si>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</si>
  <si>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</si>
  <si>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</si>
  <si>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</si>
  <si>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</si>
  <si>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</si>
  <si>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</si>
  <si>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</si>
  <si>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</si>
  <si>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</si>
  <si>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</si>
  <si>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</si>
  <si>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</si>
  <si>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</si>
  <si>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</si>
  <si>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</si>
  <si>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</si>
  <si>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</si>
  <si>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</si>
  <si>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</si>
  <si>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</si>
  <si>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</si>
  <si>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</si>
  <si>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</si>
  <si>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</si>
  <si>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</si>
  <si>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</si>
  <si>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</si>
  <si>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</si>
  <si>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</si>
  <si>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</si>
  <si>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</si>
  <si>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</si>
  <si>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</si>
  <si>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</si>
  <si>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</si>
  <si>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</si>
  <si>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</si>
  <si>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</si>
  <si>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</si>
  <si>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</si>
  <si>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</si>
  <si>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</si>
  <si>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</si>
  <si>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</si>
  <si>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</si>
  <si>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</si>
  <si>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</si>
  <si>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</si>
  <si>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</si>
  <si>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</si>
  <si>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</si>
  <si>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</si>
  <si>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</si>
  <si>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</si>
  <si>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Key:</t>
  </si>
  <si>
    <t>(C) Calculation Sheet</t>
  </si>
  <si>
    <t>(D) Data Sheet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</si>
  <si>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</si>
  <si>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</si>
  <si>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</si>
  <si>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</si>
  <si>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</si>
  <si>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</si>
  <si>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</si>
  <si>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</si>
  <si>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</si>
  <si>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</si>
  <si>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5 yr Bonds</t>
  </si>
  <si>
    <t xml:space="preserve">Stock accumulation index </t>
  </si>
  <si>
    <t>MRP For GEOMEAN 10 yr</t>
  </si>
  <si>
    <t>MRP for Geomean 5 yr</t>
  </si>
  <si>
    <t xml:space="preserve"> 10 yr Bonds</t>
  </si>
  <si>
    <t>RFR &amp; MRP Term Differences</t>
  </si>
  <si>
    <t>Model Map</t>
  </si>
  <si>
    <t xml:space="preserve"> </t>
  </si>
  <si>
    <t>S2</t>
  </si>
  <si>
    <t>S3</t>
  </si>
  <si>
    <t>S4</t>
  </si>
  <si>
    <t>S5</t>
  </si>
  <si>
    <t>S6</t>
  </si>
  <si>
    <t>S1</t>
  </si>
  <si>
    <t>Data model for graphs and tables</t>
  </si>
  <si>
    <t>Tab colour meanings:</t>
  </si>
  <si>
    <t>Cell colour meanings:</t>
  </si>
  <si>
    <t>(S) Summary Outputs</t>
  </si>
  <si>
    <t>Checks</t>
  </si>
  <si>
    <t>MRP Difference</t>
  </si>
  <si>
    <t>RFR Term Differences</t>
  </si>
  <si>
    <t>RFR Difference</t>
  </si>
  <si>
    <t>MRP 5- and 10-year averages</t>
  </si>
  <si>
    <t>Analysis of MRP Options across 2018-2022</t>
  </si>
  <si>
    <t>Difference Option 1 and Option 3b</t>
  </si>
  <si>
    <t>A</t>
  </si>
  <si>
    <t>B</t>
  </si>
  <si>
    <t>C = A-B</t>
  </si>
  <si>
    <t>ENA RFR Data (ENA 3)</t>
  </si>
  <si>
    <t>Average Annual RFR (ENA 3)</t>
  </si>
  <si>
    <t>Analysis of HER and DGM approaches for MRP (pre-work)</t>
  </si>
  <si>
    <t>Historic differences in yield for 5- and 10-year government bonds</t>
  </si>
  <si>
    <t>View of ROE impacts from MRP options across regulatory period ('18-'22)</t>
  </si>
  <si>
    <t>View of MRP options movement across regulatory period ('18-'22)</t>
  </si>
  <si>
    <t>Constants</t>
  </si>
  <si>
    <t>ROE scenario analysis using HER and DGM approaches for MRP</t>
  </si>
  <si>
    <t>Sensitivity testing - Term, Beta, RFR</t>
  </si>
  <si>
    <t>Version</t>
  </si>
  <si>
    <t>Periods</t>
  </si>
  <si>
    <t>For the period 2010 to 2022</t>
  </si>
  <si>
    <t>Rolling 20 day average of 10-year CGS yield</t>
  </si>
  <si>
    <t>10-year RFR as at 28-Feb-22</t>
  </si>
  <si>
    <t>Rolling 20 day average of 5-year CGS yield</t>
  </si>
  <si>
    <t>5-year RFR as at 28-Feb-22</t>
  </si>
  <si>
    <t>Method</t>
  </si>
  <si>
    <t>Value</t>
  </si>
  <si>
    <t>Datapoint Description</t>
  </si>
  <si>
    <t>MRP average 10-year</t>
  </si>
  <si>
    <t>Average 10-year GEOMEAN of MRP from 1988-2021</t>
  </si>
  <si>
    <t>MRP average 5-year</t>
  </si>
  <si>
    <t>Average 5-year GEOMEAN of MRP from 1988-2021</t>
  </si>
  <si>
    <t>Annual Three-stage DGM estimate 2022</t>
  </si>
  <si>
    <t>Annual Three-stage DGM estimate 2011-2021</t>
  </si>
  <si>
    <t>Average of January and February 2022</t>
  </si>
  <si>
    <t>Average of final two months of each year</t>
  </si>
  <si>
    <t>1972-2022</t>
  </si>
  <si>
    <t>1980-2022</t>
  </si>
  <si>
    <t>1988-2022</t>
  </si>
  <si>
    <t>2010-2022</t>
  </si>
  <si>
    <t>Model Key</t>
  </si>
  <si>
    <t>Contents</t>
  </si>
  <si>
    <t xml:space="preserve">Formula(e) </t>
  </si>
  <si>
    <t>INTERFACE &gt;</t>
  </si>
  <si>
    <t>Cover</t>
  </si>
  <si>
    <t>DATA &gt;</t>
  </si>
  <si>
    <t>CALCULATION &gt;</t>
  </si>
  <si>
    <t>SUMMARY OUTPUT &gt;</t>
  </si>
  <si>
    <t>RFR Scenarios</t>
  </si>
  <si>
    <t>Estimated ROE using MRP Option 1</t>
  </si>
  <si>
    <t>Estimated ROE using MRP option 3b</t>
  </si>
  <si>
    <t>End of sheet</t>
  </si>
  <si>
    <t>Tracking Sheet</t>
  </si>
  <si>
    <t>Verified Inputs</t>
  </si>
  <si>
    <t>Note: From BHM Rm, MRP Calculations tab in AER - WACC - Historical excess returns 2022_ES 5 yr, takes average from 1988 to target year.</t>
  </si>
  <si>
    <t>RFR 2</t>
  </si>
  <si>
    <t>Australian Government 5 year bond</t>
  </si>
  <si>
    <t>Australian Government 10 year bond</t>
  </si>
  <si>
    <t>Full Dataset 5-year (1972-2021)</t>
  </si>
  <si>
    <t>Full Dataset 10-year (1972-2021)</t>
  </si>
  <si>
    <t>Yields on Australian government bonds, 10 years maturity</t>
  </si>
  <si>
    <t>Yields on Australian government bonds, 5 years maturity</t>
  </si>
  <si>
    <t>Yields on Commonwealth government bonds, 5 years maturity</t>
  </si>
  <si>
    <t>Term Scenarios - 2010-2022</t>
  </si>
  <si>
    <t>Term Scenarios - 1988-2022</t>
  </si>
  <si>
    <t>Household Bill Impacts of Approach options</t>
  </si>
  <si>
    <t>RFR latest (10-year)</t>
  </si>
  <si>
    <t>HER MRP (10-year)</t>
  </si>
  <si>
    <t>See 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</si>
</sst>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?_);_(@_)"/>
    <numFmt numFmtId="165" formatCode="mmm\-yyyy"/>
    <numFmt numFmtId="166" formatCode="0.0%"/>
    <numFmt numFmtId="167" formatCode="\+0.0%;[Red]\-0.0%"/>
    <numFmt numFmtId="168" formatCode="\+0.00%;[Red]\-0.00%"/>
    <numFmt numFmtId="169" formatCode="\+#,##0.00;[Red]\-#,##0.00"/>
    <numFmt numFmtId="170" formatCode="_-[$$-409]* #,##0.00_ ;_-[$$-409]* \-#,##0.00\ ;_-[$$-409]* &quot;-&quot;??_ ;_-@_ "/>
    <numFmt numFmtId="171" formatCode="\+\$#,##0;[Red]\-\$#,##0"/>
    <numFmt numFmtId="172" formatCode="0.00000000000000000%"/>
    <numFmt numFmtId="173" formatCode="_-[$$-409]* \+#,##0_ ;[Red]_-[$$-409]* \-#,##0\ ;_-[$$-409]* &quot;-&quot;_ ;_-@_ "/>
    <numFmt numFmtId="174" formatCode="0.000%"/>
    <numFmt numFmtId="175" formatCode="\+0.00%"/>
    <numFmt numFmtId="176" formatCode="_-[$$-409]* #,##0_ ;_-[$$-409]* \-#,##0\ ;_-[$$-409]* &quot;-&quot;??_ ;_-@_ "/>
    <numFmt numFmtId="177" formatCode="0.00000"/>
  </numFmts>
  <fonts count="69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TimesNewRomanPSMT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6"/>
      <name val="Calibri"/>
      <family val="2"/>
      <scheme val="minor"/>
    </font>
    <font>
      <sz val="16"/>
      <color theme="0"/>
      <name val="Avenir Next Regula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Avenir Next Regular"/>
    </font>
    <font>
      <sz val="11"/>
      <color theme="1"/>
      <name val="Avenir Next Regular"/>
    </font>
    <font>
      <u/>
      <sz val="12"/>
      <color theme="10"/>
      <name val="TimesNewRomanPSMT"/>
      <family val="2"/>
    </font>
    <font>
      <u/>
      <sz val="11"/>
      <color theme="10"/>
      <name val="Open Sans"/>
      <family val="2"/>
    </font>
    <font>
      <sz val="16"/>
      <name val="Calibri"/>
      <family val="2"/>
    </font>
    <font>
      <sz val="16"/>
      <color rgb="FFFFFFFF"/>
      <name val="Avenir Next Regula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i/>
      <sz val="9"/>
      <name val="Avenir Next Regular"/>
    </font>
    <font>
      <b/>
      <i/>
      <sz val="11"/>
      <name val="Calibri"/>
      <family val="2"/>
      <scheme val="minor"/>
    </font>
    <font>
      <sz val="10"/>
      <name val="MS Sans Serif"/>
      <family val="2"/>
    </font>
    <font>
      <b/>
      <sz val="10"/>
      <name val="Avenir Next Regular"/>
    </font>
    <font>
      <sz val="10"/>
      <name val="Avenir Next Regular"/>
    </font>
    <font>
      <b/>
      <sz val="12"/>
      <name val="Avenir Next Regular"/>
    </font>
    <font>
      <sz val="9"/>
      <color indexed="8"/>
      <name val="Avenir Next Regular"/>
    </font>
    <font>
      <sz val="9"/>
      <name val="Avenir Next Regular"/>
    </font>
    <font>
      <sz val="16"/>
      <name val="Avenir Next Regular"/>
    </font>
    <font>
      <sz val="12"/>
      <color theme="1"/>
      <name val="Avenir Next Regular"/>
    </font>
    <font>
      <b/>
      <sz val="12"/>
      <color theme="1"/>
      <name val="Avenir Next Regular"/>
    </font>
    <font>
      <sz val="8"/>
      <name val="Avenir Next Regular"/>
    </font>
    <font>
      <i/>
      <sz val="12"/>
      <color theme="1"/>
      <name val="Avenir Next Regular"/>
    </font>
    <font>
      <sz val="11"/>
      <name val="Avenir Next Regular"/>
    </font>
    <font>
      <b/>
      <sz val="14"/>
      <name val="Arial"/>
      <family val="2"/>
    </font>
    <font>
      <b/>
      <sz val="11"/>
      <name val="Avenir Next Regular"/>
    </font>
    <font>
      <sz val="12"/>
      <name val="Avenir Next Regular"/>
    </font>
    <font>
      <b/>
      <i/>
      <sz val="9"/>
      <name val="Avenir Next Regular"/>
    </font>
    <font>
      <i/>
      <sz val="8"/>
      <name val="Avenir Next Regular"/>
    </font>
    <font>
      <u/>
      <sz val="10"/>
      <name val="Avenir Next Regular"/>
    </font>
    <font>
      <b/>
      <sz val="20"/>
      <name val="Avenir Next Regular"/>
    </font>
    <font>
      <b/>
      <sz val="20"/>
      <name val="Calibri"/>
      <family val="2"/>
      <scheme val="minor"/>
    </font>
    <font>
      <b/>
      <sz val="20"/>
      <name val="Neue Haas Grotesk Text Pro"/>
      <family val="2"/>
    </font>
    <font>
      <sz val="20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</font>
    <font>
      <sz val="12"/>
      <name val="Arial Narrow"/>
      <family val="2"/>
    </font>
    <font>
      <sz val="20"/>
      <name val="Arial"/>
      <family val="2"/>
    </font>
    <font>
      <sz val="11"/>
      <name val="Open Sans"/>
      <family val="2"/>
    </font>
    <font>
      <b/>
      <sz val="9"/>
      <name val="Avenir Next Regula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Avenir Next Regular"/>
    </font>
    <font>
      <sz val="12"/>
      <color theme="1"/>
      <name val="Avenir Next"/>
      <family val="2"/>
    </font>
    <font>
      <u/>
      <sz val="12"/>
      <color theme="10"/>
      <name val="Avenir Next"/>
      <family val="2"/>
    </font>
    <font>
      <u/>
      <sz val="10"/>
      <color indexed="12"/>
      <name val="Avenir Next Regular"/>
    </font>
    <font>
      <u/>
      <sz val="12"/>
      <color theme="10"/>
      <name val="Calibri"/>
      <family val="2"/>
      <scheme val="minor"/>
    </font>
    <font>
      <b/>
      <sz val="11"/>
      <color theme="0"/>
      <name val="Avenir Next Regular"/>
    </font>
    <font>
      <sz val="11"/>
      <color theme="0"/>
      <name val="Avenir Next Regular"/>
    </font>
    <font>
      <u/>
      <sz val="10"/>
      <name val="Geneva"/>
      <family val="2"/>
    </font>
    <font>
      <sz val="10"/>
      <color indexed="8"/>
      <name val="Avenir Next Regula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5E1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8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10" applyNumberFormat="0" applyAlignment="0" applyProtection="0"/>
    <xf numFmtId="0" fontId="25" fillId="8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6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0" fontId="1" fillId="0" borderId="0"/>
    <xf numFmtId="0" fontId="6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8"/>
    <xf numFmtId="0" fontId="6" fillId="0" borderId="0" xfId="8" applyFont="1"/>
    <xf numFmtId="0" fontId="9" fillId="0" borderId="0" xfId="10"/>
    <xf numFmtId="0" fontId="12" fillId="0" borderId="0" xfId="10" applyFont="1" applyAlignment="1">
      <alignment vertical="top"/>
    </xf>
    <xf numFmtId="0" fontId="13" fillId="0" borderId="0" xfId="10" applyFont="1" applyAlignment="1">
      <alignment vertical="top"/>
    </xf>
    <xf numFmtId="0" fontId="26" fillId="0" borderId="0" xfId="6" applyFont="1"/>
    <xf numFmtId="10" fontId="26" fillId="0" borderId="0" xfId="15" applyNumberFormat="1" applyFont="1"/>
    <xf numFmtId="9" fontId="26" fillId="0" borderId="0" xfId="6" applyNumberFormat="1" applyFont="1"/>
    <xf numFmtId="0" fontId="8" fillId="0" borderId="0" xfId="24"/>
    <xf numFmtId="0" fontId="8" fillId="0" borderId="1" xfId="24" applyBorder="1"/>
    <xf numFmtId="0" fontId="10" fillId="0" borderId="0" xfId="24" applyFont="1" applyAlignment="1">
      <alignment vertical="top"/>
    </xf>
    <xf numFmtId="0" fontId="11" fillId="0" borderId="0" xfId="24" applyFont="1" applyAlignment="1">
      <alignment vertical="center"/>
    </xf>
    <xf numFmtId="0" fontId="27" fillId="0" borderId="0" xfId="10" applyFont="1" applyAlignment="1">
      <alignment vertical="top"/>
    </xf>
    <xf numFmtId="0" fontId="28" fillId="0" borderId="0" xfId="10" applyFont="1" applyAlignment="1">
      <alignment vertical="top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10" fontId="31" fillId="0" borderId="0" xfId="7" applyNumberFormat="1" applyFont="1"/>
    <xf numFmtId="0" fontId="31" fillId="0" borderId="0" xfId="0" applyFont="1" applyAlignment="1">
      <alignment wrapText="1"/>
    </xf>
    <xf numFmtId="0" fontId="31" fillId="0" borderId="1" xfId="0" applyFont="1" applyBorder="1" applyAlignment="1">
      <alignment horizontal="center" wrapText="1"/>
    </xf>
    <xf numFmtId="2" fontId="30" fillId="0" borderId="1" xfId="0" applyNumberFormat="1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9" fontId="31" fillId="0" borderId="0" xfId="0" applyNumberFormat="1" applyFont="1" applyAlignment="1">
      <alignment horizontal="center"/>
    </xf>
    <xf numFmtId="0" fontId="31" fillId="0" borderId="1" xfId="0" applyFont="1" applyBorder="1" applyAlignment="1">
      <alignment wrapText="1"/>
    </xf>
    <xf numFmtId="2" fontId="31" fillId="0" borderId="0" xfId="0" applyNumberFormat="1" applyFont="1" applyAlignment="1">
      <alignment horizontal="center"/>
    </xf>
    <xf numFmtId="0" fontId="15" fillId="0" borderId="0" xfId="6" applyFont="1"/>
    <xf numFmtId="10" fontId="15" fillId="0" borderId="0" xfId="6" applyNumberFormat="1" applyFont="1"/>
    <xf numFmtId="0" fontId="15" fillId="0" borderId="0" xfId="6" applyFont="1" applyAlignment="1">
      <alignment horizontal="center"/>
    </xf>
    <xf numFmtId="0" fontId="14" fillId="0" borderId="0" xfId="6" applyFont="1"/>
    <xf numFmtId="0" fontId="36" fillId="0" borderId="0" xfId="6" applyFont="1"/>
    <xf numFmtId="173" fontId="15" fillId="0" borderId="0" xfId="6" applyNumberFormat="1" applyFont="1"/>
    <xf numFmtId="0" fontId="35" fillId="0" borderId="0" xfId="24" applyFont="1" applyAlignment="1">
      <alignment vertical="top"/>
    </xf>
    <xf numFmtId="0" fontId="15" fillId="0" borderId="0" xfId="24" applyFont="1"/>
    <xf numFmtId="0" fontId="15" fillId="0" borderId="0" xfId="24" applyFont="1" applyAlignment="1">
      <alignment horizontal="right"/>
    </xf>
    <xf numFmtId="10" fontId="15" fillId="0" borderId="0" xfId="24" applyNumberFormat="1" applyFont="1"/>
    <xf numFmtId="166" fontId="31" fillId="0" borderId="0" xfId="15" applyNumberFormat="1" applyFont="1" applyAlignment="1">
      <alignment horizontal="right"/>
    </xf>
    <xf numFmtId="0" fontId="14" fillId="0" borderId="0" xfId="24" applyFont="1"/>
    <xf numFmtId="175" fontId="15" fillId="0" borderId="0" xfId="24" applyNumberFormat="1" applyFont="1"/>
    <xf numFmtId="166" fontId="15" fillId="0" borderId="0" xfId="24" applyNumberFormat="1" applyFont="1"/>
    <xf numFmtId="0" fontId="31" fillId="0" borderId="0" xfId="8" applyFont="1"/>
    <xf numFmtId="0" fontId="38" fillId="0" borderId="0" xfId="8" applyFont="1"/>
    <xf numFmtId="0" fontId="36" fillId="0" borderId="0" xfId="6" applyFont="1" applyAlignment="1">
      <alignment wrapText="1"/>
    </xf>
    <xf numFmtId="10" fontId="36" fillId="0" borderId="0" xfId="6" applyNumberFormat="1" applyFont="1"/>
    <xf numFmtId="10" fontId="36" fillId="0" borderId="0" xfId="15" applyNumberFormat="1" applyFont="1"/>
    <xf numFmtId="0" fontId="40" fillId="0" borderId="0" xfId="6" applyFont="1"/>
    <xf numFmtId="0" fontId="40" fillId="0" borderId="0" xfId="0" applyFont="1"/>
    <xf numFmtId="172" fontId="40" fillId="0" borderId="0" xfId="0" applyNumberFormat="1" applyFont="1"/>
    <xf numFmtId="0" fontId="30" fillId="0" borderId="5" xfId="0" applyFont="1" applyBorder="1"/>
    <xf numFmtId="0" fontId="30" fillId="0" borderId="8" xfId="0" applyFont="1" applyBorder="1"/>
    <xf numFmtId="0" fontId="30" fillId="0" borderId="3" xfId="0" applyFont="1" applyBorder="1"/>
    <xf numFmtId="9" fontId="32" fillId="0" borderId="13" xfId="15" applyFont="1" applyFill="1" applyBorder="1" applyAlignment="1">
      <alignment horizontal="center" vertical="center" wrapText="1"/>
    </xf>
    <xf numFmtId="9" fontId="32" fillId="0" borderId="14" xfId="15" applyFont="1" applyFill="1" applyBorder="1" applyAlignment="1">
      <alignment horizontal="center" vertical="center" wrapText="1"/>
    </xf>
    <xf numFmtId="9" fontId="32" fillId="0" borderId="15" xfId="15" applyFont="1" applyFill="1" applyBorder="1" applyAlignment="1">
      <alignment horizontal="center" vertical="center" wrapText="1"/>
    </xf>
    <xf numFmtId="9" fontId="32" fillId="0" borderId="12" xfId="15" applyFont="1" applyFill="1" applyBorder="1" applyAlignment="1">
      <alignment horizontal="center" vertical="center" wrapText="1"/>
    </xf>
    <xf numFmtId="0" fontId="37" fillId="0" borderId="9" xfId="6" applyFont="1" applyBorder="1"/>
    <xf numFmtId="0" fontId="14" fillId="0" borderId="1" xfId="24" applyFont="1" applyBorder="1" applyAlignment="1">
      <alignment horizontal="center" vertical="center" wrapText="1"/>
    </xf>
    <xf numFmtId="0" fontId="19" fillId="0" borderId="0" xfId="24" applyFont="1" applyAlignment="1">
      <alignment vertical="center"/>
    </xf>
    <xf numFmtId="0" fontId="31" fillId="0" borderId="6" xfId="0" applyFont="1" applyBorder="1"/>
    <xf numFmtId="0" fontId="44" fillId="0" borderId="0" xfId="10" applyFont="1" applyAlignment="1">
      <alignment vertical="top"/>
    </xf>
    <xf numFmtId="0" fontId="40" fillId="0" borderId="0" xfId="10" applyFont="1" applyAlignment="1">
      <alignment vertical="top"/>
    </xf>
    <xf numFmtId="0" fontId="45" fillId="0" borderId="0" xfId="10" applyFont="1" applyAlignment="1">
      <alignment horizontal="center" vertical="center" wrapText="1"/>
    </xf>
    <xf numFmtId="0" fontId="40" fillId="9" borderId="0" xfId="10" applyFont="1" applyFill="1" applyAlignment="1">
      <alignment vertical="top"/>
    </xf>
    <xf numFmtId="2" fontId="31" fillId="0" borderId="0" xfId="8" applyNumberFormat="1" applyFont="1" applyAlignment="1">
      <alignment horizontal="center"/>
    </xf>
    <xf numFmtId="0" fontId="31" fillId="0" borderId="0" xfId="8" applyFont="1" applyAlignment="1">
      <alignment horizontal="center"/>
    </xf>
    <xf numFmtId="0" fontId="38" fillId="0" borderId="0" xfId="8" applyFont="1" applyAlignment="1">
      <alignment horizontal="center"/>
    </xf>
    <xf numFmtId="2" fontId="34" fillId="5" borderId="0" xfId="8" applyNumberFormat="1" applyFont="1" applyFill="1" applyAlignment="1">
      <alignment horizontal="center"/>
    </xf>
    <xf numFmtId="2" fontId="31" fillId="5" borderId="0" xfId="8" applyNumberFormat="1" applyFont="1" applyFill="1" applyAlignment="1">
      <alignment horizontal="center"/>
    </xf>
    <xf numFmtId="0" fontId="31" fillId="5" borderId="0" xfId="8" applyFont="1" applyFill="1" applyAlignment="1">
      <alignment horizontal="center"/>
    </xf>
    <xf numFmtId="0" fontId="15" fillId="5" borderId="0" xfId="10" applyFont="1" applyFill="1"/>
    <xf numFmtId="0" fontId="15" fillId="10" borderId="0" xfId="10" applyFont="1" applyFill="1"/>
    <xf numFmtId="0" fontId="40" fillId="5" borderId="0" xfId="10" applyFont="1" applyFill="1" applyAlignment="1">
      <alignment vertical="top"/>
    </xf>
    <xf numFmtId="0" fontId="15" fillId="6" borderId="0" xfId="10" applyFont="1" applyFill="1"/>
    <xf numFmtId="0" fontId="40" fillId="11" borderId="0" xfId="10" applyFont="1" applyFill="1" applyAlignment="1">
      <alignment vertical="top"/>
    </xf>
    <xf numFmtId="2" fontId="31" fillId="6" borderId="0" xfId="0" applyNumberFormat="1" applyFont="1" applyFill="1" applyAlignment="1">
      <alignment horizontal="center"/>
    </xf>
    <xf numFmtId="43" fontId="31" fillId="6" borderId="0" xfId="1" applyFont="1" applyFill="1" applyBorder="1" applyAlignment="1">
      <alignment horizontal="center"/>
    </xf>
    <xf numFmtId="0" fontId="46" fillId="0" borderId="0" xfId="3" applyFont="1" applyAlignment="1" applyProtection="1">
      <alignment horizontal="left"/>
    </xf>
    <xf numFmtId="0" fontId="35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0" xfId="10" applyFont="1" applyAlignment="1">
      <alignment vertical="top"/>
    </xf>
    <xf numFmtId="0" fontId="48" fillId="0" borderId="0" xfId="10" applyFont="1" applyAlignment="1">
      <alignment vertical="center"/>
    </xf>
    <xf numFmtId="0" fontId="49" fillId="0" borderId="0" xfId="10" applyFont="1" applyAlignment="1">
      <alignment vertical="center"/>
    </xf>
    <xf numFmtId="0" fontId="50" fillId="0" borderId="0" xfId="10" applyFont="1" applyAlignment="1">
      <alignment vertical="center"/>
    </xf>
    <xf numFmtId="0" fontId="35" fillId="0" borderId="0" xfId="10" applyFont="1" applyAlignment="1">
      <alignment vertical="center"/>
    </xf>
    <xf numFmtId="0" fontId="48" fillId="0" borderId="0" xfId="24" applyFont="1" applyAlignment="1">
      <alignment vertical="center"/>
    </xf>
    <xf numFmtId="0" fontId="49" fillId="0" borderId="0" xfId="24" applyFont="1" applyAlignment="1">
      <alignment vertical="center"/>
    </xf>
    <xf numFmtId="0" fontId="50" fillId="0" borderId="0" xfId="24" applyFont="1" applyAlignment="1">
      <alignment vertical="center"/>
    </xf>
    <xf numFmtId="0" fontId="35" fillId="0" borderId="0" xfId="24" applyFont="1" applyAlignment="1">
      <alignment vertical="center"/>
    </xf>
    <xf numFmtId="0" fontId="12" fillId="0" borderId="0" xfId="24" applyFont="1"/>
    <xf numFmtId="0" fontId="54" fillId="0" borderId="0" xfId="10" applyFont="1" applyAlignment="1">
      <alignment vertical="center"/>
    </xf>
    <xf numFmtId="0" fontId="55" fillId="0" borderId="0" xfId="10" applyFont="1"/>
    <xf numFmtId="0" fontId="51" fillId="0" borderId="0" xfId="0" applyFont="1" applyAlignment="1">
      <alignment vertical="center"/>
    </xf>
    <xf numFmtId="0" fontId="53" fillId="0" borderId="0" xfId="24" applyFont="1"/>
    <xf numFmtId="0" fontId="18" fillId="0" borderId="0" xfId="0" applyFont="1" applyAlignment="1">
      <alignment vertical="top"/>
    </xf>
    <xf numFmtId="2" fontId="36" fillId="0" borderId="0" xfId="24" applyNumberFormat="1" applyFont="1"/>
    <xf numFmtId="0" fontId="36" fillId="0" borderId="0" xfId="24" applyFont="1"/>
    <xf numFmtId="166" fontId="36" fillId="0" borderId="0" xfId="15" applyNumberFormat="1" applyFont="1" applyFill="1" applyBorder="1"/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32" fillId="0" borderId="0" xfId="24" applyFont="1" applyAlignment="1">
      <alignment horizontal="center"/>
    </xf>
    <xf numFmtId="0" fontId="36" fillId="0" borderId="0" xfId="24" applyFont="1" applyAlignment="1">
      <alignment horizontal="center"/>
    </xf>
    <xf numFmtId="0" fontId="37" fillId="0" borderId="0" xfId="24" applyFont="1" applyAlignment="1">
      <alignment horizontal="center" wrapText="1"/>
    </xf>
    <xf numFmtId="0" fontId="36" fillId="0" borderId="0" xfId="24" applyFont="1" applyAlignment="1">
      <alignment horizontal="center" wrapText="1"/>
    </xf>
    <xf numFmtId="10" fontId="36" fillId="0" borderId="0" xfId="7" applyNumberFormat="1" applyFont="1" applyFill="1" applyBorder="1" applyAlignment="1">
      <alignment horizontal="center"/>
    </xf>
    <xf numFmtId="2" fontId="36" fillId="0" borderId="0" xfId="7" applyNumberFormat="1" applyFont="1" applyFill="1" applyBorder="1" applyAlignment="1">
      <alignment horizontal="center"/>
    </xf>
    <xf numFmtId="10" fontId="36" fillId="5" borderId="0" xfId="7" applyNumberFormat="1" applyFont="1" applyFill="1" applyBorder="1" applyAlignment="1">
      <alignment horizontal="center"/>
    </xf>
    <xf numFmtId="2" fontId="36" fillId="6" borderId="0" xfId="7" applyNumberFormat="1" applyFont="1" applyFill="1" applyBorder="1" applyAlignment="1">
      <alignment horizontal="center"/>
    </xf>
    <xf numFmtId="165" fontId="34" fillId="0" borderId="0" xfId="8" applyNumberFormat="1" applyFont="1" applyAlignment="1">
      <alignment horizontal="center"/>
    </xf>
    <xf numFmtId="0" fontId="4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56" fillId="0" borderId="0" xfId="9" applyFont="1" applyAlignment="1">
      <alignment horizontal="center" wrapText="1"/>
    </xf>
    <xf numFmtId="2" fontId="56" fillId="0" borderId="0" xfId="8" applyNumberFormat="1" applyFont="1" applyAlignment="1">
      <alignment horizontal="center" wrapText="1"/>
    </xf>
    <xf numFmtId="2" fontId="56" fillId="0" borderId="0" xfId="0" applyNumberFormat="1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7" fillId="0" borderId="0" xfId="6" applyFont="1"/>
    <xf numFmtId="0" fontId="32" fillId="0" borderId="0" xfId="6" applyFont="1"/>
    <xf numFmtId="0" fontId="57" fillId="0" borderId="0" xfId="6" applyFont="1"/>
    <xf numFmtId="10" fontId="15" fillId="5" borderId="0" xfId="7" applyNumberFormat="1" applyFont="1" applyFill="1"/>
    <xf numFmtId="0" fontId="31" fillId="7" borderId="0" xfId="0" applyFont="1" applyFill="1"/>
    <xf numFmtId="10" fontId="31" fillId="6" borderId="0" xfId="0" applyNumberFormat="1" applyFont="1" applyFill="1"/>
    <xf numFmtId="10" fontId="36" fillId="0" borderId="0" xfId="15" applyNumberFormat="1" applyFont="1" applyFill="1"/>
    <xf numFmtId="0" fontId="37" fillId="0" borderId="5" xfId="6" applyFont="1" applyBorder="1"/>
    <xf numFmtId="9" fontId="32" fillId="0" borderId="6" xfId="15" applyFont="1" applyFill="1" applyBorder="1" applyAlignment="1">
      <alignment horizontal="center" vertical="center" wrapText="1"/>
    </xf>
    <xf numFmtId="0" fontId="32" fillId="0" borderId="6" xfId="6" applyFont="1" applyBorder="1" applyAlignment="1">
      <alignment horizontal="center" vertical="center" wrapText="1"/>
    </xf>
    <xf numFmtId="0" fontId="32" fillId="0" borderId="6" xfId="6" applyFont="1" applyBorder="1" applyAlignment="1">
      <alignment horizontal="center" vertical="center"/>
    </xf>
    <xf numFmtId="9" fontId="32" fillId="0" borderId="7" xfId="15" applyFont="1" applyFill="1" applyBorder="1" applyAlignment="1">
      <alignment horizontal="center" vertical="center" wrapText="1"/>
    </xf>
    <xf numFmtId="0" fontId="36" fillId="0" borderId="8" xfId="6" applyFont="1" applyBorder="1"/>
    <xf numFmtId="10" fontId="36" fillId="0" borderId="0" xfId="15" applyNumberFormat="1" applyFont="1" applyFill="1" applyBorder="1" applyAlignment="1">
      <alignment horizontal="center" vertical="center"/>
    </xf>
    <xf numFmtId="0" fontId="32" fillId="0" borderId="5" xfId="6" applyFont="1" applyBorder="1"/>
    <xf numFmtId="10" fontId="36" fillId="6" borderId="0" xfId="15" applyNumberFormat="1" applyFont="1" applyFill="1" applyBorder="1" applyAlignment="1">
      <alignment horizontal="center" vertical="center"/>
    </xf>
    <xf numFmtId="10" fontId="36" fillId="6" borderId="0" xfId="6" applyNumberFormat="1" applyFont="1" applyFill="1" applyAlignment="1">
      <alignment horizontal="center" vertical="center"/>
    </xf>
    <xf numFmtId="10" fontId="36" fillId="6" borderId="0" xfId="15" applyNumberFormat="1" applyFont="1" applyFill="1" applyBorder="1"/>
    <xf numFmtId="10" fontId="36" fillId="6" borderId="9" xfId="6" applyNumberFormat="1" applyFont="1" applyFill="1" applyBorder="1"/>
    <xf numFmtId="10" fontId="36" fillId="5" borderId="0" xfId="15" applyNumberFormat="1" applyFont="1" applyFill="1" applyBorder="1" applyAlignment="1">
      <alignment horizontal="center" vertical="center"/>
    </xf>
    <xf numFmtId="10" fontId="43" fillId="5" borderId="0" xfId="15" applyNumberFormat="1" applyFont="1" applyFill="1" applyBorder="1" applyAlignment="1">
      <alignment horizontal="center" vertical="center"/>
    </xf>
    <xf numFmtId="10" fontId="39" fillId="6" borderId="11" xfId="6" applyNumberFormat="1" applyFont="1" applyFill="1" applyBorder="1"/>
    <xf numFmtId="10" fontId="39" fillId="6" borderId="18" xfId="6" applyNumberFormat="1" applyFont="1" applyFill="1" applyBorder="1"/>
    <xf numFmtId="0" fontId="43" fillId="0" borderId="19" xfId="6" applyFont="1" applyBorder="1"/>
    <xf numFmtId="0" fontId="30" fillId="0" borderId="6" xfId="0" applyFont="1" applyBorder="1"/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0" fillId="0" borderId="8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1" xfId="0" applyFont="1" applyBorder="1"/>
    <xf numFmtId="2" fontId="30" fillId="0" borderId="2" xfId="0" applyNumberFormat="1" applyFont="1" applyBorder="1" applyAlignment="1">
      <alignment horizontal="center" wrapText="1"/>
    </xf>
    <xf numFmtId="169" fontId="31" fillId="6" borderId="0" xfId="0" applyNumberFormat="1" applyFont="1" applyFill="1" applyAlignment="1">
      <alignment horizontal="center"/>
    </xf>
    <xf numFmtId="0" fontId="31" fillId="6" borderId="0" xfId="0" applyFont="1" applyFill="1"/>
    <xf numFmtId="10" fontId="31" fillId="6" borderId="9" xfId="7" applyNumberFormat="1" applyFont="1" applyFill="1" applyBorder="1"/>
    <xf numFmtId="169" fontId="31" fillId="6" borderId="1" xfId="0" applyNumberFormat="1" applyFont="1" applyFill="1" applyBorder="1" applyAlignment="1">
      <alignment horizontal="center"/>
    </xf>
    <xf numFmtId="0" fontId="31" fillId="6" borderId="1" xfId="0" applyFont="1" applyFill="1" applyBorder="1"/>
    <xf numFmtId="10" fontId="31" fillId="6" borderId="2" xfId="7" applyNumberFormat="1" applyFont="1" applyFill="1" applyBorder="1"/>
    <xf numFmtId="10" fontId="31" fillId="6" borderId="9" xfId="7" applyNumberFormat="1" applyFont="1" applyFill="1" applyBorder="1" applyAlignment="1">
      <alignment horizontal="center" vertical="center"/>
    </xf>
    <xf numFmtId="10" fontId="31" fillId="6" borderId="2" xfId="7" applyNumberFormat="1" applyFont="1" applyFill="1" applyBorder="1" applyAlignment="1">
      <alignment horizontal="center" vertical="center"/>
    </xf>
    <xf numFmtId="168" fontId="31" fillId="6" borderId="9" xfId="0" applyNumberFormat="1" applyFont="1" applyFill="1" applyBorder="1" applyAlignment="1">
      <alignment horizontal="center"/>
    </xf>
    <xf numFmtId="168" fontId="31" fillId="6" borderId="2" xfId="0" applyNumberFormat="1" applyFont="1" applyFill="1" applyBorder="1" applyAlignment="1">
      <alignment horizontal="center"/>
    </xf>
    <xf numFmtId="0" fontId="3" fillId="0" borderId="0" xfId="27"/>
    <xf numFmtId="0" fontId="41" fillId="0" borderId="0" xfId="27" applyFont="1"/>
    <xf numFmtId="0" fontId="42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 wrapText="1" readingOrder="1"/>
    </xf>
    <xf numFmtId="166" fontId="40" fillId="5" borderId="0" xfId="0" applyNumberFormat="1" applyFont="1" applyFill="1" applyAlignment="1">
      <alignment horizontal="center" vertical="center" wrapText="1" readingOrder="1"/>
    </xf>
    <xf numFmtId="167" fontId="40" fillId="6" borderId="0" xfId="0" applyNumberFormat="1" applyFont="1" applyFill="1" applyAlignment="1">
      <alignment horizontal="center" vertical="center" wrapText="1" readingOrder="1"/>
    </xf>
    <xf numFmtId="168" fontId="40" fillId="6" borderId="0" xfId="0" applyNumberFormat="1" applyFont="1" applyFill="1" applyAlignment="1">
      <alignment horizontal="center" vertical="center" wrapText="1" readingOrder="1"/>
    </xf>
    <xf numFmtId="171" fontId="40" fillId="6" borderId="0" xfId="0" applyNumberFormat="1" applyFont="1" applyFill="1" applyAlignment="1">
      <alignment horizontal="center" vertical="center" wrapText="1" readingOrder="1"/>
    </xf>
    <xf numFmtId="171" fontId="40" fillId="6" borderId="0" xfId="2" applyNumberFormat="1" applyFont="1" applyFill="1" applyBorder="1" applyAlignment="1">
      <alignment horizontal="center" vertical="center" wrapText="1" readingOrder="1"/>
    </xf>
    <xf numFmtId="167" fontId="40" fillId="0" borderId="0" xfId="0" applyNumberFormat="1" applyFont="1" applyAlignment="1">
      <alignment horizontal="center" vertical="center" wrapText="1" readingOrder="1"/>
    </xf>
    <xf numFmtId="170" fontId="40" fillId="0" borderId="0" xfId="2" applyNumberFormat="1" applyFont="1" applyFill="1" applyBorder="1" applyAlignment="1">
      <alignment horizontal="center" vertical="center" wrapText="1" readingOrder="1"/>
    </xf>
    <xf numFmtId="0" fontId="40" fillId="5" borderId="0" xfId="1" applyNumberFormat="1" applyFont="1" applyFill="1" applyBorder="1" applyAlignment="1">
      <alignment horizontal="center" vertical="center" wrapText="1" readingOrder="1"/>
    </xf>
    <xf numFmtId="10" fontId="40" fillId="6" borderId="0" xfId="1" applyNumberFormat="1" applyFont="1" applyFill="1" applyBorder="1" applyAlignment="1">
      <alignment horizontal="center" vertical="center" wrapText="1" readingOrder="1"/>
    </xf>
    <xf numFmtId="10" fontId="40" fillId="5" borderId="0" xfId="0" applyNumberFormat="1" applyFont="1" applyFill="1"/>
    <xf numFmtId="168" fontId="36" fillId="6" borderId="0" xfId="6" applyNumberFormat="1" applyFont="1" applyFill="1" applyAlignment="1">
      <alignment horizontal="center" vertical="center"/>
    </xf>
    <xf numFmtId="173" fontId="36" fillId="6" borderId="0" xfId="19" applyNumberFormat="1" applyFont="1" applyFill="1" applyAlignment="1">
      <alignment horizontal="center" vertical="center"/>
    </xf>
    <xf numFmtId="10" fontId="36" fillId="6" borderId="0" xfId="6" applyNumberFormat="1" applyFont="1" applyFill="1" applyAlignment="1">
      <alignment horizontal="center"/>
    </xf>
    <xf numFmtId="0" fontId="14" fillId="0" borderId="0" xfId="6" applyFont="1" applyAlignment="1">
      <alignment horizontal="center" vertical="center" wrapText="1"/>
    </xf>
    <xf numFmtId="0" fontId="14" fillId="0" borderId="0" xfId="24" applyFont="1" applyAlignment="1">
      <alignment horizontal="center" vertical="center" wrapText="1"/>
    </xf>
    <xf numFmtId="0" fontId="14" fillId="0" borderId="0" xfId="24" applyFont="1" applyAlignment="1">
      <alignment horizontal="center" vertical="center"/>
    </xf>
    <xf numFmtId="0" fontId="58" fillId="0" borderId="0" xfId="24" applyFont="1" applyAlignment="1">
      <alignment horizontal="center" vertical="center" wrapText="1"/>
    </xf>
    <xf numFmtId="0" fontId="15" fillId="0" borderId="0" xfId="24" applyFont="1" applyAlignment="1">
      <alignment horizontal="center" vertical="center"/>
    </xf>
    <xf numFmtId="0" fontId="8" fillId="0" borderId="0" xfId="24" applyAlignment="1">
      <alignment horizontal="center" vertical="center"/>
    </xf>
    <xf numFmtId="10" fontId="40" fillId="0" borderId="0" xfId="24" applyNumberFormat="1" applyFont="1" applyAlignment="1">
      <alignment horizontal="center" vertical="center"/>
    </xf>
    <xf numFmtId="0" fontId="40" fillId="0" borderId="0" xfId="24" applyFont="1" applyAlignment="1">
      <alignment horizontal="center" vertical="center"/>
    </xf>
    <xf numFmtId="10" fontId="40" fillId="6" borderId="0" xfId="24" applyNumberFormat="1" applyFont="1" applyFill="1" applyAlignment="1">
      <alignment horizontal="center" vertical="center"/>
    </xf>
    <xf numFmtId="43" fontId="40" fillId="6" borderId="0" xfId="24" applyNumberFormat="1" applyFont="1" applyFill="1" applyAlignment="1">
      <alignment horizontal="center" vertical="center"/>
    </xf>
    <xf numFmtId="10" fontId="40" fillId="5" borderId="0" xfId="24" applyNumberFormat="1" applyFont="1" applyFill="1" applyAlignment="1">
      <alignment horizontal="center" vertical="center"/>
    </xf>
    <xf numFmtId="10" fontId="40" fillId="5" borderId="0" xfId="14" applyNumberFormat="1" applyFont="1" applyFill="1" applyAlignment="1">
      <alignment horizontal="center" vertical="center"/>
    </xf>
    <xf numFmtId="10" fontId="40" fillId="5" borderId="0" xfId="14" applyNumberFormat="1" applyFont="1" applyFill="1" applyBorder="1" applyAlignment="1">
      <alignment horizontal="center" vertical="center"/>
    </xf>
    <xf numFmtId="43" fontId="40" fillId="5" borderId="0" xfId="25" applyFont="1" applyFill="1" applyAlignment="1">
      <alignment horizontal="center" vertical="center"/>
    </xf>
    <xf numFmtId="43" fontId="40" fillId="5" borderId="0" xfId="14" applyNumberFormat="1" applyFont="1" applyFill="1" applyAlignment="1">
      <alignment horizontal="center" vertical="center"/>
    </xf>
    <xf numFmtId="43" fontId="40" fillId="5" borderId="0" xfId="14" applyNumberFormat="1" applyFont="1" applyFill="1" applyBorder="1" applyAlignment="1">
      <alignment horizontal="center" vertical="center"/>
    </xf>
    <xf numFmtId="10" fontId="40" fillId="10" borderId="0" xfId="24" applyNumberFormat="1" applyFont="1" applyFill="1" applyAlignment="1">
      <alignment horizontal="center" vertical="center"/>
    </xf>
    <xf numFmtId="10" fontId="15" fillId="5" borderId="0" xfId="24" applyNumberFormat="1" applyFont="1" applyFill="1"/>
    <xf numFmtId="0" fontId="15" fillId="5" borderId="0" xfId="24" applyFont="1" applyFill="1"/>
    <xf numFmtId="166" fontId="15" fillId="5" borderId="0" xfId="24" applyNumberFormat="1" applyFont="1" applyFill="1"/>
    <xf numFmtId="10" fontId="15" fillId="6" borderId="0" xfId="24" applyNumberFormat="1" applyFont="1" applyFill="1"/>
    <xf numFmtId="166" fontId="31" fillId="6" borderId="0" xfId="15" applyNumberFormat="1" applyFont="1" applyFill="1" applyAlignment="1">
      <alignment horizontal="right"/>
    </xf>
    <xf numFmtId="10" fontId="31" fillId="6" borderId="0" xfId="15" applyNumberFormat="1" applyFont="1" applyFill="1"/>
    <xf numFmtId="10" fontId="31" fillId="0" borderId="0" xfId="15" applyNumberFormat="1" applyFont="1" applyBorder="1"/>
    <xf numFmtId="0" fontId="40" fillId="0" borderId="0" xfId="24" applyFont="1" applyAlignment="1">
      <alignment horizontal="center"/>
    </xf>
    <xf numFmtId="0" fontId="40" fillId="0" borderId="0" xfId="24" applyFont="1"/>
    <xf numFmtId="10" fontId="40" fillId="6" borderId="0" xfId="24" applyNumberFormat="1" applyFont="1" applyFill="1"/>
    <xf numFmtId="10" fontId="40" fillId="0" borderId="0" xfId="24" applyNumberFormat="1" applyFont="1"/>
    <xf numFmtId="10" fontId="40" fillId="6" borderId="0" xfId="14" applyNumberFormat="1" applyFont="1" applyFill="1" applyBorder="1"/>
    <xf numFmtId="174" fontId="31" fillId="0" borderId="0" xfId="15" applyNumberFormat="1" applyFont="1" applyFill="1"/>
    <xf numFmtId="0" fontId="42" fillId="0" borderId="17" xfId="0" applyFont="1" applyBorder="1" applyAlignment="1">
      <alignment horizontal="center" vertical="center" wrapText="1" readingOrder="1"/>
    </xf>
    <xf numFmtId="0" fontId="39" fillId="0" borderId="0" xfId="6" applyFont="1" applyAlignment="1">
      <alignment horizontal="center"/>
    </xf>
    <xf numFmtId="0" fontId="39" fillId="0" borderId="9" xfId="6" applyFont="1" applyBorder="1" applyAlignment="1">
      <alignment horizontal="center"/>
    </xf>
    <xf numFmtId="0" fontId="30" fillId="0" borderId="2" xfId="0" applyFont="1" applyBorder="1"/>
    <xf numFmtId="0" fontId="42" fillId="0" borderId="20" xfId="0" applyFont="1" applyBorder="1" applyAlignment="1">
      <alignment horizontal="center" vertical="center"/>
    </xf>
    <xf numFmtId="176" fontId="31" fillId="10" borderId="21" xfId="7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 wrapText="1" readingOrder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49" fillId="0" borderId="0" xfId="10" applyFont="1" applyAlignment="1">
      <alignment horizontal="left" vertical="center"/>
    </xf>
    <xf numFmtId="0" fontId="35" fillId="0" borderId="0" xfId="10" applyFont="1" applyAlignment="1">
      <alignment horizontal="left" vertical="center"/>
    </xf>
    <xf numFmtId="0" fontId="7" fillId="0" borderId="0" xfId="0" applyFont="1" applyAlignment="1">
      <alignment horizontal="left"/>
    </xf>
    <xf numFmtId="0" fontId="59" fillId="0" borderId="0" xfId="10" applyFont="1" applyAlignment="1">
      <alignment vertical="top"/>
    </xf>
    <xf numFmtId="0" fontId="42" fillId="0" borderId="0" xfId="0" applyFont="1"/>
    <xf numFmtId="0" fontId="60" fillId="0" borderId="0" xfId="0" applyFont="1" applyAlignment="1">
      <alignment horizontal="center" vertical="center" wrapText="1" readingOrder="1"/>
    </xf>
    <xf numFmtId="0" fontId="49" fillId="0" borderId="0" xfId="0" applyFont="1" applyAlignment="1">
      <alignment vertical="center"/>
    </xf>
    <xf numFmtId="0" fontId="30" fillId="0" borderId="1" xfId="0" applyFont="1" applyBorder="1" applyAlignment="1">
      <alignment wrapText="1"/>
    </xf>
    <xf numFmtId="9" fontId="32" fillId="0" borderId="0" xfId="15" applyFont="1" applyFill="1" applyBorder="1" applyAlignment="1">
      <alignment horizontal="center" vertical="center" wrapText="1"/>
    </xf>
    <xf numFmtId="10" fontId="39" fillId="0" borderId="0" xfId="6" applyNumberFormat="1" applyFont="1"/>
    <xf numFmtId="0" fontId="0" fillId="0" borderId="0" xfId="27" applyFont="1"/>
    <xf numFmtId="10" fontId="15" fillId="12" borderId="0" xfId="24" applyNumberFormat="1" applyFont="1" applyFill="1"/>
    <xf numFmtId="0" fontId="3" fillId="0" borderId="0" xfId="0" quotePrefix="1" applyFont="1"/>
    <xf numFmtId="0" fontId="36" fillId="0" borderId="0" xfId="6" applyFont="1" applyAlignment="1">
      <alignment horizontal="center" vertical="center"/>
    </xf>
    <xf numFmtId="10" fontId="43" fillId="5" borderId="0" xfId="6" applyNumberFormat="1" applyFont="1" applyFill="1" applyAlignment="1">
      <alignment horizontal="center" vertical="center"/>
    </xf>
    <xf numFmtId="0" fontId="36" fillId="5" borderId="0" xfId="6" applyFont="1" applyFill="1" applyAlignment="1">
      <alignment horizontal="center" vertical="center"/>
    </xf>
    <xf numFmtId="10" fontId="43" fillId="5" borderId="9" xfId="15" applyNumberFormat="1" applyFont="1" applyFill="1" applyBorder="1" applyAlignment="1">
      <alignment horizontal="center" vertical="center"/>
    </xf>
    <xf numFmtId="10" fontId="36" fillId="5" borderId="0" xfId="6" applyNumberFormat="1" applyFont="1" applyFill="1" applyAlignment="1">
      <alignment horizontal="center" vertical="center"/>
    </xf>
    <xf numFmtId="10" fontId="43" fillId="6" borderId="9" xfId="6" applyNumberFormat="1" applyFont="1" applyFill="1" applyBorder="1" applyAlignment="1">
      <alignment horizontal="center" vertical="center"/>
    </xf>
    <xf numFmtId="0" fontId="36" fillId="0" borderId="13" xfId="6" applyFont="1" applyBorder="1" applyAlignment="1">
      <alignment horizontal="right"/>
    </xf>
    <xf numFmtId="0" fontId="36" fillId="0" borderId="14" xfId="6" applyFont="1" applyBorder="1" applyAlignment="1">
      <alignment horizontal="center" vertical="center"/>
    </xf>
    <xf numFmtId="10" fontId="36" fillId="6" borderId="14" xfId="6" applyNumberFormat="1" applyFont="1" applyFill="1" applyBorder="1" applyAlignment="1">
      <alignment horizontal="center" vertical="center"/>
    </xf>
    <xf numFmtId="0" fontId="36" fillId="0" borderId="15" xfId="6" applyFont="1" applyBorder="1" applyAlignment="1">
      <alignment horizontal="center" vertical="center"/>
    </xf>
    <xf numFmtId="10" fontId="40" fillId="0" borderId="0" xfId="1" applyNumberFormat="1" applyFont="1" applyFill="1" applyBorder="1" applyAlignment="1">
      <alignment horizontal="center" vertical="center" wrapText="1" readingOrder="1"/>
    </xf>
    <xf numFmtId="168" fontId="40" fillId="0" borderId="0" xfId="0" applyNumberFormat="1" applyFont="1" applyAlignment="1">
      <alignment horizontal="center" vertical="center" wrapText="1" readingOrder="1"/>
    </xf>
    <xf numFmtId="171" fontId="40" fillId="0" borderId="0" xfId="0" applyNumberFormat="1" applyFont="1" applyAlignment="1">
      <alignment horizontal="center" vertical="center" wrapText="1" readingOrder="1"/>
    </xf>
    <xf numFmtId="166" fontId="40" fillId="6" borderId="0" xfId="7" applyNumberFormat="1" applyFont="1" applyFill="1" applyAlignment="1">
      <alignment horizontal="center" vertical="center"/>
    </xf>
    <xf numFmtId="0" fontId="15" fillId="0" borderId="0" xfId="7" applyNumberFormat="1" applyFont="1"/>
    <xf numFmtId="177" fontId="15" fillId="0" borderId="0" xfId="7" applyNumberFormat="1" applyFont="1"/>
    <xf numFmtId="166" fontId="40" fillId="0" borderId="0" xfId="24" applyNumberFormat="1" applyFont="1"/>
    <xf numFmtId="0" fontId="36" fillId="6" borderId="0" xfId="6" applyFont="1" applyFill="1" applyAlignment="1">
      <alignment horizontal="center" vertical="center"/>
    </xf>
    <xf numFmtId="43" fontId="15" fillId="6" borderId="0" xfId="24" applyNumberFormat="1" applyFont="1" applyFill="1"/>
    <xf numFmtId="0" fontId="31" fillId="0" borderId="0" xfId="0" applyFont="1" applyFill="1" applyAlignment="1">
      <alignment horizontal="left"/>
    </xf>
    <xf numFmtId="0" fontId="40" fillId="0" borderId="0" xfId="10" applyFont="1" applyFill="1" applyAlignment="1">
      <alignment vertical="top"/>
    </xf>
    <xf numFmtId="0" fontId="15" fillId="0" borderId="0" xfId="10" applyFont="1" applyFill="1"/>
    <xf numFmtId="0" fontId="27" fillId="0" borderId="0" xfId="10" applyFont="1" applyFill="1" applyAlignment="1">
      <alignment vertical="top"/>
    </xf>
    <xf numFmtId="0" fontId="45" fillId="0" borderId="0" xfId="10" applyFont="1" applyFill="1" applyAlignment="1">
      <alignment horizontal="center" vertical="center" wrapText="1"/>
    </xf>
    <xf numFmtId="0" fontId="13" fillId="0" borderId="0" xfId="10" applyFont="1" applyFill="1" applyAlignment="1">
      <alignment vertical="top"/>
    </xf>
    <xf numFmtId="0" fontId="9" fillId="0" borderId="0" xfId="10" applyFill="1"/>
    <xf numFmtId="0" fontId="66" fillId="13" borderId="0" xfId="10" applyFont="1" applyFill="1" applyAlignment="1">
      <alignment vertical="top"/>
    </xf>
    <xf numFmtId="0" fontId="65" fillId="13" borderId="0" xfId="10" applyFont="1" applyFill="1" applyAlignment="1">
      <alignment vertical="top"/>
    </xf>
    <xf numFmtId="0" fontId="40" fillId="0" borderId="0" xfId="10" applyFont="1" applyAlignment="1">
      <alignment horizontal="left" vertical="center" wrapText="1"/>
    </xf>
    <xf numFmtId="0" fontId="67" fillId="0" borderId="0" xfId="3" applyFont="1" applyAlignment="1" applyProtection="1">
      <alignment horizontal="left" vertical="center" wrapText="1"/>
    </xf>
    <xf numFmtId="0" fontId="45" fillId="5" borderId="0" xfId="10" applyFont="1" applyFill="1" applyAlignment="1">
      <alignment horizontal="center" vertical="center" wrapText="1"/>
    </xf>
    <xf numFmtId="0" fontId="31" fillId="0" borderId="0" xfId="0" applyFont="1" applyFill="1"/>
    <xf numFmtId="0" fontId="0" fillId="0" borderId="0" xfId="0" applyFill="1"/>
    <xf numFmtId="0" fontId="42" fillId="0" borderId="0" xfId="10" applyFont="1" applyAlignment="1">
      <alignment horizontal="left" vertical="center" wrapText="1"/>
    </xf>
    <xf numFmtId="0" fontId="67" fillId="11" borderId="0" xfId="3" applyFont="1" applyFill="1" applyAlignment="1" applyProtection="1">
      <alignment horizontal="left" vertical="center" wrapText="1"/>
    </xf>
    <xf numFmtId="0" fontId="45" fillId="9" borderId="0" xfId="10" applyFont="1" applyFill="1" applyAlignment="1">
      <alignment horizontal="center" vertical="center" wrapText="1"/>
    </xf>
    <xf numFmtId="0" fontId="3" fillId="0" borderId="0" xfId="27" applyBorder="1"/>
    <xf numFmtId="2" fontId="3" fillId="0" borderId="0" xfId="27" applyNumberFormat="1" applyBorder="1"/>
    <xf numFmtId="0" fontId="3" fillId="0" borderId="8" xfId="27" applyBorder="1"/>
    <xf numFmtId="0" fontId="3" fillId="0" borderId="3" xfId="27" applyBorder="1"/>
    <xf numFmtId="0" fontId="3" fillId="0" borderId="1" xfId="27" applyBorder="1"/>
    <xf numFmtId="0" fontId="7" fillId="0" borderId="13" xfId="27" applyFont="1" applyBorder="1"/>
    <xf numFmtId="0" fontId="7" fillId="0" borderId="14" xfId="27" applyFont="1" applyBorder="1"/>
    <xf numFmtId="0" fontId="66" fillId="13" borderId="0" xfId="10" applyFont="1" applyFill="1" applyAlignment="1">
      <alignment horizontal="center" vertical="top"/>
    </xf>
    <xf numFmtId="0" fontId="40" fillId="14" borderId="0" xfId="0" applyFont="1" applyFill="1" applyAlignment="1">
      <alignment vertical="top"/>
    </xf>
    <xf numFmtId="0" fontId="40" fillId="0" borderId="0" xfId="0" applyFont="1" applyFill="1" applyAlignment="1">
      <alignment vertical="top"/>
    </xf>
    <xf numFmtId="165" fontId="34" fillId="0" borderId="0" xfId="8" applyNumberFormat="1" applyFont="1" applyFill="1" applyAlignment="1">
      <alignment horizontal="center"/>
    </xf>
    <xf numFmtId="2" fontId="31" fillId="0" borderId="0" xfId="8" applyNumberFormat="1" applyFon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43" fontId="31" fillId="0" borderId="0" xfId="1" applyFont="1" applyFill="1" applyBorder="1" applyAlignment="1">
      <alignment horizontal="center"/>
    </xf>
    <xf numFmtId="0" fontId="31" fillId="0" borderId="0" xfId="8" applyFont="1" applyFill="1"/>
    <xf numFmtId="0" fontId="66" fillId="0" borderId="0" xfId="10" applyFont="1" applyFill="1" applyAlignment="1">
      <alignment horizontal="center" vertical="top"/>
    </xf>
    <xf numFmtId="0" fontId="36" fillId="0" borderId="0" xfId="24" applyFont="1" applyFill="1"/>
    <xf numFmtId="0" fontId="36" fillId="0" borderId="0" xfId="24" applyFont="1" applyFill="1" applyAlignment="1">
      <alignment horizontal="center"/>
    </xf>
    <xf numFmtId="2" fontId="36" fillId="0" borderId="0" xfId="24" applyNumberFormat="1" applyFont="1" applyFill="1"/>
    <xf numFmtId="0" fontId="66" fillId="0" borderId="0" xfId="10" applyFont="1" applyFill="1" applyAlignment="1">
      <alignment vertical="top"/>
    </xf>
    <xf numFmtId="10" fontId="31" fillId="0" borderId="0" xfId="0" applyNumberFormat="1" applyFont="1" applyFill="1"/>
    <xf numFmtId="0" fontId="15" fillId="0" borderId="6" xfId="24" applyFont="1" applyBorder="1"/>
    <xf numFmtId="15" fontId="31" fillId="0" borderId="0" xfId="8" applyNumberFormat="1" applyFont="1" applyAlignment="1">
      <alignment horizontal="center"/>
    </xf>
    <xf numFmtId="0" fontId="63" fillId="0" borderId="0" xfId="3" applyFont="1" applyAlignment="1" applyProtection="1">
      <alignment horizontal="center"/>
    </xf>
    <xf numFmtId="2" fontId="63" fillId="0" borderId="0" xfId="3" applyNumberFormat="1" applyFont="1" applyAlignment="1" applyProtection="1">
      <alignment horizontal="center"/>
    </xf>
    <xf numFmtId="0" fontId="31" fillId="0" borderId="0" xfId="9" applyFont="1" applyAlignment="1">
      <alignment horizontal="center" wrapText="1"/>
    </xf>
    <xf numFmtId="0" fontId="31" fillId="0" borderId="0" xfId="8" applyFont="1" applyAlignment="1">
      <alignment horizontal="center" wrapText="1"/>
    </xf>
    <xf numFmtId="0" fontId="43" fillId="0" borderId="0" xfId="0" applyFont="1" applyAlignment="1">
      <alignment horizontal="left" vertical="center"/>
    </xf>
    <xf numFmtId="0" fontId="68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1" xfId="0" applyFont="1" applyBorder="1" applyAlignment="1">
      <alignment horizontal="center"/>
    </xf>
    <xf numFmtId="10" fontId="31" fillId="6" borderId="0" xfId="7" applyNumberFormat="1" applyFont="1" applyFill="1" applyBorder="1" applyAlignment="1" applyProtection="1">
      <alignment horizontal="center" vertical="center" wrapText="1"/>
    </xf>
    <xf numFmtId="10" fontId="31" fillId="6" borderId="1" xfId="7" applyNumberFormat="1" applyFont="1" applyFill="1" applyBorder="1" applyAlignment="1" applyProtection="1">
      <alignment horizontal="center" vertical="center" wrapText="1"/>
    </xf>
    <xf numFmtId="10" fontId="31" fillId="6" borderId="0" xfId="7" applyNumberFormat="1" applyFont="1" applyFill="1" applyBorder="1" applyAlignment="1">
      <alignment horizontal="center"/>
    </xf>
    <xf numFmtId="10" fontId="31" fillId="6" borderId="1" xfId="7" applyNumberFormat="1" applyFont="1" applyFill="1" applyBorder="1" applyAlignment="1">
      <alignment horizontal="center"/>
    </xf>
    <xf numFmtId="10" fontId="40" fillId="0" borderId="0" xfId="0" applyNumberFormat="1" applyFont="1"/>
    <xf numFmtId="0" fontId="40" fillId="6" borderId="0" xfId="0" applyFont="1" applyFill="1" applyAlignment="1">
      <alignment horizontal="center" vertical="center"/>
    </xf>
    <xf numFmtId="10" fontId="40" fillId="6" borderId="0" xfId="0" applyNumberFormat="1" applyFont="1" applyFill="1" applyAlignment="1">
      <alignment horizontal="center" vertical="center"/>
    </xf>
    <xf numFmtId="0" fontId="15" fillId="0" borderId="0" xfId="24" applyFont="1" applyAlignment="1"/>
    <xf numFmtId="0" fontId="12" fillId="0" borderId="0" xfId="24" applyFont="1" applyAlignment="1">
      <alignment vertical="top"/>
    </xf>
    <xf numFmtId="10" fontId="40" fillId="0" borderId="0" xfId="15" applyNumberFormat="1" applyFont="1" applyBorder="1"/>
    <xf numFmtId="166" fontId="40" fillId="6" borderId="0" xfId="15" applyNumberFormat="1" applyFont="1" applyFill="1" applyBorder="1"/>
    <xf numFmtId="10" fontId="3" fillId="5" borderId="0" xfId="7" applyNumberFormat="1" applyFill="1" applyBorder="1" applyAlignment="1">
      <alignment horizontal="center"/>
    </xf>
    <xf numFmtId="10" fontId="3" fillId="0" borderId="0" xfId="27" applyNumberFormat="1" applyBorder="1" applyAlignment="1">
      <alignment horizontal="center"/>
    </xf>
    <xf numFmtId="0" fontId="3" fillId="5" borderId="1" xfId="27" applyFill="1" applyBorder="1" applyAlignment="1">
      <alignment horizontal="center"/>
    </xf>
    <xf numFmtId="0" fontId="67" fillId="0" borderId="0" xfId="3" applyFont="1" applyFill="1" applyAlignment="1" applyProtection="1">
      <alignment horizontal="left" vertical="center" wrapText="1"/>
    </xf>
    <xf numFmtId="0" fontId="40" fillId="0" borderId="0" xfId="10" applyFont="1" applyFill="1" applyAlignment="1">
      <alignment horizontal="left" vertical="center" wrapText="1"/>
    </xf>
    <xf numFmtId="0" fontId="32" fillId="0" borderId="0" xfId="24" applyFont="1" applyAlignment="1">
      <alignment horizontal="center"/>
    </xf>
    <xf numFmtId="0" fontId="42" fillId="0" borderId="16" xfId="0" applyFont="1" applyBorder="1" applyAlignment="1">
      <alignment horizontal="center" vertical="center" wrapText="1" readingOrder="1"/>
    </xf>
    <xf numFmtId="0" fontId="42" fillId="0" borderId="17" xfId="0" applyFont="1" applyBorder="1" applyAlignment="1">
      <alignment horizontal="center" vertical="center" wrapText="1" readingOrder="1"/>
    </xf>
  </cellXfs>
  <cellStyles count="37">
    <cellStyle name="20% - Accent4 2" xfId="23" xr:uid="{8EDCB84D-1707-A140-B4D3-7259A6F845DE}"/>
    <cellStyle name="Calculation 2" xfId="22" xr:uid="{F89654F8-A3CA-ED4D-8F38-11F25756C3B8}"/>
    <cellStyle name="Comma" xfId="1" builtinId="3"/>
    <cellStyle name="Comma 2" xfId="19" xr:uid="{068623CA-23A7-1149-826D-1284A1959007}"/>
    <cellStyle name="Comma 3" xfId="25" xr:uid="{3D293A24-D534-564D-932A-E7C19D441A88}"/>
    <cellStyle name="Currency" xfId="2" builtinId="4"/>
    <cellStyle name="Good 2" xfId="20" xr:uid="{FBC3CC02-2CCA-DC44-B94D-699DB4B767CE}"/>
    <cellStyle name="Hyperlink" xfId="3" builtinId="8"/>
    <cellStyle name="Hyperlink 2" xfId="11" xr:uid="{828A68EF-8AAE-4445-8D28-D5AA556DAC2D}"/>
    <cellStyle name="Hyperlink 2 2" xfId="12" xr:uid="{6FF47962-EC3F-4E4B-A925-8995E897080D}"/>
    <cellStyle name="Hyperlink 3" xfId="14" xr:uid="{727AFA92-DF30-BE4E-8363-6B3FA179A917}"/>
    <cellStyle name="Hyperlink 4" xfId="16" xr:uid="{461947E0-EEB7-D347-B6C5-359022CB897E}"/>
    <cellStyle name="Hyperlink 5" xfId="32" xr:uid="{C8E62904-11B4-4937-8A2F-49190243125A}"/>
    <cellStyle name="Hyperlink 6" xfId="35" xr:uid="{6DB720C5-A9D3-A042-974E-E87A0FFC64F1}"/>
    <cellStyle name="Neutral 2" xfId="21" xr:uid="{839922A6-950F-644C-9895-16B8D3050CC0}"/>
    <cellStyle name="Normal" xfId="0" builtinId="0"/>
    <cellStyle name="Normal 2" xfId="4" xr:uid="{00000000-0005-0000-0000-000004000000}"/>
    <cellStyle name="Normal 2 2" xfId="10" xr:uid="{0F829815-A53A-0F45-BDC8-7D077634B777}"/>
    <cellStyle name="Normal 2 2 2" xfId="24" xr:uid="{BE73C6A5-691B-5A40-97A8-7019C712BD92}"/>
    <cellStyle name="Normal 2 3" xfId="27" xr:uid="{AC42E0CC-1ED7-6F45-B10C-CCEF63E8F784}"/>
    <cellStyle name="Normal 3" xfId="5" xr:uid="{00000000-0005-0000-0000-000005000000}"/>
    <cellStyle name="Normal 3 2" xfId="9" xr:uid="{69F12700-1D89-F140-8B9E-ABE2EC39D728}"/>
    <cellStyle name="Normal 3 3" xfId="6" xr:uid="{00000000-0005-0000-0000-000006000000}"/>
    <cellStyle name="Normal 3 4" xfId="26" xr:uid="{B5287C1A-7FC8-7647-91E5-6A5972DD216D}"/>
    <cellStyle name="Normal 4" xfId="8" xr:uid="{B9F73790-82FD-A04C-902D-8C4E91BD4DDF}"/>
    <cellStyle name="Normal 5" xfId="31" xr:uid="{C981178B-3B4E-4029-AAE5-9D16BCC5E739}"/>
    <cellStyle name="Normal 6" xfId="28" xr:uid="{E773E0F7-B9EC-854E-91FA-229679E4E337}"/>
    <cellStyle name="Normal 7" xfId="13" xr:uid="{C028258A-A4BD-8F46-8D20-ABF93BE5F074}"/>
    <cellStyle name="Normal 7 2" xfId="29" xr:uid="{2A80CC3F-0A2B-F54F-9EB5-4CBEA7F543FF}"/>
    <cellStyle name="Normal 8" xfId="17" xr:uid="{A754DCFC-F6BB-6742-96DE-59EBE49CBE41}"/>
    <cellStyle name="Normal 8 2" xfId="30" xr:uid="{C038005D-291C-8A44-898F-D0A4879608A4}"/>
    <cellStyle name="Normal 9" xfId="34" xr:uid="{4E1D62C6-1862-B445-85E0-F46CEDCC605D}"/>
    <cellStyle name="Percent" xfId="7" builtinId="5"/>
    <cellStyle name="Percent 2" xfId="15" xr:uid="{626B6F6D-4FAF-7042-ACF8-AEBDC47BCB24}"/>
    <cellStyle name="Percent 2 2" xfId="18" xr:uid="{B89A3938-931B-6D4D-A88F-F661135B3018}"/>
    <cellStyle name="Percent 3" xfId="33" xr:uid="{AFB5808D-8243-4160-81ED-519E0DD7428F}"/>
    <cellStyle name="Percent 4" xfId="36" xr:uid="{D163DCD2-773A-154E-96EF-047907F2F9ED}"/>
  </cellStyles>
  <dxfs count="12">
    <dxf>
      <fill>
        <patternFill>
          <bgColor theme="4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numFmt numFmtId="14" formatCode="0.0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1F60"/>
      <color rgb="FFC5E1FF"/>
      <color rgb="FFBF504D"/>
      <color rgb="FF303F50"/>
      <color rgb="FFED6C11"/>
      <color rgb="FF0432FF"/>
      <color rgb="FF189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pivotCacheDefinition" Target="pivotCache/pivotCacheDefinition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MRP &amp; RFR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1407407407407"/>
          <c:y val="0.15251759259259259"/>
          <c:w val="0.51551722222222218"/>
          <c:h val="0.72757716049382715"/>
        </c:manualLayout>
      </c:layout>
      <c:lineChart>
        <c:grouping val="standard"/>
        <c:varyColors val="0"/>
        <c:ser>
          <c:idx val="1"/>
          <c:order val="0"/>
          <c:tx>
            <c:strRef>
              <c:f>'D3'!$F$5</c:f>
              <c:strCache>
                <c:ptCount val="1"/>
                <c:pt idx="0">
                  <c:v>MRP: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'D3'!$B$13:$B$17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'D3'!$F$13:$F$17</c:f>
              <c:numCache>
                <c:formatCode>0.00%</c:formatCode>
                <c:ptCount val="5"/>
                <c:pt idx="0">
                  <c:v>6.5154873309352768E-2</c:v>
                </c:pt>
                <c:pt idx="1">
                  <c:v>6.9327849825636889E-2</c:v>
                </c:pt>
                <c:pt idx="2">
                  <c:v>7.8804854134083127E-2</c:v>
                </c:pt>
                <c:pt idx="3">
                  <c:v>6.659531701748822E-2</c:v>
                </c:pt>
                <c:pt idx="4">
                  <c:v>6.3194316108873688E-2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7-4540-BAFC-F1B5A55794C8}"/>
            </c:ext>
          </c:extLst>
        </c:ser>
        <c:ser>
          <c:idx val="0"/>
          <c:order val="1"/>
          <c:tx>
            <c:strRef>
              <c:f>'D3'!$C$5</c:f>
              <c:strCache>
                <c:ptCount val="1"/>
                <c:pt idx="0">
                  <c:v>MRP: 
Option 1 (HER)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'D3'!$B$13:$B$17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'D3'!$C$13:$C$17</c:f>
              <c:numCache>
                <c:formatCode>0.00%</c:formatCode>
                <c:ptCount val="5"/>
                <c:pt idx="0">
                  <c:v>6.0999999999999999E-2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6.0999999999999999E-2</c:v>
                </c:pt>
                <c:pt idx="4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7-4540-BAFC-F1B5A55794C8}"/>
            </c:ext>
          </c:extLst>
        </c:ser>
        <c:ser>
          <c:idx val="2"/>
          <c:order val="2"/>
          <c:tx>
            <c:strRef>
              <c:f>'D3'!$I$5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'D3'!$I$13:$I$17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2.1233522385201299E-2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7-4540-BAFC-F1B5A5579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73860265003833"/>
          <c:y val="0.2073900601846419"/>
          <c:w val="0.37075402280605224"/>
          <c:h val="0.50779421417582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62303312279755E-2"/>
          <c:y val="3.2328049062210776E-2"/>
          <c:w val="0.72590158601969623"/>
          <c:h val="0.86552448975638252"/>
        </c:manualLayout>
      </c:layout>
      <c:lineChart>
        <c:grouping val="standard"/>
        <c:varyColors val="0"/>
        <c:ser>
          <c:idx val="0"/>
          <c:order val="0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5-3A49-A8EB-7E6FA2341066}"/>
            </c:ext>
          </c:extLst>
        </c:ser>
        <c:ser>
          <c:idx val="7"/>
          <c:order val="1"/>
          <c:tx>
            <c:strRef>
              <c:f>'C6'!$R$6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3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0E5-3A49-A8EB-7E6FA2341066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0E5-3A49-A8EB-7E6FA2341066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0E5-3A49-A8EB-7E6FA2341066}"/>
              </c:ext>
            </c:extLst>
          </c:dPt>
          <c:dLbls>
            <c:dLbl>
              <c:idx val="10"/>
              <c:layout>
                <c:manualLayout>
                  <c:x val="-4.57462964425248E-2"/>
                  <c:y val="-9.735103204473560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5-3A49-A8EB-7E6FA2341066}"/>
                </c:ext>
              </c:extLst>
            </c:dLbl>
            <c:dLbl>
              <c:idx val="15"/>
              <c:layout>
                <c:manualLayout>
                  <c:x val="-4.6451280557442888E-2"/>
                  <c:y val="-8.798681515970069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5-3A49-A8EB-7E6FA2341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'C6'!$R$28:$R$43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6.3710112050525514E-2</c:v>
                </c:pt>
                <c:pt idx="7" formatCode="0.0%">
                  <c:v>6.713011205052552E-2</c:v>
                </c:pt>
                <c:pt idx="8" formatCode="0.0%">
                  <c:v>7.0170112050525507E-2</c:v>
                </c:pt>
                <c:pt idx="9" formatCode="0.0%">
                  <c:v>7.2906112050525509E-2</c:v>
                </c:pt>
                <c:pt idx="10" formatCode="0.0%">
                  <c:v>7.5414112050525506E-2</c:v>
                </c:pt>
                <c:pt idx="11" formatCode="0.0%">
                  <c:v>7.769411205052551E-2</c:v>
                </c:pt>
                <c:pt idx="12" formatCode="0.0%">
                  <c:v>7.9366112050525517E-2</c:v>
                </c:pt>
                <c:pt idx="13" formatCode="0.0%">
                  <c:v>8.0506112050525519E-2</c:v>
                </c:pt>
                <c:pt idx="14" formatCode="0.0%">
                  <c:v>8.1266112050525516E-2</c:v>
                </c:pt>
                <c:pt idx="15" formatCode="0.0%">
                  <c:v>8.1950112050525506E-2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5-3A49-A8EB-7E6FA2341066}"/>
            </c:ext>
          </c:extLst>
        </c:ser>
        <c:ser>
          <c:idx val="8"/>
          <c:order val="2"/>
          <c:tx>
            <c:strRef>
              <c:f>'C6'!$S$6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'C6'!$S$28:$S$43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5.9150112050525512E-2</c:v>
                </c:pt>
                <c:pt idx="7" formatCode="0.0%">
                  <c:v>5.9150112050525512E-2</c:v>
                </c:pt>
                <c:pt idx="8" formatCode="0.0%">
                  <c:v>5.9150112050525512E-2</c:v>
                </c:pt>
                <c:pt idx="9" formatCode="0.0%">
                  <c:v>5.9150112050525512E-2</c:v>
                </c:pt>
                <c:pt idx="10" formatCode="0.0%">
                  <c:v>5.9150112050525512E-2</c:v>
                </c:pt>
                <c:pt idx="11" formatCode="0.0%">
                  <c:v>5.9150112050525512E-2</c:v>
                </c:pt>
                <c:pt idx="12" formatCode="0.0%">
                  <c:v>5.9150112050525512E-2</c:v>
                </c:pt>
                <c:pt idx="13" formatCode="0.0%">
                  <c:v>5.9150112050525519E-2</c:v>
                </c:pt>
                <c:pt idx="14" formatCode="0.0%">
                  <c:v>5.9150112050525519E-2</c:v>
                </c:pt>
                <c:pt idx="15" formatCode="0.0%">
                  <c:v>5.9150112050525519E-2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5-3A49-A8EB-7E6FA2341066}"/>
            </c:ext>
          </c:extLst>
        </c:ser>
        <c:ser>
          <c:idx val="6"/>
          <c:order val="3"/>
          <c:tx>
            <c:strRef>
              <c:f>'C6'!$Q$6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11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0E5-3A49-A8EB-7E6FA2341066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0E5-3A49-A8EB-7E6FA2341066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0E5-3A49-A8EB-7E6FA2341066}"/>
              </c:ext>
            </c:extLst>
          </c:dPt>
          <c:dLbls>
            <c:dLbl>
              <c:idx val="5"/>
              <c:layout>
                <c:manualLayout>
                  <c:x val="-7.0441668538271593E-2"/>
                  <c:y val="-8.805984222533373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E5-3A49-A8EB-7E6FA2341066}"/>
                </c:ext>
              </c:extLst>
            </c:dLbl>
            <c:dLbl>
              <c:idx val="10"/>
              <c:layout>
                <c:manualLayout>
                  <c:x val="-4.7094877421290884E-2"/>
                  <c:y val="9.039485387172138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5-3A49-A8EB-7E6FA2341066}"/>
                </c:ext>
              </c:extLst>
            </c:dLbl>
            <c:dLbl>
              <c:idx val="15"/>
              <c:layout>
                <c:manualLayout>
                  <c:x val="-4.3385407384537486E-2"/>
                  <c:y val="6.251694761347147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E5-3A49-A8EB-7E6FA234106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'C6'!$Q$28:$Q$43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5.4590112050525511E-2</c:v>
                </c:pt>
                <c:pt idx="7" formatCode="0.0%">
                  <c:v>5.1170112050525504E-2</c:v>
                </c:pt>
                <c:pt idx="8" formatCode="0.0%">
                  <c:v>4.8130112050525503E-2</c:v>
                </c:pt>
                <c:pt idx="9" formatCode="0.0%">
                  <c:v>4.5394112050525501E-2</c:v>
                </c:pt>
                <c:pt idx="10" formatCode="0.0%">
                  <c:v>4.2886112050525504E-2</c:v>
                </c:pt>
                <c:pt idx="11" formatCode="0.0%">
                  <c:v>4.06061120505255E-2</c:v>
                </c:pt>
                <c:pt idx="12" formatCode="0.0%">
                  <c:v>3.8934112050525507E-2</c:v>
                </c:pt>
                <c:pt idx="13" formatCode="0.0%">
                  <c:v>3.7794112050525512E-2</c:v>
                </c:pt>
                <c:pt idx="14" formatCode="0.0%">
                  <c:v>3.7034112050525508E-2</c:v>
                </c:pt>
                <c:pt idx="15" formatCode="0.0%">
                  <c:v>3.6350112050525511E-2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E5-3A49-A8EB-7E6FA2341066}"/>
            </c:ext>
          </c:extLst>
        </c:ser>
        <c:ser>
          <c:idx val="1"/>
          <c:order val="4"/>
          <c:tx>
            <c:strRef>
              <c:f>'C6'!$J$6</c:f>
              <c:strCache>
                <c:ptCount val="1"/>
                <c:pt idx="0">
                  <c:v>Option 3b Term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'C6'!$J$28:$J$43</c:f>
              <c:numCache>
                <c:formatCode>0.00%</c:formatCode>
                <c:ptCount val="16"/>
                <c:pt idx="1">
                  <c:v>6.2390302998840359E-2</c:v>
                </c:pt>
                <c:pt idx="2">
                  <c:v>5.5377008913192992E-2</c:v>
                </c:pt>
                <c:pt idx="3">
                  <c:v>5.7025759111367168E-2</c:v>
                </c:pt>
                <c:pt idx="4">
                  <c:v>5.6760155289891756E-2</c:v>
                </c:pt>
                <c:pt idx="5">
                  <c:v>5.9150112050525512E-2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E5-3A49-A8EB-7E6FA234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6496"/>
        <c:axId val="189776064"/>
      </c:lineChart>
      <c:dateAx>
        <c:axId val="1897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6064"/>
        <c:crosses val="autoZero"/>
        <c:auto val="0"/>
        <c:lblOffset val="100"/>
        <c:baseTimeUnit val="days"/>
        <c:majorUnit val="5"/>
        <c:minorUnit val="5"/>
      </c:dateAx>
      <c:valAx>
        <c:axId val="18977606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6496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2784060757753164"/>
          <c:y val="0.36266761110928081"/>
          <c:w val="0.13590764295488708"/>
          <c:h val="0.21660470935829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ROE &amp; RFR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9698497209276"/>
          <c:y val="0.14351059994716492"/>
          <c:w val="0.47585324626513192"/>
          <c:h val="0.71891530878414889"/>
        </c:manualLayout>
      </c:layout>
      <c:lineChart>
        <c:grouping val="standard"/>
        <c:varyColors val="0"/>
        <c:ser>
          <c:idx val="0"/>
          <c:order val="0"/>
          <c:tx>
            <c:strRef>
              <c:f>'D3'!$Q$5</c:f>
              <c:strCache>
                <c:ptCount val="1"/>
                <c:pt idx="0">
                  <c:v>ROE: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'C3'!$C$7:$C$11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'D3'!$Q$7:$Q$11</c:f>
              <c:numCache>
                <c:formatCode>0.00%</c:formatCode>
                <c:ptCount val="5"/>
                <c:pt idx="0">
                  <c:v>6.2390302998840359E-2</c:v>
                </c:pt>
                <c:pt idx="1">
                  <c:v>5.5377008913192992E-2</c:v>
                </c:pt>
                <c:pt idx="2">
                  <c:v>5.7025759111367168E-2</c:v>
                </c:pt>
                <c:pt idx="3">
                  <c:v>5.6760155289891756E-2</c:v>
                </c:pt>
                <c:pt idx="4">
                  <c:v>5.9150112050525512E-2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E9-D645-BF68-450881804408}"/>
            </c:ext>
          </c:extLst>
        </c:ser>
        <c:ser>
          <c:idx val="1"/>
          <c:order val="1"/>
          <c:tx>
            <c:strRef>
              <c:f>'D3'!$P$5</c:f>
              <c:strCache>
                <c:ptCount val="1"/>
                <c:pt idx="0">
                  <c:v>ROE: 
Option 1 (HER)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'C3'!$C$7:$C$11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'D3'!$P$7:$P$11</c:f>
              <c:numCache>
                <c:formatCode>0.00%</c:formatCode>
                <c:ptCount val="5"/>
                <c:pt idx="0">
                  <c:v>5.9897379013228703E-2</c:v>
                </c:pt>
                <c:pt idx="1">
                  <c:v>5.038029901781086E-2</c:v>
                </c:pt>
                <c:pt idx="2">
                  <c:v>4.6342846630917291E-2</c:v>
                </c:pt>
                <c:pt idx="3">
                  <c:v>5.3402965079398824E-2</c:v>
                </c:pt>
                <c:pt idx="4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9-D645-BF68-450881804408}"/>
            </c:ext>
          </c:extLst>
        </c:ser>
        <c:ser>
          <c:idx val="2"/>
          <c:order val="2"/>
          <c:tx>
            <c:strRef>
              <c:f>'D3'!$I$5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'D3'!$I$13:$I$17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2.1233522385201299E-2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E9-D645-BF68-45088180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363931983336116"/>
          <c:y val="0.19091711174823175"/>
          <c:w val="0.39940547613161531"/>
          <c:h val="0.64460230242791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2303312279755E-2"/>
          <c:y val="3.2328049062210776E-2"/>
          <c:w val="0.72590158601969623"/>
          <c:h val="0.86552448975638252"/>
        </c:manualLayout>
      </c:layout>
      <c:lineChart>
        <c:grouping val="standard"/>
        <c:varyColors val="0"/>
        <c:ser>
          <c:idx val="2"/>
          <c:order val="0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337-F04D-AFF5-5AA76CBEF651}"/>
            </c:ext>
          </c:extLst>
        </c:ser>
        <c:ser>
          <c:idx val="3"/>
          <c:order val="1"/>
          <c:tx>
            <c:strRef>
              <c:f>'C6'!$M$6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'C6'!$M$28:$M$43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6.6285788828844228E-2</c:v>
                </c:pt>
                <c:pt idx="7" formatCode="0.0%">
                  <c:v>7.0785788828844232E-2</c:v>
                </c:pt>
                <c:pt idx="8" formatCode="0.0%">
                  <c:v>7.4785788828844235E-2</c:v>
                </c:pt>
                <c:pt idx="9" formatCode="0.0%">
                  <c:v>7.8385788828844227E-2</c:v>
                </c:pt>
                <c:pt idx="10" formatCode="0.0%">
                  <c:v>8.1685788828844225E-2</c:v>
                </c:pt>
                <c:pt idx="11" formatCode="0.0%">
                  <c:v>8.4685788828844227E-2</c:v>
                </c:pt>
                <c:pt idx="12" formatCode="0.0%">
                  <c:v>8.6885788828844235E-2</c:v>
                </c:pt>
                <c:pt idx="13" formatCode="0.0%">
                  <c:v>8.8385788828844236E-2</c:v>
                </c:pt>
                <c:pt idx="14" formatCode="0.0%">
                  <c:v>8.9385788828844237E-2</c:v>
                </c:pt>
                <c:pt idx="15" formatCode="0.0%">
                  <c:v>9.0285788828844221E-2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337-F04D-AFF5-5AA76CBEF651}"/>
            </c:ext>
          </c:extLst>
        </c:ser>
        <c:ser>
          <c:idx val="4"/>
          <c:order val="2"/>
          <c:tx>
            <c:strRef>
              <c:f>'C6'!$N$6</c:f>
              <c:strCache>
                <c:ptCount val="1"/>
                <c:pt idx="0">
                  <c:v>Mid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'C6'!$N$28:$N$43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6.0285788828844222E-2</c:v>
                </c:pt>
                <c:pt idx="7" formatCode="0.0%">
                  <c:v>6.0285788828844222E-2</c:v>
                </c:pt>
                <c:pt idx="8" formatCode="0.0%">
                  <c:v>6.0285788828844222E-2</c:v>
                </c:pt>
                <c:pt idx="9" formatCode="0.0%">
                  <c:v>6.0285788828844222E-2</c:v>
                </c:pt>
                <c:pt idx="10" formatCode="0.0%">
                  <c:v>6.0285788828844222E-2</c:v>
                </c:pt>
                <c:pt idx="11" formatCode="0.0%">
                  <c:v>6.0285788828844222E-2</c:v>
                </c:pt>
                <c:pt idx="12" formatCode="0.0%">
                  <c:v>6.0285788828844222E-2</c:v>
                </c:pt>
                <c:pt idx="13" formatCode="0.0%">
                  <c:v>6.0285788828844222E-2</c:v>
                </c:pt>
                <c:pt idx="14" formatCode="0.0%">
                  <c:v>6.0285788828844222E-2</c:v>
                </c:pt>
                <c:pt idx="15" formatCode="0.0%">
                  <c:v>6.0285788828844222E-2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337-F04D-AFF5-5AA76CBEF651}"/>
            </c:ext>
          </c:extLst>
        </c:ser>
        <c:ser>
          <c:idx val="5"/>
          <c:order val="3"/>
          <c:tx>
            <c:strRef>
              <c:f>'C6'!$L$6</c:f>
              <c:strCache>
                <c:ptCount val="1"/>
                <c:pt idx="0">
                  <c:v>Low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'C6'!$L$28:$L$43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5.4285788828844217E-2</c:v>
                </c:pt>
                <c:pt idx="7" formatCode="0.0%">
                  <c:v>4.978578882884422E-2</c:v>
                </c:pt>
                <c:pt idx="8" formatCode="0.0%">
                  <c:v>4.5785788828844223E-2</c:v>
                </c:pt>
                <c:pt idx="9" formatCode="0.0%">
                  <c:v>4.2185788828844217E-2</c:v>
                </c:pt>
                <c:pt idx="10" formatCode="0.0%">
                  <c:v>3.888578882884422E-2</c:v>
                </c:pt>
                <c:pt idx="11" formatCode="0.0%">
                  <c:v>3.5885788828844217E-2</c:v>
                </c:pt>
                <c:pt idx="12" formatCode="0.0%">
                  <c:v>3.3685788828844224E-2</c:v>
                </c:pt>
                <c:pt idx="13" formatCode="0.0%">
                  <c:v>3.2185788828844222E-2</c:v>
                </c:pt>
                <c:pt idx="14" formatCode="0.0%">
                  <c:v>3.1185788828844221E-2</c:v>
                </c:pt>
                <c:pt idx="15" formatCode="0.0%">
                  <c:v>3.0285788828844223E-2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337-F04D-AFF5-5AA76CBEF651}"/>
            </c:ext>
          </c:extLst>
        </c:ser>
        <c:ser>
          <c:idx val="9"/>
          <c:order val="4"/>
          <c:tx>
            <c:strRef>
              <c:f>'C6'!$I$6</c:f>
              <c:strCache>
                <c:ptCount val="1"/>
                <c:pt idx="0">
                  <c:v>2018 approach TERM adjusted</c:v>
                </c:pt>
              </c:strCache>
            </c:strRef>
          </c:tx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'C6'!$I$28:$I$43</c:f>
              <c:numCache>
                <c:formatCode>0.00%</c:formatCode>
                <c:ptCount val="16"/>
                <c:pt idx="1">
                  <c:v>5.9897379013228703E-2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337-F04D-AFF5-5AA76CBEF651}"/>
            </c:ext>
          </c:extLst>
        </c:ser>
        <c:ser>
          <c:idx val="0"/>
          <c:order val="5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37-F04D-AFF5-5AA76CBEF651}"/>
            </c:ext>
          </c:extLst>
        </c:ser>
        <c:ser>
          <c:idx val="7"/>
          <c:order val="6"/>
          <c:tx>
            <c:strRef>
              <c:f>'C6'!$M$6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3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2337-F04D-AFF5-5AA76CBEF651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337-F04D-AFF5-5AA76CBEF651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337-F04D-AFF5-5AA76CBEF651}"/>
              </c:ext>
            </c:extLst>
          </c:dPt>
          <c:dLbls>
            <c:dLbl>
              <c:idx val="10"/>
              <c:layout>
                <c:manualLayout>
                  <c:x val="-4.57462964425248E-2"/>
                  <c:y val="-9.735103204473560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37-F04D-AFF5-5AA76CBEF651}"/>
                </c:ext>
              </c:extLst>
            </c:dLbl>
            <c:dLbl>
              <c:idx val="15"/>
              <c:layout>
                <c:manualLayout>
                  <c:x val="-4.6451280557442888E-2"/>
                  <c:y val="-8.798681515970069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37-F04D-AFF5-5AA76CBEF6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'C6'!$M$28:$M$43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6.6285788828844228E-2</c:v>
                </c:pt>
                <c:pt idx="7" formatCode="0.0%">
                  <c:v>7.0785788828844232E-2</c:v>
                </c:pt>
                <c:pt idx="8" formatCode="0.0%">
                  <c:v>7.4785788828844235E-2</c:v>
                </c:pt>
                <c:pt idx="9" formatCode="0.0%">
                  <c:v>7.8385788828844227E-2</c:v>
                </c:pt>
                <c:pt idx="10" formatCode="0.0%">
                  <c:v>8.1685788828844225E-2</c:v>
                </c:pt>
                <c:pt idx="11" formatCode="0.0%">
                  <c:v>8.4685788828844227E-2</c:v>
                </c:pt>
                <c:pt idx="12" formatCode="0.0%">
                  <c:v>8.6885788828844235E-2</c:v>
                </c:pt>
                <c:pt idx="13" formatCode="0.0%">
                  <c:v>8.8385788828844236E-2</c:v>
                </c:pt>
                <c:pt idx="14" formatCode="0.0%">
                  <c:v>8.9385788828844237E-2</c:v>
                </c:pt>
                <c:pt idx="15" formatCode="0.0%">
                  <c:v>9.0285788828844221E-2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337-F04D-AFF5-5AA76CBEF651}"/>
            </c:ext>
          </c:extLst>
        </c:ser>
        <c:ser>
          <c:idx val="8"/>
          <c:order val="7"/>
          <c:tx>
            <c:strRef>
              <c:f>'C6'!$N$6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'C6'!$N$28:$N$43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6.0285788828844222E-2</c:v>
                </c:pt>
                <c:pt idx="7" formatCode="0.0%">
                  <c:v>6.0285788828844222E-2</c:v>
                </c:pt>
                <c:pt idx="8" formatCode="0.0%">
                  <c:v>6.0285788828844222E-2</c:v>
                </c:pt>
                <c:pt idx="9" formatCode="0.0%">
                  <c:v>6.0285788828844222E-2</c:v>
                </c:pt>
                <c:pt idx="10" formatCode="0.0%">
                  <c:v>6.0285788828844222E-2</c:v>
                </c:pt>
                <c:pt idx="11" formatCode="0.0%">
                  <c:v>6.0285788828844222E-2</c:v>
                </c:pt>
                <c:pt idx="12" formatCode="0.0%">
                  <c:v>6.0285788828844222E-2</c:v>
                </c:pt>
                <c:pt idx="13" formatCode="0.0%">
                  <c:v>6.0285788828844222E-2</c:v>
                </c:pt>
                <c:pt idx="14" formatCode="0.0%">
                  <c:v>6.0285788828844222E-2</c:v>
                </c:pt>
                <c:pt idx="15" formatCode="0.0%">
                  <c:v>6.0285788828844222E-2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37-F04D-AFF5-5AA76CBEF651}"/>
            </c:ext>
          </c:extLst>
        </c:ser>
        <c:ser>
          <c:idx val="6"/>
          <c:order val="8"/>
          <c:tx>
            <c:strRef>
              <c:f>'C6'!$L$6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11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2337-F04D-AFF5-5AA76CBEF651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2337-F04D-AFF5-5AA76CBEF651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2337-F04D-AFF5-5AA76CBEF651}"/>
              </c:ext>
            </c:extLst>
          </c:dPt>
          <c:dLbls>
            <c:dLbl>
              <c:idx val="5"/>
              <c:layout>
                <c:manualLayout>
                  <c:x val="-7.0441668538271593E-2"/>
                  <c:y val="-8.805984222533373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337-F04D-AFF5-5AA76CBEF651}"/>
                </c:ext>
              </c:extLst>
            </c:dLbl>
            <c:dLbl>
              <c:idx val="10"/>
              <c:layout>
                <c:manualLayout>
                  <c:x val="-4.7094877421290884E-2"/>
                  <c:y val="9.039485387172138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37-F04D-AFF5-5AA76CBEF651}"/>
                </c:ext>
              </c:extLst>
            </c:dLbl>
            <c:dLbl>
              <c:idx val="15"/>
              <c:layout>
                <c:manualLayout>
                  <c:x val="-4.3385407384537486E-2"/>
                  <c:y val="6.251694761347147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337-F04D-AFF5-5AA76CBEF65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'C6'!$L$28:$L$43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5.4285788828844217E-2</c:v>
                </c:pt>
                <c:pt idx="7" formatCode="0.0%">
                  <c:v>4.978578882884422E-2</c:v>
                </c:pt>
                <c:pt idx="8" formatCode="0.0%">
                  <c:v>4.5785788828844223E-2</c:v>
                </c:pt>
                <c:pt idx="9" formatCode="0.0%">
                  <c:v>4.2185788828844217E-2</c:v>
                </c:pt>
                <c:pt idx="10" formatCode="0.0%">
                  <c:v>3.888578882884422E-2</c:v>
                </c:pt>
                <c:pt idx="11" formatCode="0.0%">
                  <c:v>3.5885788828844217E-2</c:v>
                </c:pt>
                <c:pt idx="12" formatCode="0.0%">
                  <c:v>3.3685788828844224E-2</c:v>
                </c:pt>
                <c:pt idx="13" formatCode="0.0%">
                  <c:v>3.2185788828844222E-2</c:v>
                </c:pt>
                <c:pt idx="14" formatCode="0.0%">
                  <c:v>3.1185788828844221E-2</c:v>
                </c:pt>
                <c:pt idx="15" formatCode="0.0%">
                  <c:v>3.0285788828844223E-2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337-F04D-AFF5-5AA76CBEF651}"/>
            </c:ext>
          </c:extLst>
        </c:ser>
        <c:ser>
          <c:idx val="1"/>
          <c:order val="9"/>
          <c:tx>
            <c:strRef>
              <c:f>'C6'!$I$6</c:f>
              <c:strCache>
                <c:ptCount val="1"/>
                <c:pt idx="0">
                  <c:v>2018 approach TERM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'C6'!$I$28:$I$43</c:f>
              <c:numCache>
                <c:formatCode>0.00%</c:formatCode>
                <c:ptCount val="16"/>
                <c:pt idx="1">
                  <c:v>5.9897379013228703E-2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337-F04D-AFF5-5AA76CBEF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6496"/>
        <c:axId val="189776064"/>
      </c:lineChart>
      <c:dateAx>
        <c:axId val="1897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6064"/>
        <c:crosses val="autoZero"/>
        <c:auto val="0"/>
        <c:lblOffset val="100"/>
        <c:baseTimeUnit val="days"/>
        <c:majorUnit val="5"/>
        <c:minorUnit val="5"/>
      </c:dateAx>
      <c:valAx>
        <c:axId val="18977606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6496"/>
        <c:crossesAt val="1"/>
        <c:crossBetween val="midCat"/>
      </c:valAx>
    </c:plotArea>
    <c:legend>
      <c:legendPos val="r"/>
      <c:legendEntry>
        <c:idx val="5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86409227834574975"/>
          <c:y val="0.30162931464647558"/>
          <c:w val="0.13590764295488708"/>
          <c:h val="0.20653853663746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62303312279755E-2"/>
          <c:y val="3.2328049062210776E-2"/>
          <c:w val="0.72590158601969623"/>
          <c:h val="0.86552448975638252"/>
        </c:manualLayout>
      </c:layout>
      <c:lineChart>
        <c:grouping val="standard"/>
        <c:varyColors val="0"/>
        <c:ser>
          <c:idx val="0"/>
          <c:order val="0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4-1A45-9919-5904C2C86F11}"/>
            </c:ext>
          </c:extLst>
        </c:ser>
        <c:ser>
          <c:idx val="7"/>
          <c:order val="1"/>
          <c:tx>
            <c:strRef>
              <c:f>'C6'!$R$6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3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C44-1A45-9919-5904C2C86F11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C44-1A45-9919-5904C2C86F11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C44-1A45-9919-5904C2C86F11}"/>
              </c:ext>
            </c:extLst>
          </c:dPt>
          <c:dLbls>
            <c:dLbl>
              <c:idx val="10"/>
              <c:layout>
                <c:manualLayout>
                  <c:x val="-4.57462964425248E-2"/>
                  <c:y val="-9.735103204473560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44-1A45-9919-5904C2C86F11}"/>
                </c:ext>
              </c:extLst>
            </c:dLbl>
            <c:dLbl>
              <c:idx val="15"/>
              <c:layout>
                <c:manualLayout>
                  <c:x val="-4.6451280557442888E-2"/>
                  <c:y val="-8.798681515970069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4-1A45-9919-5904C2C86F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'C6'!$R$28:$R$43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6.3710112050525514E-2</c:v>
                </c:pt>
                <c:pt idx="7" formatCode="0.0%">
                  <c:v>6.713011205052552E-2</c:v>
                </c:pt>
                <c:pt idx="8" formatCode="0.0%">
                  <c:v>7.0170112050525507E-2</c:v>
                </c:pt>
                <c:pt idx="9" formatCode="0.0%">
                  <c:v>7.2906112050525509E-2</c:v>
                </c:pt>
                <c:pt idx="10" formatCode="0.0%">
                  <c:v>7.5414112050525506E-2</c:v>
                </c:pt>
                <c:pt idx="11" formatCode="0.0%">
                  <c:v>7.769411205052551E-2</c:v>
                </c:pt>
                <c:pt idx="12" formatCode="0.0%">
                  <c:v>7.9366112050525517E-2</c:v>
                </c:pt>
                <c:pt idx="13" formatCode="0.0%">
                  <c:v>8.0506112050525519E-2</c:v>
                </c:pt>
                <c:pt idx="14" formatCode="0.0%">
                  <c:v>8.1266112050525516E-2</c:v>
                </c:pt>
                <c:pt idx="15" formatCode="0.0%">
                  <c:v>8.1950112050525506E-2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44-1A45-9919-5904C2C86F11}"/>
            </c:ext>
          </c:extLst>
        </c:ser>
        <c:ser>
          <c:idx val="8"/>
          <c:order val="2"/>
          <c:tx>
            <c:strRef>
              <c:f>'C6'!$S$6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'C6'!$S$28:$S$43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5.9150112050525512E-2</c:v>
                </c:pt>
                <c:pt idx="7" formatCode="0.0%">
                  <c:v>5.9150112050525512E-2</c:v>
                </c:pt>
                <c:pt idx="8" formatCode="0.0%">
                  <c:v>5.9150112050525512E-2</c:v>
                </c:pt>
                <c:pt idx="9" formatCode="0.0%">
                  <c:v>5.9150112050525512E-2</c:v>
                </c:pt>
                <c:pt idx="10" formatCode="0.0%">
                  <c:v>5.9150112050525512E-2</c:v>
                </c:pt>
                <c:pt idx="11" formatCode="0.0%">
                  <c:v>5.9150112050525512E-2</c:v>
                </c:pt>
                <c:pt idx="12" formatCode="0.0%">
                  <c:v>5.9150112050525512E-2</c:v>
                </c:pt>
                <c:pt idx="13" formatCode="0.0%">
                  <c:v>5.9150112050525519E-2</c:v>
                </c:pt>
                <c:pt idx="14" formatCode="0.0%">
                  <c:v>5.9150112050525519E-2</c:v>
                </c:pt>
                <c:pt idx="15" formatCode="0.0%">
                  <c:v>5.9150112050525519E-2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44-1A45-9919-5904C2C86F11}"/>
            </c:ext>
          </c:extLst>
        </c:ser>
        <c:ser>
          <c:idx val="6"/>
          <c:order val="3"/>
          <c:tx>
            <c:strRef>
              <c:f>'C6'!$Q$6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11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C44-1A45-9919-5904C2C86F11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C44-1A45-9919-5904C2C86F11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C44-1A45-9919-5904C2C86F11}"/>
              </c:ext>
            </c:extLst>
          </c:dPt>
          <c:dLbls>
            <c:dLbl>
              <c:idx val="5"/>
              <c:layout>
                <c:manualLayout>
                  <c:x val="-7.0441668538271593E-2"/>
                  <c:y val="-8.805984222533373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44-1A45-9919-5904C2C86F11}"/>
                </c:ext>
              </c:extLst>
            </c:dLbl>
            <c:dLbl>
              <c:idx val="10"/>
              <c:layout>
                <c:manualLayout>
                  <c:x val="-4.7094877421290884E-2"/>
                  <c:y val="9.039485387172138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4-1A45-9919-5904C2C86F11}"/>
                </c:ext>
              </c:extLst>
            </c:dLbl>
            <c:dLbl>
              <c:idx val="15"/>
              <c:layout>
                <c:manualLayout>
                  <c:x val="-4.3385407384537486E-2"/>
                  <c:y val="6.251694761347147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44-1A45-9919-5904C2C86F1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'C6'!$Q$28:$Q$43</c:f>
              <c:numCache>
                <c:formatCode>0.00%</c:formatCode>
                <c:ptCount val="16"/>
                <c:pt idx="5" formatCode="0.0%">
                  <c:v>5.9150112050525512E-2</c:v>
                </c:pt>
                <c:pt idx="6" formatCode="0.0%">
                  <c:v>5.4590112050525511E-2</c:v>
                </c:pt>
                <c:pt idx="7" formatCode="0.0%">
                  <c:v>5.1170112050525504E-2</c:v>
                </c:pt>
                <c:pt idx="8" formatCode="0.0%">
                  <c:v>4.8130112050525503E-2</c:v>
                </c:pt>
                <c:pt idx="9" formatCode="0.0%">
                  <c:v>4.5394112050525501E-2</c:v>
                </c:pt>
                <c:pt idx="10" formatCode="0.0%">
                  <c:v>4.2886112050525504E-2</c:v>
                </c:pt>
                <c:pt idx="11" formatCode="0.0%">
                  <c:v>4.06061120505255E-2</c:v>
                </c:pt>
                <c:pt idx="12" formatCode="0.0%">
                  <c:v>3.8934112050525507E-2</c:v>
                </c:pt>
                <c:pt idx="13" formatCode="0.0%">
                  <c:v>3.7794112050525512E-2</c:v>
                </c:pt>
                <c:pt idx="14" formatCode="0.0%">
                  <c:v>3.7034112050525508E-2</c:v>
                </c:pt>
                <c:pt idx="15" formatCode="0.0%">
                  <c:v>3.6350112050525511E-2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44-1A45-9919-5904C2C86F11}"/>
            </c:ext>
          </c:extLst>
        </c:ser>
        <c:ser>
          <c:idx val="1"/>
          <c:order val="4"/>
          <c:tx>
            <c:strRef>
              <c:f>'C6'!$J$6</c:f>
              <c:strCache>
                <c:ptCount val="1"/>
                <c:pt idx="0">
                  <c:v>Option 3b Term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'C6'!$J$28:$J$43</c:f>
              <c:numCache>
                <c:formatCode>0.00%</c:formatCode>
                <c:ptCount val="16"/>
                <c:pt idx="1">
                  <c:v>6.2390302998840359E-2</c:v>
                </c:pt>
                <c:pt idx="2">
                  <c:v>5.5377008913192992E-2</c:v>
                </c:pt>
                <c:pt idx="3">
                  <c:v>5.7025759111367168E-2</c:v>
                </c:pt>
                <c:pt idx="4">
                  <c:v>5.6760155289891756E-2</c:v>
                </c:pt>
                <c:pt idx="5">
                  <c:v>5.9150112050525512E-2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44-1A45-9919-5904C2C86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6496"/>
        <c:axId val="189776064"/>
      </c:lineChart>
      <c:dateAx>
        <c:axId val="1897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6064"/>
        <c:crosses val="autoZero"/>
        <c:auto val="0"/>
        <c:lblOffset val="100"/>
        <c:baseTimeUnit val="days"/>
        <c:majorUnit val="5"/>
        <c:minorUnit val="5"/>
      </c:dateAx>
      <c:valAx>
        <c:axId val="18977606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6496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194704197449779"/>
          <c:y val="0.32710273267079293"/>
          <c:w val="0.13590764295488708"/>
          <c:h val="0.21660470935829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06216343317834E-2"/>
          <c:y val="7.4881016025141189E-2"/>
          <c:w val="0.6918625518879048"/>
          <c:h val="0.86181216199828892"/>
        </c:manualLayout>
      </c:layout>
      <c:lineChart>
        <c:grouping val="standard"/>
        <c:varyColors val="0"/>
        <c:ser>
          <c:idx val="3"/>
          <c:order val="0"/>
          <c:tx>
            <c:v>Yields on Commonwealth government bonds, 10 years maturity</c:v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'D1'!$H$467:$H$612</c:f>
              <c:numCache>
                <c:formatCode>0.00</c:formatCode>
                <c:ptCount val="146"/>
                <c:pt idx="0">
                  <c:v>5.5575000000000001</c:v>
                </c:pt>
                <c:pt idx="1">
                  <c:v>5.4775</c:v>
                </c:pt>
                <c:pt idx="2">
                  <c:v>5.62</c:v>
                </c:pt>
                <c:pt idx="3">
                  <c:v>5.7949999999999999</c:v>
                </c:pt>
                <c:pt idx="4">
                  <c:v>5.48</c:v>
                </c:pt>
                <c:pt idx="5">
                  <c:v>5.3274999999999997</c:v>
                </c:pt>
                <c:pt idx="6">
                  <c:v>5.1449999999999996</c:v>
                </c:pt>
                <c:pt idx="7">
                  <c:v>4.97</c:v>
                </c:pt>
                <c:pt idx="8">
                  <c:v>5.0025000000000004</c:v>
                </c:pt>
                <c:pt idx="9">
                  <c:v>5.085</c:v>
                </c:pt>
                <c:pt idx="10">
                  <c:v>5.3775000000000004</c:v>
                </c:pt>
                <c:pt idx="11">
                  <c:v>5.5549999999999997</c:v>
                </c:pt>
                <c:pt idx="12">
                  <c:v>5.5200000000000005</c:v>
                </c:pt>
                <c:pt idx="13">
                  <c:v>5.61</c:v>
                </c:pt>
                <c:pt idx="14">
                  <c:v>5.4350000000000005</c:v>
                </c:pt>
                <c:pt idx="15">
                  <c:v>5.5125000000000002</c:v>
                </c:pt>
                <c:pt idx="16">
                  <c:v>5.3250000000000002</c:v>
                </c:pt>
                <c:pt idx="17">
                  <c:v>5.16</c:v>
                </c:pt>
                <c:pt idx="18">
                  <c:v>5.0200000000000005</c:v>
                </c:pt>
                <c:pt idx="19">
                  <c:v>4.4924999999999997</c:v>
                </c:pt>
                <c:pt idx="20">
                  <c:v>4.2024999999999997</c:v>
                </c:pt>
                <c:pt idx="21">
                  <c:v>4.37</c:v>
                </c:pt>
                <c:pt idx="22">
                  <c:v>4.0825000000000005</c:v>
                </c:pt>
                <c:pt idx="23">
                  <c:v>3.8250000000000002</c:v>
                </c:pt>
                <c:pt idx="24">
                  <c:v>3.7949999999999999</c:v>
                </c:pt>
                <c:pt idx="25">
                  <c:v>3.97</c:v>
                </c:pt>
                <c:pt idx="26">
                  <c:v>4.1500000000000004</c:v>
                </c:pt>
                <c:pt idx="27">
                  <c:v>3.8574999999999999</c:v>
                </c:pt>
                <c:pt idx="28">
                  <c:v>3.2774999999999999</c:v>
                </c:pt>
                <c:pt idx="29">
                  <c:v>2.9950000000000001</c:v>
                </c:pt>
                <c:pt idx="30">
                  <c:v>2.8875000000000002</c:v>
                </c:pt>
                <c:pt idx="31">
                  <c:v>3.1875</c:v>
                </c:pt>
                <c:pt idx="32">
                  <c:v>3.0925000000000002</c:v>
                </c:pt>
                <c:pt idx="33">
                  <c:v>3.0225</c:v>
                </c:pt>
                <c:pt idx="34">
                  <c:v>3.0874999999999999</c:v>
                </c:pt>
                <c:pt idx="35">
                  <c:v>3.2275</c:v>
                </c:pt>
                <c:pt idx="36">
                  <c:v>3.3975</c:v>
                </c:pt>
                <c:pt idx="37">
                  <c:v>3.4975000000000001</c:v>
                </c:pt>
                <c:pt idx="38">
                  <c:v>3.5125000000000002</c:v>
                </c:pt>
                <c:pt idx="39">
                  <c:v>3.2450000000000001</c:v>
                </c:pt>
                <c:pt idx="40">
                  <c:v>3.2250000000000001</c:v>
                </c:pt>
                <c:pt idx="41">
                  <c:v>3.54</c:v>
                </c:pt>
                <c:pt idx="42">
                  <c:v>3.75</c:v>
                </c:pt>
                <c:pt idx="43">
                  <c:v>3.86</c:v>
                </c:pt>
                <c:pt idx="44">
                  <c:v>3.9950000000000001</c:v>
                </c:pt>
                <c:pt idx="45">
                  <c:v>3.97</c:v>
                </c:pt>
                <c:pt idx="46">
                  <c:v>4.125</c:v>
                </c:pt>
                <c:pt idx="47">
                  <c:v>4.2424999999999997</c:v>
                </c:pt>
                <c:pt idx="48">
                  <c:v>4.1825000000000001</c:v>
                </c:pt>
                <c:pt idx="49">
                  <c:v>4.12</c:v>
                </c:pt>
                <c:pt idx="50">
                  <c:v>4.1025</c:v>
                </c:pt>
                <c:pt idx="51">
                  <c:v>4.03</c:v>
                </c:pt>
                <c:pt idx="52">
                  <c:v>3.7749999999999999</c:v>
                </c:pt>
                <c:pt idx="53">
                  <c:v>3.7025000000000001</c:v>
                </c:pt>
                <c:pt idx="54">
                  <c:v>3.4675000000000002</c:v>
                </c:pt>
                <c:pt idx="55">
                  <c:v>3.41</c:v>
                </c:pt>
                <c:pt idx="56">
                  <c:v>3.5449999999999999</c:v>
                </c:pt>
                <c:pt idx="57">
                  <c:v>3.3174999999999999</c:v>
                </c:pt>
                <c:pt idx="58">
                  <c:v>3.2575000000000003</c:v>
                </c:pt>
                <c:pt idx="59">
                  <c:v>2.9550000000000001</c:v>
                </c:pt>
                <c:pt idx="60">
                  <c:v>2.6375000000000002</c:v>
                </c:pt>
                <c:pt idx="61">
                  <c:v>2.5024999999999999</c:v>
                </c:pt>
                <c:pt idx="62">
                  <c:v>2.4824999999999999</c:v>
                </c:pt>
                <c:pt idx="63">
                  <c:v>2.41</c:v>
                </c:pt>
                <c:pt idx="64">
                  <c:v>2.88</c:v>
                </c:pt>
                <c:pt idx="65">
                  <c:v>2.9750000000000001</c:v>
                </c:pt>
                <c:pt idx="66">
                  <c:v>2.9024999999999999</c:v>
                </c:pt>
                <c:pt idx="67">
                  <c:v>2.7149999999999999</c:v>
                </c:pt>
                <c:pt idx="68">
                  <c:v>2.6949999999999998</c:v>
                </c:pt>
                <c:pt idx="69">
                  <c:v>2.6225000000000001</c:v>
                </c:pt>
                <c:pt idx="70">
                  <c:v>2.8525</c:v>
                </c:pt>
                <c:pt idx="71">
                  <c:v>2.8450000000000002</c:v>
                </c:pt>
                <c:pt idx="72">
                  <c:v>2.7250000000000001</c:v>
                </c:pt>
                <c:pt idx="73">
                  <c:v>2.4750000000000001</c:v>
                </c:pt>
                <c:pt idx="74">
                  <c:v>2.5674999999999999</c:v>
                </c:pt>
                <c:pt idx="75">
                  <c:v>2.5150000000000001</c:v>
                </c:pt>
                <c:pt idx="76">
                  <c:v>2.3199999999999998</c:v>
                </c:pt>
                <c:pt idx="77">
                  <c:v>2.1175000000000002</c:v>
                </c:pt>
                <c:pt idx="78">
                  <c:v>1.9275</c:v>
                </c:pt>
                <c:pt idx="79">
                  <c:v>1.875</c:v>
                </c:pt>
                <c:pt idx="80">
                  <c:v>1.9850000000000001</c:v>
                </c:pt>
                <c:pt idx="81">
                  <c:v>2.2000000000000002</c:v>
                </c:pt>
                <c:pt idx="82">
                  <c:v>2.5049999999999999</c:v>
                </c:pt>
                <c:pt idx="83">
                  <c:v>2.7925</c:v>
                </c:pt>
                <c:pt idx="84">
                  <c:v>2.7275</c:v>
                </c:pt>
                <c:pt idx="85">
                  <c:v>2.75</c:v>
                </c:pt>
                <c:pt idx="86">
                  <c:v>2.81</c:v>
                </c:pt>
                <c:pt idx="87">
                  <c:v>2.56</c:v>
                </c:pt>
                <c:pt idx="88">
                  <c:v>2.5425</c:v>
                </c:pt>
                <c:pt idx="89">
                  <c:v>2.4075000000000002</c:v>
                </c:pt>
                <c:pt idx="90">
                  <c:v>2.6425000000000001</c:v>
                </c:pt>
                <c:pt idx="91">
                  <c:v>2.5975000000000001</c:v>
                </c:pt>
                <c:pt idx="92">
                  <c:v>2.7</c:v>
                </c:pt>
                <c:pt idx="93">
                  <c:v>2.78</c:v>
                </c:pt>
                <c:pt idx="94">
                  <c:v>2.57</c:v>
                </c:pt>
                <c:pt idx="95">
                  <c:v>2.58</c:v>
                </c:pt>
                <c:pt idx="96">
                  <c:v>2.75</c:v>
                </c:pt>
                <c:pt idx="97">
                  <c:v>2.86</c:v>
                </c:pt>
                <c:pt idx="98">
                  <c:v>2.72</c:v>
                </c:pt>
                <c:pt idx="99">
                  <c:v>2.74</c:v>
                </c:pt>
                <c:pt idx="100">
                  <c:v>2.79</c:v>
                </c:pt>
                <c:pt idx="101">
                  <c:v>2.7</c:v>
                </c:pt>
                <c:pt idx="102">
                  <c:v>2.64</c:v>
                </c:pt>
                <c:pt idx="103">
                  <c:v>2.59</c:v>
                </c:pt>
                <c:pt idx="104">
                  <c:v>2.63</c:v>
                </c:pt>
                <c:pt idx="105">
                  <c:v>2.68</c:v>
                </c:pt>
                <c:pt idx="106">
                  <c:v>2.68</c:v>
                </c:pt>
                <c:pt idx="107">
                  <c:v>2.4300000000000002</c:v>
                </c:pt>
                <c:pt idx="108">
                  <c:v>2.27</c:v>
                </c:pt>
                <c:pt idx="109">
                  <c:v>2.13</c:v>
                </c:pt>
                <c:pt idx="110">
                  <c:v>1.96</c:v>
                </c:pt>
                <c:pt idx="111">
                  <c:v>1.86</c:v>
                </c:pt>
                <c:pt idx="112">
                  <c:v>1.65</c:v>
                </c:pt>
                <c:pt idx="113">
                  <c:v>1.38</c:v>
                </c:pt>
                <c:pt idx="114">
                  <c:v>1.31</c:v>
                </c:pt>
                <c:pt idx="115">
                  <c:v>0.95</c:v>
                </c:pt>
                <c:pt idx="116">
                  <c:v>1.03</c:v>
                </c:pt>
                <c:pt idx="117">
                  <c:v>1.03</c:v>
                </c:pt>
                <c:pt idx="118">
                  <c:v>1.1499999999999999</c:v>
                </c:pt>
                <c:pt idx="119">
                  <c:v>1.2</c:v>
                </c:pt>
                <c:pt idx="120">
                  <c:v>1.1499999999999999</c:v>
                </c:pt>
                <c:pt idx="121">
                  <c:v>0.98</c:v>
                </c:pt>
                <c:pt idx="122">
                  <c:v>0.89</c:v>
                </c:pt>
                <c:pt idx="123">
                  <c:v>0.86</c:v>
                </c:pt>
                <c:pt idx="124">
                  <c:v>0.91</c:v>
                </c:pt>
                <c:pt idx="125">
                  <c:v>0.92</c:v>
                </c:pt>
                <c:pt idx="126">
                  <c:v>0.88</c:v>
                </c:pt>
                <c:pt idx="127">
                  <c:v>0.89</c:v>
                </c:pt>
                <c:pt idx="128">
                  <c:v>0.9</c:v>
                </c:pt>
                <c:pt idx="129">
                  <c:v>0.82</c:v>
                </c:pt>
                <c:pt idx="130">
                  <c:v>0.87</c:v>
                </c:pt>
                <c:pt idx="131">
                  <c:v>0.98</c:v>
                </c:pt>
                <c:pt idx="132">
                  <c:v>1.05</c:v>
                </c:pt>
                <c:pt idx="133">
                  <c:v>1.32</c:v>
                </c:pt>
                <c:pt idx="134">
                  <c:v>1.69</c:v>
                </c:pt>
                <c:pt idx="135">
                  <c:v>1.65</c:v>
                </c:pt>
                <c:pt idx="136">
                  <c:v>1.62</c:v>
                </c:pt>
                <c:pt idx="137">
                  <c:v>1.52</c:v>
                </c:pt>
                <c:pt idx="138">
                  <c:v>1.25</c:v>
                </c:pt>
                <c:pt idx="139">
                  <c:v>1.1200000000000001</c:v>
                </c:pt>
                <c:pt idx="140">
                  <c:v>1.28</c:v>
                </c:pt>
                <c:pt idx="141">
                  <c:v>1.72</c:v>
                </c:pt>
                <c:pt idx="142">
                  <c:v>1.81</c:v>
                </c:pt>
                <c:pt idx="143">
                  <c:v>1.61</c:v>
                </c:pt>
                <c:pt idx="144">
                  <c:v>1.88</c:v>
                </c:pt>
                <c:pt idx="145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8-AE44-9C93-B9A0D3BD8EB8}"/>
            </c:ext>
          </c:extLst>
        </c:ser>
        <c:ser>
          <c:idx val="0"/>
          <c:order val="1"/>
          <c:tx>
            <c:v>Yields on Commonwealth government bonds, interpolated, 2 years maturity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1-7BE8-AE44-9C93-B9A0D3BD8EB8}"/>
            </c:ext>
          </c:extLst>
        </c:ser>
        <c:ser>
          <c:idx val="1"/>
          <c:order val="2"/>
          <c:tx>
            <c:v>Yields on Commonwealth government bonds, interpolated, 3 years maturity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2-7BE8-AE44-9C93-B9A0D3BD8EB8}"/>
            </c:ext>
          </c:extLst>
        </c:ser>
        <c:ser>
          <c:idx val="2"/>
          <c:order val="3"/>
          <c:tx>
            <c:v>Yields on Commonwealth government bonds, interpolated, 5 years maturity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'D1'!$G$467:$G$612</c:f>
              <c:numCache>
                <c:formatCode>0.00</c:formatCode>
                <c:ptCount val="146"/>
                <c:pt idx="0">
                  <c:v>5.2725</c:v>
                </c:pt>
                <c:pt idx="1">
                  <c:v>5.12</c:v>
                </c:pt>
                <c:pt idx="2">
                  <c:v>5.34</c:v>
                </c:pt>
                <c:pt idx="3">
                  <c:v>5.53</c:v>
                </c:pt>
                <c:pt idx="4">
                  <c:v>5.2050000000000001</c:v>
                </c:pt>
                <c:pt idx="5">
                  <c:v>4.9725000000000001</c:v>
                </c:pt>
                <c:pt idx="6">
                  <c:v>4.7925000000000004</c:v>
                </c:pt>
                <c:pt idx="7">
                  <c:v>4.6624999999999996</c:v>
                </c:pt>
                <c:pt idx="8">
                  <c:v>4.8075000000000001</c:v>
                </c:pt>
                <c:pt idx="9">
                  <c:v>4.9675000000000002</c:v>
                </c:pt>
                <c:pt idx="10">
                  <c:v>5.21</c:v>
                </c:pt>
                <c:pt idx="11">
                  <c:v>5.33</c:v>
                </c:pt>
                <c:pt idx="12">
                  <c:v>5.2750000000000004</c:v>
                </c:pt>
                <c:pt idx="13">
                  <c:v>5.39</c:v>
                </c:pt>
                <c:pt idx="14">
                  <c:v>5.2075000000000005</c:v>
                </c:pt>
                <c:pt idx="15">
                  <c:v>5.2925000000000004</c:v>
                </c:pt>
                <c:pt idx="16">
                  <c:v>5.1524999999999999</c:v>
                </c:pt>
                <c:pt idx="17">
                  <c:v>4.8849999999999998</c:v>
                </c:pt>
                <c:pt idx="18">
                  <c:v>4.6574999999999998</c:v>
                </c:pt>
                <c:pt idx="19">
                  <c:v>4.0175000000000001</c:v>
                </c:pt>
                <c:pt idx="20">
                  <c:v>3.7875000000000001</c:v>
                </c:pt>
                <c:pt idx="21">
                  <c:v>3.9450000000000003</c:v>
                </c:pt>
                <c:pt idx="22">
                  <c:v>3.5725000000000002</c:v>
                </c:pt>
                <c:pt idx="23">
                  <c:v>3.335</c:v>
                </c:pt>
                <c:pt idx="24">
                  <c:v>3.3875000000000002</c:v>
                </c:pt>
                <c:pt idx="25">
                  <c:v>3.62</c:v>
                </c:pt>
                <c:pt idx="26">
                  <c:v>3.75</c:v>
                </c:pt>
                <c:pt idx="27">
                  <c:v>3.3625000000000003</c:v>
                </c:pt>
                <c:pt idx="28">
                  <c:v>2.75</c:v>
                </c:pt>
                <c:pt idx="29">
                  <c:v>2.4925000000000002</c:v>
                </c:pt>
                <c:pt idx="30">
                  <c:v>2.4675000000000002</c:v>
                </c:pt>
                <c:pt idx="31">
                  <c:v>2.8174999999999999</c:v>
                </c:pt>
                <c:pt idx="32">
                  <c:v>2.6625000000000001</c:v>
                </c:pt>
                <c:pt idx="33">
                  <c:v>2.6150000000000002</c:v>
                </c:pt>
                <c:pt idx="34">
                  <c:v>2.7349999999999999</c:v>
                </c:pt>
                <c:pt idx="35">
                  <c:v>2.8250000000000002</c:v>
                </c:pt>
                <c:pt idx="36">
                  <c:v>2.9375</c:v>
                </c:pt>
                <c:pt idx="37">
                  <c:v>3.02</c:v>
                </c:pt>
                <c:pt idx="38">
                  <c:v>3.1175000000000002</c:v>
                </c:pt>
                <c:pt idx="39">
                  <c:v>2.9075000000000002</c:v>
                </c:pt>
                <c:pt idx="40">
                  <c:v>2.7875000000000001</c:v>
                </c:pt>
                <c:pt idx="41">
                  <c:v>2.9624999999999999</c:v>
                </c:pt>
                <c:pt idx="42">
                  <c:v>3.09</c:v>
                </c:pt>
                <c:pt idx="43">
                  <c:v>3.14</c:v>
                </c:pt>
                <c:pt idx="44">
                  <c:v>3.33</c:v>
                </c:pt>
                <c:pt idx="45">
                  <c:v>3.3475000000000001</c:v>
                </c:pt>
                <c:pt idx="46">
                  <c:v>3.46</c:v>
                </c:pt>
                <c:pt idx="47">
                  <c:v>3.4575</c:v>
                </c:pt>
                <c:pt idx="48">
                  <c:v>3.41</c:v>
                </c:pt>
                <c:pt idx="49">
                  <c:v>3.4050000000000002</c:v>
                </c:pt>
                <c:pt idx="50">
                  <c:v>3.41</c:v>
                </c:pt>
                <c:pt idx="51">
                  <c:v>3.3925000000000001</c:v>
                </c:pt>
                <c:pt idx="52">
                  <c:v>3.2025000000000001</c:v>
                </c:pt>
                <c:pt idx="53">
                  <c:v>3.12</c:v>
                </c:pt>
                <c:pt idx="54">
                  <c:v>2.9375</c:v>
                </c:pt>
                <c:pt idx="55">
                  <c:v>2.9250000000000003</c:v>
                </c:pt>
                <c:pt idx="56">
                  <c:v>3.0449999999999999</c:v>
                </c:pt>
                <c:pt idx="57">
                  <c:v>2.8450000000000002</c:v>
                </c:pt>
                <c:pt idx="58">
                  <c:v>2.7675000000000001</c:v>
                </c:pt>
                <c:pt idx="59">
                  <c:v>2.4350000000000001</c:v>
                </c:pt>
                <c:pt idx="60">
                  <c:v>2.2075</c:v>
                </c:pt>
                <c:pt idx="61">
                  <c:v>2.0125000000000002</c:v>
                </c:pt>
                <c:pt idx="62">
                  <c:v>1.9775</c:v>
                </c:pt>
                <c:pt idx="63">
                  <c:v>1.9475</c:v>
                </c:pt>
                <c:pt idx="64">
                  <c:v>2.27</c:v>
                </c:pt>
                <c:pt idx="65">
                  <c:v>2.2875000000000001</c:v>
                </c:pt>
                <c:pt idx="66">
                  <c:v>2.2025000000000001</c:v>
                </c:pt>
                <c:pt idx="67">
                  <c:v>2.1</c:v>
                </c:pt>
                <c:pt idx="68">
                  <c:v>2.1025</c:v>
                </c:pt>
                <c:pt idx="69">
                  <c:v>2.0725000000000002</c:v>
                </c:pt>
                <c:pt idx="70">
                  <c:v>2.2774999999999999</c:v>
                </c:pt>
                <c:pt idx="71">
                  <c:v>2.2850000000000001</c:v>
                </c:pt>
                <c:pt idx="72">
                  <c:v>2.1475</c:v>
                </c:pt>
                <c:pt idx="73">
                  <c:v>1.99</c:v>
                </c:pt>
                <c:pt idx="74">
                  <c:v>2.1350000000000002</c:v>
                </c:pt>
                <c:pt idx="75">
                  <c:v>2.0925000000000002</c:v>
                </c:pt>
                <c:pt idx="76">
                  <c:v>1.8325</c:v>
                </c:pt>
                <c:pt idx="77">
                  <c:v>1.72</c:v>
                </c:pt>
                <c:pt idx="78">
                  <c:v>1.615</c:v>
                </c:pt>
                <c:pt idx="79">
                  <c:v>1.5375000000000001</c:v>
                </c:pt>
                <c:pt idx="80">
                  <c:v>1.6950000000000001</c:v>
                </c:pt>
                <c:pt idx="81">
                  <c:v>1.8325</c:v>
                </c:pt>
                <c:pt idx="82">
                  <c:v>2.0150000000000001</c:v>
                </c:pt>
                <c:pt idx="83">
                  <c:v>2.2400000000000002</c:v>
                </c:pt>
                <c:pt idx="84">
                  <c:v>2.21</c:v>
                </c:pt>
                <c:pt idx="85">
                  <c:v>2.2175000000000002</c:v>
                </c:pt>
                <c:pt idx="86">
                  <c:v>2.2925</c:v>
                </c:pt>
                <c:pt idx="87">
                  <c:v>2.0874999999999999</c:v>
                </c:pt>
                <c:pt idx="88">
                  <c:v>2.0525000000000002</c:v>
                </c:pt>
                <c:pt idx="89">
                  <c:v>1.9875</c:v>
                </c:pt>
                <c:pt idx="90">
                  <c:v>2.2124999999999999</c:v>
                </c:pt>
                <c:pt idx="91">
                  <c:v>2.1850000000000001</c:v>
                </c:pt>
                <c:pt idx="92">
                  <c:v>2.2999999999999998</c:v>
                </c:pt>
                <c:pt idx="93">
                  <c:v>2.34</c:v>
                </c:pt>
                <c:pt idx="94">
                  <c:v>2.16</c:v>
                </c:pt>
                <c:pt idx="95">
                  <c:v>2.25</c:v>
                </c:pt>
                <c:pt idx="96">
                  <c:v>2.39</c:v>
                </c:pt>
                <c:pt idx="97">
                  <c:v>2.4</c:v>
                </c:pt>
                <c:pt idx="98">
                  <c:v>2.35</c:v>
                </c:pt>
                <c:pt idx="99">
                  <c:v>2.42</c:v>
                </c:pt>
                <c:pt idx="100">
                  <c:v>2.41</c:v>
                </c:pt>
                <c:pt idx="101">
                  <c:v>2.36</c:v>
                </c:pt>
                <c:pt idx="102">
                  <c:v>2.29</c:v>
                </c:pt>
                <c:pt idx="103">
                  <c:v>2.2400000000000002</c:v>
                </c:pt>
                <c:pt idx="104">
                  <c:v>2.25</c:v>
                </c:pt>
                <c:pt idx="105">
                  <c:v>2.2799999999999998</c:v>
                </c:pt>
                <c:pt idx="106">
                  <c:v>2.3199999999999998</c:v>
                </c:pt>
                <c:pt idx="107">
                  <c:v>2.1</c:v>
                </c:pt>
                <c:pt idx="108">
                  <c:v>1.91</c:v>
                </c:pt>
                <c:pt idx="109">
                  <c:v>1.74</c:v>
                </c:pt>
                <c:pt idx="110">
                  <c:v>1.59</c:v>
                </c:pt>
                <c:pt idx="111">
                  <c:v>1.48</c:v>
                </c:pt>
                <c:pt idx="112">
                  <c:v>1.29</c:v>
                </c:pt>
                <c:pt idx="113">
                  <c:v>1.07</c:v>
                </c:pt>
                <c:pt idx="114">
                  <c:v>1</c:v>
                </c:pt>
                <c:pt idx="115">
                  <c:v>0.71</c:v>
                </c:pt>
                <c:pt idx="116">
                  <c:v>0.81</c:v>
                </c:pt>
                <c:pt idx="117">
                  <c:v>0.76</c:v>
                </c:pt>
                <c:pt idx="118">
                  <c:v>0.86</c:v>
                </c:pt>
                <c:pt idx="119">
                  <c:v>0.88</c:v>
                </c:pt>
                <c:pt idx="120">
                  <c:v>0.85</c:v>
                </c:pt>
                <c:pt idx="121">
                  <c:v>0.74</c:v>
                </c:pt>
                <c:pt idx="122">
                  <c:v>0.5</c:v>
                </c:pt>
                <c:pt idx="123">
                  <c:v>0.42</c:v>
                </c:pt>
                <c:pt idx="124">
                  <c:v>0.4</c:v>
                </c:pt>
                <c:pt idx="125">
                  <c:v>0.4</c:v>
                </c:pt>
                <c:pt idx="126">
                  <c:v>0.42</c:v>
                </c:pt>
                <c:pt idx="127">
                  <c:v>0.43</c:v>
                </c:pt>
                <c:pt idx="128">
                  <c:v>0.39</c:v>
                </c:pt>
                <c:pt idx="129">
                  <c:v>0.28999999999999998</c:v>
                </c:pt>
                <c:pt idx="130">
                  <c:v>0.28999999999999998</c:v>
                </c:pt>
                <c:pt idx="131">
                  <c:v>0.34</c:v>
                </c:pt>
                <c:pt idx="132">
                  <c:v>0.37</c:v>
                </c:pt>
                <c:pt idx="133">
                  <c:v>0.48</c:v>
                </c:pt>
                <c:pt idx="134">
                  <c:v>0.71</c:v>
                </c:pt>
                <c:pt idx="135">
                  <c:v>0.69</c:v>
                </c:pt>
                <c:pt idx="136">
                  <c:v>0.7</c:v>
                </c:pt>
                <c:pt idx="137">
                  <c:v>0.73</c:v>
                </c:pt>
                <c:pt idx="138">
                  <c:v>0.64</c:v>
                </c:pt>
                <c:pt idx="139">
                  <c:v>0.56999999999999995</c:v>
                </c:pt>
                <c:pt idx="140">
                  <c:v>0.66</c:v>
                </c:pt>
                <c:pt idx="141">
                  <c:v>1.1100000000000001</c:v>
                </c:pt>
                <c:pt idx="142">
                  <c:v>1.38</c:v>
                </c:pt>
                <c:pt idx="143">
                  <c:v>1.32</c:v>
                </c:pt>
                <c:pt idx="144">
                  <c:v>1.54</c:v>
                </c:pt>
                <c:pt idx="145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E8-AE44-9C93-B9A0D3BD8EB8}"/>
            </c:ext>
          </c:extLst>
        </c:ser>
        <c:ser>
          <c:idx val="4"/>
          <c:order val="4"/>
          <c:tx>
            <c:v>Yields on Commonwealth government bonds, interpolated, Indexed maturity</c:v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4-7BE8-AE44-9C93-B9A0D3BD8EB8}"/>
            </c:ext>
          </c:extLst>
        </c:ser>
        <c:ser>
          <c:idx val="5"/>
          <c:order val="5"/>
          <c:tx>
            <c:v>Yields on New South Wales Treasury Corporation bonds, interpolated, 3 years maturity</c:v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5-7BE8-AE44-9C93-B9A0D3BD8EB8}"/>
            </c:ext>
          </c:extLst>
        </c:ser>
        <c:ser>
          <c:idx val="6"/>
          <c:order val="6"/>
          <c:tx>
            <c:v>Yields on New South Wales Treasury Corporation bonds, interpolated, 5 years maturity</c:v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6-7BE8-AE44-9C93-B9A0D3BD8EB8}"/>
            </c:ext>
          </c:extLst>
        </c:ser>
        <c:ser>
          <c:idx val="7"/>
          <c:order val="7"/>
          <c:tx>
            <c:v>Yields on New South Wales Treasury Corporation bonds, 10 years maturity</c:v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'D1'!$B$467:$B$612</c:f>
              <c:numCache>
                <c:formatCode>mmm\-yyyy</c:formatCode>
                <c:ptCount val="146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</c:numCache>
            </c:num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7-7BE8-AE44-9C93-B9A0D3BD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012192"/>
        <c:axId val="1"/>
      </c:lineChart>
      <c:dateAx>
        <c:axId val="3640121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3"/>
        <c:majorTimeUnit val="years"/>
      </c:dateAx>
      <c:valAx>
        <c:axId val="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12192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8058627833501248"/>
          <c:y val="0.40682435216235868"/>
          <c:w val="0.21625197990051659"/>
          <c:h val="0.32160364053790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MRP &amp; RFR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1407407407407"/>
          <c:y val="0.15251759259259259"/>
          <c:w val="0.51551722222222218"/>
          <c:h val="0.72757716049382715"/>
        </c:manualLayout>
      </c:layout>
      <c:lineChart>
        <c:grouping val="standard"/>
        <c:varyColors val="0"/>
        <c:ser>
          <c:idx val="1"/>
          <c:order val="0"/>
          <c:tx>
            <c:strRef>
              <c:f>'D3'!$F$5</c:f>
              <c:strCache>
                <c:ptCount val="1"/>
                <c:pt idx="0">
                  <c:v>MRP: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'D3'!$B$13:$B$17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'D3'!$F$13:$F$17</c:f>
              <c:numCache>
                <c:formatCode>0.00%</c:formatCode>
                <c:ptCount val="5"/>
                <c:pt idx="0">
                  <c:v>6.5154873309352768E-2</c:v>
                </c:pt>
                <c:pt idx="1">
                  <c:v>6.9327849825636889E-2</c:v>
                </c:pt>
                <c:pt idx="2">
                  <c:v>7.8804854134083127E-2</c:v>
                </c:pt>
                <c:pt idx="3">
                  <c:v>6.659531701748822E-2</c:v>
                </c:pt>
                <c:pt idx="4">
                  <c:v>6.3194316108873688E-2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F-5449-B335-61DDA0860EFA}"/>
            </c:ext>
          </c:extLst>
        </c:ser>
        <c:ser>
          <c:idx val="0"/>
          <c:order val="1"/>
          <c:tx>
            <c:strRef>
              <c:f>'D3'!$C$5</c:f>
              <c:strCache>
                <c:ptCount val="1"/>
                <c:pt idx="0">
                  <c:v>MRP: 
Option 1 (HER)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'D3'!$B$13:$B$17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'D3'!$C$13:$C$17</c:f>
              <c:numCache>
                <c:formatCode>0.00%</c:formatCode>
                <c:ptCount val="5"/>
                <c:pt idx="0">
                  <c:v>6.0999999999999999E-2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6.0999999999999999E-2</c:v>
                </c:pt>
                <c:pt idx="4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F-5449-B335-61DDA0860EFA}"/>
            </c:ext>
          </c:extLst>
        </c:ser>
        <c:ser>
          <c:idx val="2"/>
          <c:order val="2"/>
          <c:tx>
            <c:strRef>
              <c:f>'D3'!$I$5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'D3'!$I$13:$I$17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2.1233522385201299E-2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F-5449-B335-61DDA086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73860265003833"/>
          <c:y val="0.2073900601846419"/>
          <c:w val="0.37075402280605224"/>
          <c:h val="0.50779421417582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ROE &amp; RFR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9698497209276"/>
          <c:y val="0.14351059994716492"/>
          <c:w val="0.47585324626513192"/>
          <c:h val="0.71891530878414889"/>
        </c:manualLayout>
      </c:layout>
      <c:lineChart>
        <c:grouping val="standard"/>
        <c:varyColors val="0"/>
        <c:ser>
          <c:idx val="0"/>
          <c:order val="0"/>
          <c:tx>
            <c:strRef>
              <c:f>'D3'!$Q$5</c:f>
              <c:strCache>
                <c:ptCount val="1"/>
                <c:pt idx="0">
                  <c:v>ROE: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'C3'!$C$7:$C$11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'D3'!$Q$7:$Q$11</c:f>
              <c:numCache>
                <c:formatCode>0.00%</c:formatCode>
                <c:ptCount val="5"/>
                <c:pt idx="0">
                  <c:v>6.2390302998840359E-2</c:v>
                </c:pt>
                <c:pt idx="1">
                  <c:v>5.5377008913192992E-2</c:v>
                </c:pt>
                <c:pt idx="2">
                  <c:v>5.7025759111367168E-2</c:v>
                </c:pt>
                <c:pt idx="3">
                  <c:v>5.6760155289891756E-2</c:v>
                </c:pt>
                <c:pt idx="4">
                  <c:v>5.9150112050525512E-2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8-324D-97D1-C699260B49C3}"/>
            </c:ext>
          </c:extLst>
        </c:ser>
        <c:ser>
          <c:idx val="1"/>
          <c:order val="1"/>
          <c:tx>
            <c:strRef>
              <c:f>'D3'!$P$5</c:f>
              <c:strCache>
                <c:ptCount val="1"/>
                <c:pt idx="0">
                  <c:v>ROE: 
Option 1 (HER)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'C3'!$C$7:$C$11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'D3'!$P$7:$P$11</c:f>
              <c:numCache>
                <c:formatCode>0.00%</c:formatCode>
                <c:ptCount val="5"/>
                <c:pt idx="0">
                  <c:v>5.9897379013228703E-2</c:v>
                </c:pt>
                <c:pt idx="1">
                  <c:v>5.038029901781086E-2</c:v>
                </c:pt>
                <c:pt idx="2">
                  <c:v>4.6342846630917291E-2</c:v>
                </c:pt>
                <c:pt idx="3">
                  <c:v>5.3402965079398824E-2</c:v>
                </c:pt>
                <c:pt idx="4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8-324D-97D1-C699260B49C3}"/>
            </c:ext>
          </c:extLst>
        </c:ser>
        <c:ser>
          <c:idx val="2"/>
          <c:order val="2"/>
          <c:tx>
            <c:strRef>
              <c:f>'D3'!$I$5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'D3'!$I$13:$I$17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2.1233522385201299E-2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8-324D-97D1-C699260B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363931983336116"/>
          <c:y val="0.19091711174823175"/>
          <c:w val="0.39940547613161531"/>
          <c:h val="0.64460230242791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89483164224984E-2"/>
          <c:y val="0.11668104025015658"/>
          <c:w val="0.57564723555777964"/>
          <c:h val="0.79056650658954775"/>
        </c:manualLayout>
      </c:layout>
      <c:lineChart>
        <c:grouping val="standard"/>
        <c:varyColors val="0"/>
        <c:ser>
          <c:idx val="1"/>
          <c:order val="0"/>
          <c:tx>
            <c:v>RFR outturn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'C5'!$A$8:$B$44</c:f>
              <c:strCache>
                <c:ptCount val="3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</c:strCache>
            </c:strRef>
          </c:cat>
          <c:val>
            <c:numRef>
              <c:f>'C5'!$J$8:$J$44</c:f>
              <c:numCache>
                <c:formatCode>0.00%</c:formatCode>
                <c:ptCount val="37"/>
                <c:pt idx="0">
                  <c:v>8.2092070574988199E-2</c:v>
                </c:pt>
                <c:pt idx="1">
                  <c:v>6.9549185438893699E-2</c:v>
                </c:pt>
                <c:pt idx="2">
                  <c:v>5.492970528264008E-2</c:v>
                </c:pt>
                <c:pt idx="3">
                  <c:v>6.0093119429832843E-2</c:v>
                </c:pt>
                <c:pt idx="4">
                  <c:v>6.3145693344080586E-2</c:v>
                </c:pt>
                <c:pt idx="5">
                  <c:v>5.6152643284072074E-2</c:v>
                </c:pt>
                <c:pt idx="6">
                  <c:v>5.8439577111008757E-2</c:v>
                </c:pt>
                <c:pt idx="7">
                  <c:v>5.3667754977034167E-2</c:v>
                </c:pt>
                <c:pt idx="8">
                  <c:v>5.5907745074973342E-2</c:v>
                </c:pt>
                <c:pt idx="9">
                  <c:v>5.339973113985557E-2</c:v>
                </c:pt>
                <c:pt idx="10">
                  <c:v>5.5878722441857979E-2</c:v>
                </c:pt>
                <c:pt idx="11">
                  <c:v>5.9945208373921179E-2</c:v>
                </c:pt>
                <c:pt idx="12">
                  <c:v>5.8179439396415948E-2</c:v>
                </c:pt>
                <c:pt idx="13">
                  <c:v>5.7849685658659E-2</c:v>
                </c:pt>
                <c:pt idx="14">
                  <c:v>5.6129564640682528E-2</c:v>
                </c:pt>
                <c:pt idx="15">
                  <c:v>3.7693733993751088E-2</c:v>
                </c:pt>
                <c:pt idx="16">
                  <c:v>3.2745733786678777E-2</c:v>
                </c:pt>
                <c:pt idx="17">
                  <c:v>4.2387997941488287E-2</c:v>
                </c:pt>
                <c:pt idx="18">
                  <c:v>2.8066128758795994E-2</c:v>
                </c:pt>
                <c:pt idx="19">
                  <c:v>2.8806852069848787E-2</c:v>
                </c:pt>
                <c:pt idx="20">
                  <c:v>2.7619351010996329E-2</c:v>
                </c:pt>
                <c:pt idx="21">
                  <c:v>2.65469617196743E-2</c:v>
                </c:pt>
                <c:pt idx="22">
                  <c:v>2.3297379013228703E-2</c:v>
                </c:pt>
                <c:pt idx="23">
                  <c:v>1.378029901781086E-2</c:v>
                </c:pt>
                <c:pt idx="24">
                  <c:v>9.7428466309172901E-3</c:v>
                </c:pt>
                <c:pt idx="25">
                  <c:v>1.6802965079398824E-2</c:v>
                </c:pt>
                <c:pt idx="26">
                  <c:v>2.1233522385201299E-2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E-814F-B4EF-3901C3B4596F}"/>
            </c:ext>
          </c:extLst>
        </c:ser>
        <c:ser>
          <c:idx val="7"/>
          <c:order val="1"/>
          <c:tx>
            <c:strRef>
              <c:f>'C5'!$G$7</c:f>
              <c:strCache>
                <c:ptCount val="1"/>
                <c:pt idx="0">
                  <c:v>RFR Scenario A: 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0"/>
              <c:layout>
                <c:manualLayout>
                  <c:x val="-5.4233490005295239E-2"/>
                  <c:y val="-3.231171390267145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E-814F-B4EF-3901C3B4596F}"/>
                </c:ext>
              </c:extLst>
            </c:dLbl>
            <c:dLbl>
              <c:idx val="36"/>
              <c:layout>
                <c:manualLayout>
                  <c:x val="-5.1301950005009006E-2"/>
                  <c:y val="-4.038964237833932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E-814F-B4EF-3901C3B45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'C5'!$A$8:$B$44</c:f>
              <c:strCache>
                <c:ptCount val="3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</c:strCache>
            </c:strRef>
          </c:cat>
          <c:val>
            <c:numRef>
              <c:f>'C5'!$G$8:$G$44</c:f>
              <c:numCache>
                <c:formatCode>General</c:formatCode>
                <c:ptCount val="37"/>
                <c:pt idx="26" formatCode="0.00%">
                  <c:v>2.1233522385201299E-2</c:v>
                </c:pt>
                <c:pt idx="27" formatCode="0.00%">
                  <c:v>2.7233522385201301E-2</c:v>
                </c:pt>
                <c:pt idx="28" formatCode="0.00%">
                  <c:v>3.1733522385201302E-2</c:v>
                </c:pt>
                <c:pt idx="29" formatCode="0.00%">
                  <c:v>3.5733522385201305E-2</c:v>
                </c:pt>
                <c:pt idx="30" formatCode="0.00%">
                  <c:v>3.9333522385201304E-2</c:v>
                </c:pt>
                <c:pt idx="31" formatCode="0.00%">
                  <c:v>4.2633522385201301E-2</c:v>
                </c:pt>
                <c:pt idx="32" formatCode="0.00%">
                  <c:v>4.5633522385201304E-2</c:v>
                </c:pt>
                <c:pt idx="33" formatCode="0.00%">
                  <c:v>4.7833522385201305E-2</c:v>
                </c:pt>
                <c:pt idx="34" formatCode="0.00%">
                  <c:v>4.9333522385201306E-2</c:v>
                </c:pt>
                <c:pt idx="35" formatCode="0.00%">
                  <c:v>5.0333522385201307E-2</c:v>
                </c:pt>
                <c:pt idx="36" formatCode="0.00%">
                  <c:v>5.1233522385201305E-2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0E-814F-B4EF-3901C3B4596F}"/>
            </c:ext>
          </c:extLst>
        </c:ser>
        <c:ser>
          <c:idx val="8"/>
          <c:order val="2"/>
          <c:tx>
            <c:strRef>
              <c:f>'C5'!$H$7</c:f>
              <c:strCache>
                <c:ptCount val="1"/>
                <c:pt idx="0">
                  <c:v>RFR Scenario B: Mid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3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0E-814F-B4EF-3901C3B45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'C5'!$A$8:$B$44</c:f>
              <c:strCache>
                <c:ptCount val="3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</c:strCache>
            </c:strRef>
          </c:cat>
          <c:val>
            <c:numRef>
              <c:f>'C5'!$H$8:$H$44</c:f>
              <c:numCache>
                <c:formatCode>General</c:formatCode>
                <c:ptCount val="37"/>
                <c:pt idx="26" formatCode="0.00%">
                  <c:v>2.1233522385201299E-2</c:v>
                </c:pt>
                <c:pt idx="27" formatCode="0.00%">
                  <c:v>2.1233522385201299E-2</c:v>
                </c:pt>
                <c:pt idx="28" formatCode="0.00%">
                  <c:v>2.1233522385201299E-2</c:v>
                </c:pt>
                <c:pt idx="29" formatCode="0.00%">
                  <c:v>2.1233522385201299E-2</c:v>
                </c:pt>
                <c:pt idx="30" formatCode="0.00%">
                  <c:v>2.1233522385201299E-2</c:v>
                </c:pt>
                <c:pt idx="31" formatCode="0.00%">
                  <c:v>2.1233522385201299E-2</c:v>
                </c:pt>
                <c:pt idx="32" formatCode="0.00%">
                  <c:v>2.1233522385201299E-2</c:v>
                </c:pt>
                <c:pt idx="33" formatCode="0.00%">
                  <c:v>2.1233522385201299E-2</c:v>
                </c:pt>
                <c:pt idx="34" formatCode="0.00%">
                  <c:v>2.1233522385201303E-2</c:v>
                </c:pt>
                <c:pt idx="35" formatCode="0.00%">
                  <c:v>2.1233522385201303E-2</c:v>
                </c:pt>
                <c:pt idx="36" formatCode="0.00%">
                  <c:v>2.1233522385201303E-2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0E-814F-B4EF-3901C3B4596F}"/>
            </c:ext>
          </c:extLst>
        </c:ser>
        <c:ser>
          <c:idx val="6"/>
          <c:order val="3"/>
          <c:tx>
            <c:strRef>
              <c:f>'C5'!$F$7</c:f>
              <c:strCache>
                <c:ptCount val="1"/>
                <c:pt idx="0">
                  <c:v>RFR Scenario C: Low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30"/>
              <c:layout>
                <c:manualLayout>
                  <c:x val="-5.8630800005724584E-2"/>
                  <c:y val="2.6253267545920559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0E-814F-B4EF-3901C3B4596F}"/>
                </c:ext>
              </c:extLst>
            </c:dLbl>
            <c:dLbl>
              <c:idx val="36"/>
              <c:layout>
                <c:manualLayout>
                  <c:x val="-5.2767720005152126E-2"/>
                  <c:y val="2.423378542700374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0E-814F-B4EF-3901C3B45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'C5'!$A$8:$B$44</c:f>
              <c:strCache>
                <c:ptCount val="3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</c:strCache>
            </c:strRef>
          </c:cat>
          <c:val>
            <c:numRef>
              <c:f>'C5'!$F$8:$F$44</c:f>
              <c:numCache>
                <c:formatCode>General</c:formatCode>
                <c:ptCount val="37"/>
                <c:pt idx="26" formatCode="0.00%">
                  <c:v>2.1233522385201299E-2</c:v>
                </c:pt>
                <c:pt idx="27" formatCode="0.00%">
                  <c:v>1.5233522385201297E-2</c:v>
                </c:pt>
                <c:pt idx="28" formatCode="0.00%">
                  <c:v>1.0733522385201297E-2</c:v>
                </c:pt>
                <c:pt idx="29" formatCode="0.00%">
                  <c:v>6.7335223852012967E-3</c:v>
                </c:pt>
                <c:pt idx="30" formatCode="0.00%">
                  <c:v>3.1335223852012968E-3</c:v>
                </c:pt>
                <c:pt idx="31" formatCode="0.00%">
                  <c:v>-1.6647761479870321E-4</c:v>
                </c:pt>
                <c:pt idx="32" formatCode="0.00%">
                  <c:v>-3.1664776147987033E-3</c:v>
                </c:pt>
                <c:pt idx="33" formatCode="0.00%">
                  <c:v>-5.366477614798703E-3</c:v>
                </c:pt>
                <c:pt idx="34" formatCode="0.00%">
                  <c:v>-6.8664776147987026E-3</c:v>
                </c:pt>
                <c:pt idx="35" formatCode="0.00%">
                  <c:v>-7.8664776147987017E-3</c:v>
                </c:pt>
                <c:pt idx="36" formatCode="0.00%">
                  <c:v>-8.7664776147987015E-3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0E-814F-B4EF-3901C3B4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6496"/>
        <c:axId val="189776064"/>
      </c:lineChart>
      <c:catAx>
        <c:axId val="1897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60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9776064"/>
        <c:scaling>
          <c:orientation val="minMax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6496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54182984418512"/>
          <c:y val="0.24243262681671895"/>
          <c:w val="0.29599240015567169"/>
          <c:h val="0.64393524872466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2303312279755E-2"/>
          <c:y val="3.2328049062210776E-2"/>
          <c:w val="0.72590158601969623"/>
          <c:h val="0.86552448975638252"/>
        </c:manualLayout>
      </c:layout>
      <c:lineChart>
        <c:grouping val="standard"/>
        <c:varyColors val="0"/>
        <c:ser>
          <c:idx val="2"/>
          <c:order val="0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F-954C-8EE6-A251D44F3A1F}"/>
            </c:ext>
          </c:extLst>
        </c:ser>
        <c:ser>
          <c:idx val="3"/>
          <c:order val="1"/>
          <c:tx>
            <c:strRef>
              <c:f>'C6'!$M$6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'C6'!$M$28:$M$43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6.6285788828844228E-2</c:v>
                </c:pt>
                <c:pt idx="7" formatCode="0.0%">
                  <c:v>7.0785788828844232E-2</c:v>
                </c:pt>
                <c:pt idx="8" formatCode="0.0%">
                  <c:v>7.4785788828844235E-2</c:v>
                </c:pt>
                <c:pt idx="9" formatCode="0.0%">
                  <c:v>7.8385788828844227E-2</c:v>
                </c:pt>
                <c:pt idx="10" formatCode="0.0%">
                  <c:v>8.1685788828844225E-2</c:v>
                </c:pt>
                <c:pt idx="11" formatCode="0.0%">
                  <c:v>8.4685788828844227E-2</c:v>
                </c:pt>
                <c:pt idx="12" formatCode="0.0%">
                  <c:v>8.6885788828844235E-2</c:v>
                </c:pt>
                <c:pt idx="13" formatCode="0.0%">
                  <c:v>8.8385788828844236E-2</c:v>
                </c:pt>
                <c:pt idx="14" formatCode="0.0%">
                  <c:v>8.9385788828844237E-2</c:v>
                </c:pt>
                <c:pt idx="15" formatCode="0.0%">
                  <c:v>9.0285788828844221E-2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F-954C-8EE6-A251D44F3A1F}"/>
            </c:ext>
          </c:extLst>
        </c:ser>
        <c:ser>
          <c:idx val="4"/>
          <c:order val="2"/>
          <c:tx>
            <c:strRef>
              <c:f>'C6'!$N$6</c:f>
              <c:strCache>
                <c:ptCount val="1"/>
                <c:pt idx="0">
                  <c:v>Mid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'C6'!$N$28:$N$43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6.0285788828844222E-2</c:v>
                </c:pt>
                <c:pt idx="7" formatCode="0.0%">
                  <c:v>6.0285788828844222E-2</c:v>
                </c:pt>
                <c:pt idx="8" formatCode="0.0%">
                  <c:v>6.0285788828844222E-2</c:v>
                </c:pt>
                <c:pt idx="9" formatCode="0.0%">
                  <c:v>6.0285788828844222E-2</c:v>
                </c:pt>
                <c:pt idx="10" formatCode="0.0%">
                  <c:v>6.0285788828844222E-2</c:v>
                </c:pt>
                <c:pt idx="11" formatCode="0.0%">
                  <c:v>6.0285788828844222E-2</c:v>
                </c:pt>
                <c:pt idx="12" formatCode="0.0%">
                  <c:v>6.0285788828844222E-2</c:v>
                </c:pt>
                <c:pt idx="13" formatCode="0.0%">
                  <c:v>6.0285788828844222E-2</c:v>
                </c:pt>
                <c:pt idx="14" formatCode="0.0%">
                  <c:v>6.0285788828844222E-2</c:v>
                </c:pt>
                <c:pt idx="15" formatCode="0.0%">
                  <c:v>6.0285788828844222E-2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7F-954C-8EE6-A251D44F3A1F}"/>
            </c:ext>
          </c:extLst>
        </c:ser>
        <c:ser>
          <c:idx val="5"/>
          <c:order val="3"/>
          <c:tx>
            <c:strRef>
              <c:f>'C6'!$L$6</c:f>
              <c:strCache>
                <c:ptCount val="1"/>
                <c:pt idx="0">
                  <c:v>Low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'C6'!$L$28:$L$43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5.4285788828844217E-2</c:v>
                </c:pt>
                <c:pt idx="7" formatCode="0.0%">
                  <c:v>4.978578882884422E-2</c:v>
                </c:pt>
                <c:pt idx="8" formatCode="0.0%">
                  <c:v>4.5785788828844223E-2</c:v>
                </c:pt>
                <c:pt idx="9" formatCode="0.0%">
                  <c:v>4.2185788828844217E-2</c:v>
                </c:pt>
                <c:pt idx="10" formatCode="0.0%">
                  <c:v>3.888578882884422E-2</c:v>
                </c:pt>
                <c:pt idx="11" formatCode="0.0%">
                  <c:v>3.5885788828844217E-2</c:v>
                </c:pt>
                <c:pt idx="12" formatCode="0.0%">
                  <c:v>3.3685788828844224E-2</c:v>
                </c:pt>
                <c:pt idx="13" formatCode="0.0%">
                  <c:v>3.2185788828844222E-2</c:v>
                </c:pt>
                <c:pt idx="14" formatCode="0.0%">
                  <c:v>3.1185788828844221E-2</c:v>
                </c:pt>
                <c:pt idx="15" formatCode="0.0%">
                  <c:v>3.0285788828844223E-2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7F-954C-8EE6-A251D44F3A1F}"/>
            </c:ext>
          </c:extLst>
        </c:ser>
        <c:ser>
          <c:idx val="9"/>
          <c:order val="4"/>
          <c:tx>
            <c:strRef>
              <c:f>'C6'!$I$6</c:f>
              <c:strCache>
                <c:ptCount val="1"/>
                <c:pt idx="0">
                  <c:v>2018 approach TERM adjusted</c:v>
                </c:pt>
              </c:strCache>
            </c:strRef>
          </c:tx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'C6'!$I$28:$I$43</c:f>
              <c:numCache>
                <c:formatCode>0.00%</c:formatCode>
                <c:ptCount val="16"/>
                <c:pt idx="1">
                  <c:v>5.9897379013228703E-2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7F-954C-8EE6-A251D44F3A1F}"/>
            </c:ext>
          </c:extLst>
        </c:ser>
        <c:ser>
          <c:idx val="0"/>
          <c:order val="5"/>
          <c:tx>
            <c:strRef>
              <c:f>'C6'!$G$6</c:f>
              <c:strCache>
                <c:ptCount val="1"/>
                <c:pt idx="0">
                  <c:v>Equity decisions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'C6'!$G$28:$G$43</c:f>
              <c:numCache>
                <c:formatCode>0.00%</c:formatCode>
                <c:ptCount val="16"/>
                <c:pt idx="0">
                  <c:v>7.2046961719674299E-2</c:v>
                </c:pt>
                <c:pt idx="1">
                  <c:v>6.8797379013228702E-2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7F-954C-8EE6-A251D44F3A1F}"/>
            </c:ext>
          </c:extLst>
        </c:ser>
        <c:ser>
          <c:idx val="7"/>
          <c:order val="6"/>
          <c:tx>
            <c:strRef>
              <c:f>'C6'!$M$6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3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77F-954C-8EE6-A251D44F3A1F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77F-954C-8EE6-A251D44F3A1F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FF0000"/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77F-954C-8EE6-A251D44F3A1F}"/>
              </c:ext>
            </c:extLst>
          </c:dPt>
          <c:dLbls>
            <c:dLbl>
              <c:idx val="10"/>
              <c:layout>
                <c:manualLayout>
                  <c:x val="-4.57462964425248E-2"/>
                  <c:y val="-9.735103204473560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F-954C-8EE6-A251D44F3A1F}"/>
                </c:ext>
              </c:extLst>
            </c:dLbl>
            <c:dLbl>
              <c:idx val="15"/>
              <c:layout>
                <c:manualLayout>
                  <c:x val="-4.6451280557442888E-2"/>
                  <c:y val="-8.798681515970069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7F-954C-8EE6-A251D44F3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'C6'!$M$28:$M$43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6.6285788828844228E-2</c:v>
                </c:pt>
                <c:pt idx="7" formatCode="0.0%">
                  <c:v>7.0785788828844232E-2</c:v>
                </c:pt>
                <c:pt idx="8" formatCode="0.0%">
                  <c:v>7.4785788828844235E-2</c:v>
                </c:pt>
                <c:pt idx="9" formatCode="0.0%">
                  <c:v>7.8385788828844227E-2</c:v>
                </c:pt>
                <c:pt idx="10" formatCode="0.0%">
                  <c:v>8.1685788828844225E-2</c:v>
                </c:pt>
                <c:pt idx="11" formatCode="0.0%">
                  <c:v>8.4685788828844227E-2</c:v>
                </c:pt>
                <c:pt idx="12" formatCode="0.0%">
                  <c:v>8.6885788828844235E-2</c:v>
                </c:pt>
                <c:pt idx="13" formatCode="0.0%">
                  <c:v>8.8385788828844236E-2</c:v>
                </c:pt>
                <c:pt idx="14" formatCode="0.0%">
                  <c:v>8.9385788828844237E-2</c:v>
                </c:pt>
                <c:pt idx="15" formatCode="0.0%">
                  <c:v>9.0285788828844221E-2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7F-954C-8EE6-A251D44F3A1F}"/>
            </c:ext>
          </c:extLst>
        </c:ser>
        <c:ser>
          <c:idx val="8"/>
          <c:order val="7"/>
          <c:tx>
            <c:strRef>
              <c:f>'C6'!$N$6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'C6'!$N$28:$N$43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6.0285788828844222E-2</c:v>
                </c:pt>
                <c:pt idx="7" formatCode="0.0%">
                  <c:v>6.0285788828844222E-2</c:v>
                </c:pt>
                <c:pt idx="8" formatCode="0.0%">
                  <c:v>6.0285788828844222E-2</c:v>
                </c:pt>
                <c:pt idx="9" formatCode="0.0%">
                  <c:v>6.0285788828844222E-2</c:v>
                </c:pt>
                <c:pt idx="10" formatCode="0.0%">
                  <c:v>6.0285788828844222E-2</c:v>
                </c:pt>
                <c:pt idx="11" formatCode="0.0%">
                  <c:v>6.0285788828844222E-2</c:v>
                </c:pt>
                <c:pt idx="12" formatCode="0.0%">
                  <c:v>6.0285788828844222E-2</c:v>
                </c:pt>
                <c:pt idx="13" formatCode="0.0%">
                  <c:v>6.0285788828844222E-2</c:v>
                </c:pt>
                <c:pt idx="14" formatCode="0.0%">
                  <c:v>6.0285788828844222E-2</c:v>
                </c:pt>
                <c:pt idx="15" formatCode="0.0%">
                  <c:v>6.0285788828844222E-2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77F-954C-8EE6-A251D44F3A1F}"/>
            </c:ext>
          </c:extLst>
        </c:ser>
        <c:ser>
          <c:idx val="6"/>
          <c:order val="8"/>
          <c:tx>
            <c:strRef>
              <c:f>'C6'!$L$6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11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77F-954C-8EE6-A251D44F3A1F}"/>
              </c:ext>
            </c:extLst>
          </c:dPt>
          <c:dPt>
            <c:idx val="10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77F-954C-8EE6-A251D44F3A1F}"/>
              </c:ext>
            </c:extLst>
          </c:dPt>
          <c:dPt>
            <c:idx val="15"/>
            <c:marker>
              <c:symbol val="circle"/>
              <c:size val="13"/>
              <c:spPr>
                <a:solidFill>
                  <a:srgbClr val="92D050"/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77F-954C-8EE6-A251D44F3A1F}"/>
              </c:ext>
            </c:extLst>
          </c:dPt>
          <c:dLbls>
            <c:dLbl>
              <c:idx val="5"/>
              <c:layout>
                <c:manualLayout>
                  <c:x val="-7.0441668538271593E-2"/>
                  <c:y val="-8.805984222533373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7F-954C-8EE6-A251D44F3A1F}"/>
                </c:ext>
              </c:extLst>
            </c:dLbl>
            <c:dLbl>
              <c:idx val="10"/>
              <c:layout>
                <c:manualLayout>
                  <c:x val="-4.7094877421290884E-2"/>
                  <c:y val="9.039485387172138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7F-954C-8EE6-A251D44F3A1F}"/>
                </c:ext>
              </c:extLst>
            </c:dLbl>
            <c:dLbl>
              <c:idx val="15"/>
              <c:layout>
                <c:manualLayout>
                  <c:x val="-4.3385407384537486E-2"/>
                  <c:y val="6.251694761347147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7F-954C-8EE6-A251D44F3A1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  <a:tailEnd type="stealth"/>
                    </a:ln>
                    <a:effectLst/>
                  </c:spPr>
                </c15:leaderLines>
              </c:ext>
            </c:extLst>
          </c:dLbls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'C6'!$L$28:$L$43</c:f>
              <c:numCache>
                <c:formatCode>0.00%</c:formatCode>
                <c:ptCount val="16"/>
                <c:pt idx="5" formatCode="0.0%">
                  <c:v>6.0285788828844222E-2</c:v>
                </c:pt>
                <c:pt idx="6" formatCode="0.0%">
                  <c:v>5.4285788828844217E-2</c:v>
                </c:pt>
                <c:pt idx="7" formatCode="0.0%">
                  <c:v>4.978578882884422E-2</c:v>
                </c:pt>
                <c:pt idx="8" formatCode="0.0%">
                  <c:v>4.5785788828844223E-2</c:v>
                </c:pt>
                <c:pt idx="9" formatCode="0.0%">
                  <c:v>4.2185788828844217E-2</c:v>
                </c:pt>
                <c:pt idx="10" formatCode="0.0%">
                  <c:v>3.888578882884422E-2</c:v>
                </c:pt>
                <c:pt idx="11" formatCode="0.0%">
                  <c:v>3.5885788828844217E-2</c:v>
                </c:pt>
                <c:pt idx="12" formatCode="0.0%">
                  <c:v>3.3685788828844224E-2</c:v>
                </c:pt>
                <c:pt idx="13" formatCode="0.0%">
                  <c:v>3.2185788828844222E-2</c:v>
                </c:pt>
                <c:pt idx="14" formatCode="0.0%">
                  <c:v>3.1185788828844221E-2</c:v>
                </c:pt>
                <c:pt idx="15" formatCode="0.0%">
                  <c:v>3.0285788828844223E-2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77F-954C-8EE6-A251D44F3A1F}"/>
            </c:ext>
          </c:extLst>
        </c:ser>
        <c:ser>
          <c:idx val="1"/>
          <c:order val="9"/>
          <c:tx>
            <c:strRef>
              <c:f>'C6'!$I$6</c:f>
              <c:strCache>
                <c:ptCount val="1"/>
                <c:pt idx="0">
                  <c:v>2018 approach TERM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'C5'!$B$29:$B$44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strCache>
            </c:strRef>
          </c:cat>
          <c:val>
            <c:numRef>
              <c:f>'C6'!$I$28:$I$43</c:f>
              <c:numCache>
                <c:formatCode>0.00%</c:formatCode>
                <c:ptCount val="16"/>
                <c:pt idx="1">
                  <c:v>5.9897379013228703E-2</c:v>
                </c:pt>
                <c:pt idx="2">
                  <c:v>5.038029901781086E-2</c:v>
                </c:pt>
                <c:pt idx="3">
                  <c:v>4.6342846630917291E-2</c:v>
                </c:pt>
                <c:pt idx="4">
                  <c:v>5.3402965079398824E-2</c:v>
                </c:pt>
                <c:pt idx="5">
                  <c:v>5.78335223852013E-2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77F-954C-8EE6-A251D44F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6496"/>
        <c:axId val="189776064"/>
      </c:lineChart>
      <c:dateAx>
        <c:axId val="1897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6064"/>
        <c:crosses val="autoZero"/>
        <c:auto val="0"/>
        <c:lblOffset val="100"/>
        <c:baseTimeUnit val="days"/>
        <c:majorUnit val="5"/>
        <c:minorUnit val="5"/>
      </c:dateAx>
      <c:valAx>
        <c:axId val="18977606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6496"/>
        <c:crossesAt val="1"/>
        <c:crossBetween val="midCat"/>
      </c:valAx>
    </c:plotArea>
    <c:legend>
      <c:legendPos val="r"/>
      <c:legendEntry>
        <c:idx val="0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83072982350603186"/>
          <c:y val="0.38074901986624055"/>
          <c:w val="9.1507557121526251E-2"/>
          <c:h val="0.15900405231772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369545-3AF1-1E46-AE01-FDE4E206964B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CB7E83-A6B3-6F49-A3E7-E6F7F86D86E9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BE36BE-257F-2C44-B634-FC5AF9C01062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8B2510-7404-904E-8FC1-DCCFFA7D364B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3CC333-E4C6-1346-B811-DE65FD523E24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8541B9-43C2-7846-B94E-EFA4CA241D31}">
  <sheetPr>
    <tabColor theme="9" tint="0.39997558519241921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800998</xdr:colOff>
      <xdr:row>7</xdr:row>
      <xdr:rowOff>155017</xdr:rowOff>
    </xdr:from>
    <xdr:to>
      <xdr:col>6</xdr:col>
      <xdr:colOff>182868</xdr:colOff>
      <xdr:row>10</xdr:row>
      <xdr:rowOff>101040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/>
        </xdr:cNvSpPr>
      </xdr:nvSpPr>
      <xdr:spPr>
        <a:xfrm>
          <a:off x="4356998" y="1763684"/>
          <a:ext cx="1032870" cy="454023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D1</a:t>
          </a:r>
        </a:p>
      </xdr:txBody>
    </xdr:sp>
    <xdr:clientData/>
  </xdr:twoCellAnchor>
  <xdr:twoCellAnchor>
    <xdr:from>
      <xdr:col>4</xdr:col>
      <xdr:colOff>802436</xdr:colOff>
      <xdr:row>13</xdr:row>
      <xdr:rowOff>110346</xdr:rowOff>
    </xdr:from>
    <xdr:to>
      <xdr:col>6</xdr:col>
      <xdr:colOff>185936</xdr:colOff>
      <xdr:row>16</xdr:row>
      <xdr:rowOff>2154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/>
        </xdr:cNvSpPr>
      </xdr:nvSpPr>
      <xdr:spPr>
        <a:xfrm>
          <a:off x="4358436" y="2798513"/>
          <a:ext cx="1034500" cy="399808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D2</a:t>
          </a:r>
        </a:p>
      </xdr:txBody>
    </xdr:sp>
    <xdr:clientData/>
  </xdr:twoCellAnchor>
  <xdr:twoCellAnchor>
    <xdr:from>
      <xdr:col>12</xdr:col>
      <xdr:colOff>352840</xdr:colOff>
      <xdr:row>4</xdr:row>
      <xdr:rowOff>103526</xdr:rowOff>
    </xdr:from>
    <xdr:to>
      <xdr:col>13</xdr:col>
      <xdr:colOff>556353</xdr:colOff>
      <xdr:row>7</xdr:row>
      <xdr:rowOff>9507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/>
        </xdr:cNvSpPr>
      </xdr:nvSpPr>
      <xdr:spPr>
        <a:xfrm>
          <a:off x="10512840" y="1161859"/>
          <a:ext cx="1029013" cy="4563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C1</a:t>
          </a:r>
        </a:p>
      </xdr:txBody>
    </xdr:sp>
    <xdr:clientData/>
  </xdr:twoCellAnchor>
  <xdr:twoCellAnchor>
    <xdr:from>
      <xdr:col>4</xdr:col>
      <xdr:colOff>805504</xdr:colOff>
      <xdr:row>26</xdr:row>
      <xdr:rowOff>159625</xdr:rowOff>
    </xdr:from>
    <xdr:to>
      <xdr:col>6</xdr:col>
      <xdr:colOff>189004</xdr:colOff>
      <xdr:row>29</xdr:row>
      <xdr:rowOff>62049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>
          <a:off x="4361504" y="5049125"/>
          <a:ext cx="1034500" cy="410424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D3</a:t>
          </a:r>
        </a:p>
      </xdr:txBody>
    </xdr:sp>
    <xdr:clientData/>
  </xdr:twoCellAnchor>
  <xdr:twoCellAnchor>
    <xdr:from>
      <xdr:col>12</xdr:col>
      <xdr:colOff>352840</xdr:colOff>
      <xdr:row>24</xdr:row>
      <xdr:rowOff>23012</xdr:rowOff>
    </xdr:from>
    <xdr:to>
      <xdr:col>13</xdr:col>
      <xdr:colOff>556353</xdr:colOff>
      <xdr:row>26</xdr:row>
      <xdr:rowOff>84154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>
          <a:off x="10512840" y="4573845"/>
          <a:ext cx="1029013" cy="399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C3</a:t>
          </a:r>
        </a:p>
      </xdr:txBody>
    </xdr:sp>
    <xdr:clientData/>
  </xdr:twoCellAnchor>
  <xdr:twoCellAnchor>
    <xdr:from>
      <xdr:col>12</xdr:col>
      <xdr:colOff>352840</xdr:colOff>
      <xdr:row>32</xdr:row>
      <xdr:rowOff>37053</xdr:rowOff>
    </xdr:from>
    <xdr:to>
      <xdr:col>13</xdr:col>
      <xdr:colOff>556353</xdr:colOff>
      <xdr:row>34</xdr:row>
      <xdr:rowOff>112484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>
          <a:off x="10512840" y="5942553"/>
          <a:ext cx="1029013" cy="41409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C5</a:t>
          </a:r>
        </a:p>
      </xdr:txBody>
    </xdr:sp>
    <xdr:clientData/>
  </xdr:twoCellAnchor>
  <xdr:twoCellAnchor>
    <xdr:from>
      <xdr:col>12</xdr:col>
      <xdr:colOff>352840</xdr:colOff>
      <xdr:row>35</xdr:row>
      <xdr:rowOff>103623</xdr:rowOff>
    </xdr:from>
    <xdr:to>
      <xdr:col>13</xdr:col>
      <xdr:colOff>556353</xdr:colOff>
      <xdr:row>38</xdr:row>
      <xdr:rowOff>9603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>
          <a:off x="10512840" y="6517123"/>
          <a:ext cx="1029013" cy="41398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C6</a:t>
          </a:r>
        </a:p>
      </xdr:txBody>
    </xdr:sp>
    <xdr:clientData/>
  </xdr:twoCellAnchor>
  <xdr:twoCellAnchor>
    <xdr:from>
      <xdr:col>16</xdr:col>
      <xdr:colOff>170474</xdr:colOff>
      <xdr:row>7</xdr:row>
      <xdr:rowOff>97732</xdr:rowOff>
    </xdr:from>
    <xdr:to>
      <xdr:col>17</xdr:col>
      <xdr:colOff>373987</xdr:colOff>
      <xdr:row>9</xdr:row>
      <xdr:rowOff>133824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>
          <a:off x="13759474" y="1639875"/>
          <a:ext cx="1038084" cy="36266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S1</a:t>
          </a:r>
        </a:p>
      </xdr:txBody>
    </xdr:sp>
    <xdr:clientData/>
  </xdr:twoCellAnchor>
  <xdr:twoCellAnchor>
    <xdr:from>
      <xdr:col>6</xdr:col>
      <xdr:colOff>182868</xdr:colOff>
      <xdr:row>5</xdr:row>
      <xdr:rowOff>120017</xdr:rowOff>
    </xdr:from>
    <xdr:to>
      <xdr:col>12</xdr:col>
      <xdr:colOff>352840</xdr:colOff>
      <xdr:row>9</xdr:row>
      <xdr:rowOff>43363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2" idx="3"/>
          <a:endCxn id="4" idx="1"/>
        </xdr:cNvCxnSpPr>
      </xdr:nvCxnSpPr>
      <xdr:spPr>
        <a:xfrm flipV="1">
          <a:off x="5389868" y="1390017"/>
          <a:ext cx="5122972" cy="600679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41847</xdr:colOff>
      <xdr:row>34</xdr:row>
      <xdr:rowOff>112484</xdr:rowOff>
    </xdr:from>
    <xdr:to>
      <xdr:col>13</xdr:col>
      <xdr:colOff>41847</xdr:colOff>
      <xdr:row>35</xdr:row>
      <xdr:rowOff>103623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10" idx="2"/>
          <a:endCxn id="12" idx="0"/>
        </xdr:cNvCxnSpPr>
      </xdr:nvCxnSpPr>
      <xdr:spPr>
        <a:xfrm>
          <a:off x="11027347" y="6356651"/>
          <a:ext cx="0" cy="160472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170474</xdr:colOff>
      <xdr:row>19</xdr:row>
      <xdr:rowOff>63971</xdr:rowOff>
    </xdr:from>
    <xdr:to>
      <xdr:col>17</xdr:col>
      <xdr:colOff>373987</xdr:colOff>
      <xdr:row>21</xdr:row>
      <xdr:rowOff>126260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/>
        </xdr:cNvSpPr>
      </xdr:nvSpPr>
      <xdr:spPr>
        <a:xfrm>
          <a:off x="13632474" y="3768138"/>
          <a:ext cx="1029013" cy="40095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S2</a:t>
          </a:r>
        </a:p>
      </xdr:txBody>
    </xdr:sp>
    <xdr:clientData/>
  </xdr:twoCellAnchor>
  <xdr:twoCellAnchor>
    <xdr:from>
      <xdr:col>6</xdr:col>
      <xdr:colOff>189004</xdr:colOff>
      <xdr:row>19</xdr:row>
      <xdr:rowOff>50820</xdr:rowOff>
    </xdr:from>
    <xdr:to>
      <xdr:col>12</xdr:col>
      <xdr:colOff>352840</xdr:colOff>
      <xdr:row>28</xdr:row>
      <xdr:rowOff>26170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5" idx="3"/>
          <a:endCxn id="35" idx="1"/>
        </xdr:cNvCxnSpPr>
      </xdr:nvCxnSpPr>
      <xdr:spPr>
        <a:xfrm flipV="1">
          <a:off x="5396004" y="3754987"/>
          <a:ext cx="5116836" cy="1499350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189004</xdr:colOff>
      <xdr:row>25</xdr:row>
      <xdr:rowOff>53583</xdr:rowOff>
    </xdr:from>
    <xdr:to>
      <xdr:col>12</xdr:col>
      <xdr:colOff>352840</xdr:colOff>
      <xdr:row>28</xdr:row>
      <xdr:rowOff>26170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stCxn id="5" idx="3"/>
          <a:endCxn id="9" idx="1"/>
        </xdr:cNvCxnSpPr>
      </xdr:nvCxnSpPr>
      <xdr:spPr>
        <a:xfrm flipV="1">
          <a:off x="5396004" y="4773750"/>
          <a:ext cx="5116836" cy="480587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189004</xdr:colOff>
      <xdr:row>28</xdr:row>
      <xdr:rowOff>26170</xdr:rowOff>
    </xdr:from>
    <xdr:to>
      <xdr:col>12</xdr:col>
      <xdr:colOff>352840</xdr:colOff>
      <xdr:row>33</xdr:row>
      <xdr:rowOff>74769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stCxn id="5" idx="3"/>
          <a:endCxn id="10" idx="1"/>
        </xdr:cNvCxnSpPr>
      </xdr:nvCxnSpPr>
      <xdr:spPr>
        <a:xfrm>
          <a:off x="5396004" y="5254337"/>
          <a:ext cx="5116836" cy="89526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189004</xdr:colOff>
      <xdr:row>28</xdr:row>
      <xdr:rowOff>26170</xdr:rowOff>
    </xdr:from>
    <xdr:to>
      <xdr:col>12</xdr:col>
      <xdr:colOff>352840</xdr:colOff>
      <xdr:row>36</xdr:row>
      <xdr:rowOff>141280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>
          <a:stCxn id="5" idx="3"/>
          <a:endCxn id="12" idx="1"/>
        </xdr:cNvCxnSpPr>
      </xdr:nvCxnSpPr>
      <xdr:spPr>
        <a:xfrm>
          <a:off x="5396004" y="5254337"/>
          <a:ext cx="5116836" cy="1469776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185936</xdr:colOff>
      <xdr:row>14</xdr:row>
      <xdr:rowOff>124547</xdr:rowOff>
    </xdr:from>
    <xdr:to>
      <xdr:col>12</xdr:col>
      <xdr:colOff>352840</xdr:colOff>
      <xdr:row>14</xdr:row>
      <xdr:rowOff>140917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>
          <a:stCxn id="3" idx="3"/>
          <a:endCxn id="38" idx="1"/>
        </xdr:cNvCxnSpPr>
      </xdr:nvCxnSpPr>
      <xdr:spPr>
        <a:xfrm flipV="1">
          <a:off x="5392936" y="2982047"/>
          <a:ext cx="5119904" cy="16370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170474</xdr:colOff>
      <xdr:row>25</xdr:row>
      <xdr:rowOff>143370</xdr:rowOff>
    </xdr:from>
    <xdr:to>
      <xdr:col>17</xdr:col>
      <xdr:colOff>373987</xdr:colOff>
      <xdr:row>28</xdr:row>
      <xdr:rowOff>62377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/>
        </xdr:cNvSpPr>
      </xdr:nvSpPr>
      <xdr:spPr>
        <a:xfrm>
          <a:off x="13632474" y="4863537"/>
          <a:ext cx="1029013" cy="42700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S3</a:t>
          </a:r>
        </a:p>
      </xdr:txBody>
    </xdr:sp>
    <xdr:clientData/>
  </xdr:twoCellAnchor>
  <xdr:twoCellAnchor>
    <xdr:from>
      <xdr:col>12</xdr:col>
      <xdr:colOff>352840</xdr:colOff>
      <xdr:row>18</xdr:row>
      <xdr:rowOff>19676</xdr:rowOff>
    </xdr:from>
    <xdr:to>
      <xdr:col>13</xdr:col>
      <xdr:colOff>556353</xdr:colOff>
      <xdr:row>20</xdr:row>
      <xdr:rowOff>81965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/>
        </xdr:cNvSpPr>
      </xdr:nvSpPr>
      <xdr:spPr>
        <a:xfrm>
          <a:off x="10512840" y="3554509"/>
          <a:ext cx="1029013" cy="40095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C2</a:t>
          </a:r>
        </a:p>
      </xdr:txBody>
    </xdr:sp>
    <xdr:clientData/>
  </xdr:twoCellAnchor>
  <xdr:twoCellAnchor>
    <xdr:from>
      <xdr:col>12</xdr:col>
      <xdr:colOff>352840</xdr:colOff>
      <xdr:row>13</xdr:row>
      <xdr:rowOff>93976</xdr:rowOff>
    </xdr:from>
    <xdr:to>
      <xdr:col>13</xdr:col>
      <xdr:colOff>556353</xdr:colOff>
      <xdr:row>15</xdr:row>
      <xdr:rowOff>155118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/>
        </xdr:cNvSpPr>
      </xdr:nvSpPr>
      <xdr:spPr>
        <a:xfrm>
          <a:off x="10512840" y="2782143"/>
          <a:ext cx="1029013" cy="3998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C1</a:t>
          </a:r>
        </a:p>
      </xdr:txBody>
    </xdr:sp>
    <xdr:clientData/>
  </xdr:twoCellAnchor>
  <xdr:twoCellAnchor>
    <xdr:from>
      <xdr:col>6</xdr:col>
      <xdr:colOff>182868</xdr:colOff>
      <xdr:row>8</xdr:row>
      <xdr:rowOff>115778</xdr:rowOff>
    </xdr:from>
    <xdr:to>
      <xdr:col>16</xdr:col>
      <xdr:colOff>170474</xdr:colOff>
      <xdr:row>9</xdr:row>
      <xdr:rowOff>46386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stCxn id="2" idx="3"/>
          <a:endCxn id="15" idx="1"/>
        </xdr:cNvCxnSpPr>
      </xdr:nvCxnSpPr>
      <xdr:spPr>
        <a:xfrm flipV="1">
          <a:off x="5426154" y="1821207"/>
          <a:ext cx="8333320" cy="93893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189004</xdr:colOff>
      <xdr:row>20</xdr:row>
      <xdr:rowOff>95116</xdr:rowOff>
    </xdr:from>
    <xdr:to>
      <xdr:col>16</xdr:col>
      <xdr:colOff>170474</xdr:colOff>
      <xdr:row>28</xdr:row>
      <xdr:rowOff>26170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>
          <a:stCxn id="5" idx="3"/>
          <a:endCxn id="23" idx="1"/>
        </xdr:cNvCxnSpPr>
      </xdr:nvCxnSpPr>
      <xdr:spPr>
        <a:xfrm flipV="1">
          <a:off x="5396004" y="3968616"/>
          <a:ext cx="8236470" cy="1285721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189004</xdr:colOff>
      <xdr:row>27</xdr:row>
      <xdr:rowOff>18208</xdr:rowOff>
    </xdr:from>
    <xdr:to>
      <xdr:col>16</xdr:col>
      <xdr:colOff>170474</xdr:colOff>
      <xdr:row>28</xdr:row>
      <xdr:rowOff>26170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>
          <a:stCxn id="5" idx="3"/>
          <a:endCxn id="31" idx="1"/>
        </xdr:cNvCxnSpPr>
      </xdr:nvCxnSpPr>
      <xdr:spPr>
        <a:xfrm flipV="1">
          <a:off x="5396004" y="5077041"/>
          <a:ext cx="8236470" cy="177296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170474</xdr:colOff>
      <xdr:row>29</xdr:row>
      <xdr:rowOff>109343</xdr:rowOff>
    </xdr:from>
    <xdr:to>
      <xdr:col>17</xdr:col>
      <xdr:colOff>373987</xdr:colOff>
      <xdr:row>32</xdr:row>
      <xdr:rowOff>6089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/>
        </xdr:cNvSpPr>
      </xdr:nvSpPr>
      <xdr:spPr>
        <a:xfrm>
          <a:off x="13632474" y="5506843"/>
          <a:ext cx="1029013" cy="40474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S4</a:t>
          </a:r>
        </a:p>
      </xdr:txBody>
    </xdr:sp>
    <xdr:clientData/>
  </xdr:twoCellAnchor>
  <xdr:twoCellAnchor>
    <xdr:from>
      <xdr:col>13</xdr:col>
      <xdr:colOff>556353</xdr:colOff>
      <xdr:row>30</xdr:row>
      <xdr:rowOff>142383</xdr:rowOff>
    </xdr:from>
    <xdr:to>
      <xdr:col>16</xdr:col>
      <xdr:colOff>170474</xdr:colOff>
      <xdr:row>33</xdr:row>
      <xdr:rowOff>74769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>
          <a:stCxn id="10" idx="3"/>
          <a:endCxn id="43" idx="1"/>
        </xdr:cNvCxnSpPr>
      </xdr:nvCxnSpPr>
      <xdr:spPr>
        <a:xfrm flipV="1">
          <a:off x="11541853" y="5709216"/>
          <a:ext cx="2090621" cy="440386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556353</xdr:colOff>
      <xdr:row>34</xdr:row>
      <xdr:rowOff>52578</xdr:rowOff>
    </xdr:from>
    <xdr:to>
      <xdr:col>16</xdr:col>
      <xdr:colOff>170474</xdr:colOff>
      <xdr:row>36</xdr:row>
      <xdr:rowOff>141280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>
          <a:stCxn id="12" idx="3"/>
          <a:endCxn id="52" idx="1"/>
        </xdr:cNvCxnSpPr>
      </xdr:nvCxnSpPr>
      <xdr:spPr>
        <a:xfrm flipV="1">
          <a:off x="11541853" y="6296745"/>
          <a:ext cx="2090621" cy="42736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170474</xdr:colOff>
      <xdr:row>33</xdr:row>
      <xdr:rowOff>26051</xdr:rowOff>
    </xdr:from>
    <xdr:to>
      <xdr:col>17</xdr:col>
      <xdr:colOff>373987</xdr:colOff>
      <xdr:row>35</xdr:row>
      <xdr:rowOff>79105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/>
        </xdr:cNvSpPr>
      </xdr:nvSpPr>
      <xdr:spPr>
        <a:xfrm>
          <a:off x="13632474" y="6100884"/>
          <a:ext cx="1029013" cy="39172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S5</a:t>
          </a:r>
        </a:p>
      </xdr:txBody>
    </xdr:sp>
    <xdr:clientData/>
  </xdr:twoCellAnchor>
  <xdr:twoCellAnchor>
    <xdr:from>
      <xdr:col>16</xdr:col>
      <xdr:colOff>170474</xdr:colOff>
      <xdr:row>36</xdr:row>
      <xdr:rowOff>42984</xdr:rowOff>
    </xdr:from>
    <xdr:to>
      <xdr:col>17</xdr:col>
      <xdr:colOff>373987</xdr:colOff>
      <xdr:row>38</xdr:row>
      <xdr:rowOff>96038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/>
        </xdr:cNvSpPr>
      </xdr:nvSpPr>
      <xdr:spPr>
        <a:xfrm>
          <a:off x="13632474" y="6625817"/>
          <a:ext cx="1029013" cy="39172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S6</a:t>
          </a:r>
        </a:p>
      </xdr:txBody>
    </xdr:sp>
    <xdr:clientData/>
  </xdr:twoCellAnchor>
  <xdr:twoCellAnchor>
    <xdr:from>
      <xdr:col>13</xdr:col>
      <xdr:colOff>556353</xdr:colOff>
      <xdr:row>36</xdr:row>
      <xdr:rowOff>141280</xdr:rowOff>
    </xdr:from>
    <xdr:to>
      <xdr:col>16</xdr:col>
      <xdr:colOff>170474</xdr:colOff>
      <xdr:row>37</xdr:row>
      <xdr:rowOff>69511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>
          <a:stCxn id="12" idx="3"/>
          <a:endCxn id="53" idx="1"/>
        </xdr:cNvCxnSpPr>
      </xdr:nvCxnSpPr>
      <xdr:spPr>
        <a:xfrm>
          <a:off x="11541853" y="6724113"/>
          <a:ext cx="2090621" cy="9756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352840</xdr:colOff>
      <xdr:row>28</xdr:row>
      <xdr:rowOff>110052</xdr:rowOff>
    </xdr:from>
    <xdr:to>
      <xdr:col>13</xdr:col>
      <xdr:colOff>556353</xdr:colOff>
      <xdr:row>31</xdr:row>
      <xdr:rowOff>1860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/>
        </xdr:cNvSpPr>
      </xdr:nvSpPr>
      <xdr:spPr>
        <a:xfrm>
          <a:off x="10512840" y="5338219"/>
          <a:ext cx="1029013" cy="3998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C4</a:t>
          </a:r>
        </a:p>
      </xdr:txBody>
    </xdr:sp>
    <xdr:clientData/>
  </xdr:twoCellAnchor>
  <xdr:twoCellAnchor>
    <xdr:from>
      <xdr:col>13</xdr:col>
      <xdr:colOff>41847</xdr:colOff>
      <xdr:row>31</xdr:row>
      <xdr:rowOff>1860</xdr:rowOff>
    </xdr:from>
    <xdr:to>
      <xdr:col>13</xdr:col>
      <xdr:colOff>41847</xdr:colOff>
      <xdr:row>32</xdr:row>
      <xdr:rowOff>37053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>
          <a:stCxn id="103" idx="2"/>
          <a:endCxn id="10" idx="0"/>
        </xdr:cNvCxnSpPr>
      </xdr:nvCxnSpPr>
      <xdr:spPr>
        <a:xfrm>
          <a:off x="11027347" y="5738027"/>
          <a:ext cx="0" cy="204526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787361</xdr:colOff>
      <xdr:row>32</xdr:row>
      <xdr:rowOff>23554</xdr:rowOff>
    </xdr:from>
    <xdr:to>
      <xdr:col>6</xdr:col>
      <xdr:colOff>170861</xdr:colOff>
      <xdr:row>34</xdr:row>
      <xdr:rowOff>89263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/>
        </xdr:cNvSpPr>
      </xdr:nvSpPr>
      <xdr:spPr>
        <a:xfrm>
          <a:off x="4361504" y="5720411"/>
          <a:ext cx="1052643" cy="392281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D4</a:t>
          </a:r>
        </a:p>
      </xdr:txBody>
    </xdr:sp>
    <xdr:clientData/>
  </xdr:twoCellAnchor>
  <xdr:twoCellAnchor>
    <xdr:from>
      <xdr:col>6</xdr:col>
      <xdr:colOff>170861</xdr:colOff>
      <xdr:row>29</xdr:row>
      <xdr:rowOff>137599</xdr:rowOff>
    </xdr:from>
    <xdr:to>
      <xdr:col>12</xdr:col>
      <xdr:colOff>352840</xdr:colOff>
      <xdr:row>33</xdr:row>
      <xdr:rowOff>101765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>
          <a:endCxn id="103" idx="1"/>
        </xdr:cNvCxnSpPr>
      </xdr:nvCxnSpPr>
      <xdr:spPr>
        <a:xfrm flipV="1">
          <a:off x="5414147" y="5344599"/>
          <a:ext cx="5189407" cy="617309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1225660</xdr:colOff>
      <xdr:row>19</xdr:row>
      <xdr:rowOff>54380</xdr:rowOff>
    </xdr:from>
    <xdr:to>
      <xdr:col>16</xdr:col>
      <xdr:colOff>295659</xdr:colOff>
      <xdr:row>41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71747</xdr:colOff>
      <xdr:row>20</xdr:row>
      <xdr:rowOff>16104</xdr:rowOff>
    </xdr:from>
    <xdr:to>
      <xdr:col>8</xdr:col>
      <xdr:colOff>1095375</xdr:colOff>
      <xdr:row>42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130101</xdr:colOff>
      <xdr:row>46</xdr:row>
      <xdr:rowOff>54428</xdr:rowOff>
    </xdr:from>
    <xdr:ext cx="5933242" cy="44740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297508</xdr:colOff>
      <xdr:row>46</xdr:row>
      <xdr:rowOff>50800</xdr:rowOff>
    </xdr:from>
    <xdr:ext cx="6108734" cy="445044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0.29957</cdr:x>
      <cdr:y>0.13566</cdr:y>
    </cdr:from>
    <cdr:to>
      <cdr:x>0.69423</cdr:x>
      <cdr:y>0.90948</cdr:y>
    </cdr:to>
    <cdr:grpSp>
      <cdr:nvGrpSpPr>
        <cdr:cNvPr id="16" name="Group 15">
          <a:extLst xmlns:a="http://schemas.openxmlformats.org/drawingml/2006/main">
            <a:ext uri="{FF2B5EF4-FFF2-40B4-BE49-F238E27FC236}">
              <a16:creationId xmlns:a16="http://schemas.microsoft.com/office/drawing/2014/main" id="{3974D9A8-F422-4FD3-A4FA-86F414EFB9EE}"/>
            </a:ext>
          </a:extLst>
        </cdr:cNvPr>
        <cdr:cNvGrpSpPr/>
      </cdr:nvGrpSpPr>
      <cdr:grpSpPr>
        <a:xfrm xmlns:a="http://schemas.openxmlformats.org/drawingml/2006/main">
          <a:off x="2782069" y="820523"/>
          <a:ext cx="3665158" cy="4680353"/>
          <a:chOff x="2595563" y="853120"/>
          <a:chExt cx="3419475" cy="4866362"/>
        </a:xfrm>
      </cdr:grpSpPr>
      <cdr:sp macro="" textlink="">
        <cdr:nvSpPr>
          <cdr:cNvPr id="2" name="TextBox 2">
            <a:extLst xmlns:a="http://schemas.openxmlformats.org/drawingml/2006/main">
              <a:ext uri="{FF2B5EF4-FFF2-40B4-BE49-F238E27FC236}">
                <a16:creationId xmlns:a16="http://schemas.microsoft.com/office/drawing/2014/main" id="{C19F5EF2-EAFC-436C-A214-1F6FFFFB2B6D}"/>
              </a:ext>
            </a:extLst>
          </cdr:cNvPr>
          <cdr:cNvSpPr txBox="1"/>
        </cdr:nvSpPr>
        <cdr:spPr>
          <a:xfrm xmlns:a="http://schemas.openxmlformats.org/drawingml/2006/main">
            <a:off x="4794012" y="940180"/>
            <a:ext cx="1221026" cy="28685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solidFill>
              <a:schemeClr val="tx1"/>
            </a:solidFill>
            <a:prstDash val="sysDash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400"/>
              <a:t>RFR Scenarios</a:t>
            </a:r>
          </a:p>
        </cdr:txBody>
      </cdr:sp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976CB2FD-CF03-42A1-ACE9-70DF283E765C}"/>
              </a:ext>
            </a:extLst>
          </cdr:cNvPr>
          <cdr:cNvCxnSpPr/>
        </cdr:nvCxnSpPr>
        <cdr:spPr>
          <a:xfrm xmlns:a="http://schemas.openxmlformats.org/drawingml/2006/main">
            <a:off x="4217194" y="1069182"/>
            <a:ext cx="552450" cy="2381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prstDash val="sysDash"/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5">
            <a:extLst xmlns:a="http://schemas.openxmlformats.org/drawingml/2006/main">
              <a:ext uri="{FF2B5EF4-FFF2-40B4-BE49-F238E27FC236}">
                <a16:creationId xmlns:a16="http://schemas.microsoft.com/office/drawing/2014/main" id="{3BFC98CB-6B48-4017-99A3-FDF10500E381}"/>
              </a:ext>
            </a:extLst>
          </cdr:cNvPr>
          <cdr:cNvSpPr txBox="1"/>
        </cdr:nvSpPr>
        <cdr:spPr>
          <a:xfrm xmlns:a="http://schemas.openxmlformats.org/drawingml/2006/main">
            <a:off x="2595563" y="940180"/>
            <a:ext cx="1082304" cy="28352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solidFill>
              <a:schemeClr val="tx1"/>
            </a:solidFill>
            <a:prstDash val="sysDash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400"/>
              <a:t>RFR</a:t>
            </a:r>
            <a:r>
              <a:rPr lang="en-GB" sz="1400" baseline="0"/>
              <a:t> </a:t>
            </a:r>
            <a:r>
              <a:rPr lang="en-GB" sz="1400"/>
              <a:t>Outturn</a:t>
            </a:r>
          </a:p>
        </cdr:txBody>
      </cdr:sp>
      <cdr:cxnSp macro="">
        <cdr:nvCxnSpPr>
          <cdr:cNvPr id="5" name="Straight Connector 4">
            <a:extLst xmlns:a="http://schemas.openxmlformats.org/drawingml/2006/main">
              <a:ext uri="{FF2B5EF4-FFF2-40B4-BE49-F238E27FC236}">
                <a16:creationId xmlns:a16="http://schemas.microsoft.com/office/drawing/2014/main" id="{0D5B387E-6BB9-452C-A082-2C891EA4945B}"/>
              </a:ext>
            </a:extLst>
          </cdr:cNvPr>
          <cdr:cNvCxnSpPr/>
        </cdr:nvCxnSpPr>
        <cdr:spPr>
          <a:xfrm xmlns:a="http://schemas.openxmlformats.org/drawingml/2006/main" flipH="1">
            <a:off x="4213412" y="853120"/>
            <a:ext cx="4065" cy="4866362"/>
          </a:xfrm>
          <a:prstGeom xmlns:a="http://schemas.openxmlformats.org/drawingml/2006/main" prst="line">
            <a:avLst/>
          </a:prstGeom>
          <a:ln xmlns:a="http://schemas.openxmlformats.org/drawingml/2006/main" w="19050">
            <a:prstDash val="sys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Straight Arrow Connector 5">
            <a:extLst xmlns:a="http://schemas.openxmlformats.org/drawingml/2006/main">
              <a:ext uri="{FF2B5EF4-FFF2-40B4-BE49-F238E27FC236}">
                <a16:creationId xmlns:a16="http://schemas.microsoft.com/office/drawing/2014/main" id="{D1B0595E-D311-4067-9757-3207A18B450F}"/>
              </a:ext>
            </a:extLst>
          </cdr:cNvPr>
          <cdr:cNvCxnSpPr/>
        </cdr:nvCxnSpPr>
        <cdr:spPr>
          <a:xfrm xmlns:a="http://schemas.openxmlformats.org/drawingml/2006/main" flipH="1">
            <a:off x="3681413" y="1069791"/>
            <a:ext cx="521844" cy="1772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prstDash val="sysDash"/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0.81041</cdr:x>
      <cdr:y>0.18199</cdr:y>
    </cdr:from>
    <cdr:to>
      <cdr:x>0.81041</cdr:x>
      <cdr:y>0.18199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3649E218-A45D-4570-80D4-17DA6AA74ABC}"/>
            </a:ext>
          </a:extLst>
        </cdr:cNvPr>
        <cdr:cNvGrpSpPr/>
      </cdr:nvGrpSpPr>
      <cdr:grpSpPr>
        <a:xfrm xmlns:a="http://schemas.openxmlformats.org/drawingml/2006/main">
          <a:off x="7526176" y="1100744"/>
          <a:ext cx="0" cy="0"/>
          <a:chOff x="7526176" y="1100744"/>
          <a:chExt cx="0" cy="0"/>
        </a:xfrm>
      </cdr:grpSpPr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26.669452314818" createdVersion="8" refreshedVersion="8" minRefreshableVersion="3" recordCount="306" xr:uid="{08BDBBD6-67EA-45A1-8E5B-133D67AF700D}">
  <cacheSource type="worksheet">
    <worksheetSource ref="B4:D310" sheet="D4"/>
  </cacheSource>
  <cacheFields count="3">
    <cacheField name="YearMonth" numFmtId="0">
      <sharedItems/>
    </cacheField>
    <cacheField name="Year" numFmtId="0">
      <sharedItems count="26">
        <s v="1996"/>
        <s v="1997"/>
        <s v="1998"/>
        <s v="1999"/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20"/>
        <s v="2021"/>
      </sharedItems>
    </cacheField>
    <cacheField name="RFR" numFmtId="10">
      <sharedItems containsSemiMixedTypes="0" containsString="0" containsNumber="1" minValue="8.2000000000000007E-3" maxValue="8.931578947368419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6">
  <r>
    <s v="1996-01"/>
    <x v="0"/>
    <n v="8.1123809523809501E-2"/>
  </r>
  <r>
    <s v="1996-02"/>
    <x v="0"/>
    <n v="8.2485714285714301E-2"/>
  </r>
  <r>
    <s v="1996-03"/>
    <x v="0"/>
    <n v="8.8080952380952399E-2"/>
  </r>
  <r>
    <s v="1996-04"/>
    <x v="0"/>
    <n v="8.8736842105263197E-2"/>
  </r>
  <r>
    <s v="1996-05"/>
    <x v="0"/>
    <n v="8.8321739130434798E-2"/>
  </r>
  <r>
    <s v="1996-06"/>
    <x v="0"/>
    <n v="8.9315789473684196E-2"/>
  </r>
  <r>
    <s v="1996-07"/>
    <x v="0"/>
    <n v="8.6295652173912996E-2"/>
  </r>
  <r>
    <s v="1996-08"/>
    <x v="0"/>
    <n v="8.0399999999999999E-2"/>
  </r>
  <r>
    <s v="1996-09"/>
    <x v="0"/>
    <n v="8.0033333333333304E-2"/>
  </r>
  <r>
    <s v="1996-10"/>
    <x v="0"/>
    <n v="7.5504347826087004E-2"/>
  </r>
  <r>
    <s v="1996-11"/>
    <x v="0"/>
    <n v="7.1566666666666695E-2"/>
  </r>
  <r>
    <s v="1996-12"/>
    <x v="0"/>
    <n v="7.324E-2"/>
  </r>
  <r>
    <s v="1997-01"/>
    <x v="1"/>
    <n v="7.4590476190476193E-2"/>
  </r>
  <r>
    <s v="1997-02"/>
    <x v="1"/>
    <n v="7.3940000000000006E-2"/>
  </r>
  <r>
    <s v="1997-03"/>
    <x v="1"/>
    <n v="7.8994736842105298E-2"/>
  </r>
  <r>
    <s v="1997-04"/>
    <x v="1"/>
    <n v="7.9238095238095205E-2"/>
  </r>
  <r>
    <s v="1997-05"/>
    <x v="1"/>
    <n v="7.6745454545454603E-2"/>
  </r>
  <r>
    <s v="1997-06"/>
    <x v="1"/>
    <n v="7.1510000000000004E-2"/>
  </r>
  <r>
    <s v="1997-07"/>
    <x v="1"/>
    <n v="6.6426086956521802E-2"/>
  </r>
  <r>
    <s v="1997-08"/>
    <x v="1"/>
    <n v="6.6509523809523796E-2"/>
  </r>
  <r>
    <s v="1997-09"/>
    <x v="1"/>
    <n v="6.31136363636364E-2"/>
  </r>
  <r>
    <s v="1997-10"/>
    <x v="1"/>
    <n v="6.1821739130434802E-2"/>
  </r>
  <r>
    <s v="1997-11"/>
    <x v="1"/>
    <n v="6.0310000000000002E-2"/>
  </r>
  <r>
    <s v="1997-12"/>
    <x v="1"/>
    <n v="6.1390476190476197E-2"/>
  </r>
  <r>
    <s v="1998-01"/>
    <x v="2"/>
    <n v="5.806E-2"/>
  </r>
  <r>
    <s v="1998-02"/>
    <x v="2"/>
    <n v="5.8869999999999999E-2"/>
  </r>
  <r>
    <s v="1998-03"/>
    <x v="2"/>
    <n v="5.8650000000000001E-2"/>
  </r>
  <r>
    <s v="1998-04"/>
    <x v="2"/>
    <n v="5.6849999999999998E-2"/>
  </r>
  <r>
    <s v="1998-05"/>
    <x v="2"/>
    <n v="5.6390476190476199E-2"/>
  </r>
  <r>
    <s v="1998-06"/>
    <x v="2"/>
    <n v="5.5761904761904797E-2"/>
  </r>
  <r>
    <s v="1998-07"/>
    <x v="2"/>
    <n v="5.5213043478260899E-2"/>
  </r>
  <r>
    <s v="1998-08"/>
    <x v="2"/>
    <n v="5.6385714285714303E-2"/>
  </r>
  <r>
    <s v="1998-09"/>
    <x v="2"/>
    <n v="5.3459090909090901E-2"/>
  </r>
  <r>
    <s v="1998-10"/>
    <x v="2"/>
    <n v="4.9659090909090903E-2"/>
  </r>
  <r>
    <s v="1998-11"/>
    <x v="2"/>
    <n v="5.1309523809523798E-2"/>
  </r>
  <r>
    <s v="1998-12"/>
    <x v="2"/>
    <n v="4.8547619047619103E-2"/>
  </r>
  <r>
    <s v="1999-01"/>
    <x v="3"/>
    <n v="5.1278947368421098E-2"/>
  </r>
  <r>
    <s v="1999-02"/>
    <x v="3"/>
    <n v="5.2999999999999999E-2"/>
  </r>
  <r>
    <s v="1999-03"/>
    <x v="3"/>
    <n v="5.5265217391304397E-2"/>
  </r>
  <r>
    <s v="1999-04"/>
    <x v="3"/>
    <n v="5.3574999999999998E-2"/>
  </r>
  <r>
    <s v="1999-05"/>
    <x v="3"/>
    <n v="5.8757142857142897E-2"/>
  </r>
  <r>
    <s v="1999-06"/>
    <x v="3"/>
    <n v="6.2066666666666701E-2"/>
  </r>
  <r>
    <s v="1999-07"/>
    <x v="3"/>
    <n v="6.1359090909090898E-2"/>
  </r>
  <r>
    <s v="1999-08"/>
    <x v="3"/>
    <n v="6.3399999999999998E-2"/>
  </r>
  <r>
    <s v="1999-09"/>
    <x v="3"/>
    <n v="6.3413636363636394E-2"/>
  </r>
  <r>
    <s v="1999-10"/>
    <x v="3"/>
    <n v="6.6066666666666704E-2"/>
  </r>
  <r>
    <s v="1999-11"/>
    <x v="3"/>
    <n v="6.5563636363636393E-2"/>
  </r>
  <r>
    <s v="1999-12"/>
    <x v="3"/>
    <n v="6.7371428571428596E-2"/>
  </r>
  <r>
    <s v="2000-01"/>
    <x v="4"/>
    <n v="7.1778947368421095E-2"/>
  </r>
  <r>
    <s v="2000-02"/>
    <x v="4"/>
    <n v="6.95761904761905E-2"/>
  </r>
  <r>
    <s v="2000-03"/>
    <x v="4"/>
    <n v="6.5704347826087001E-2"/>
  </r>
  <r>
    <s v="2000-04"/>
    <x v="4"/>
    <n v="6.2647058823529403E-2"/>
  </r>
  <r>
    <s v="2000-05"/>
    <x v="4"/>
    <n v="6.4656521739130404E-2"/>
  </r>
  <r>
    <s v="2000-06"/>
    <x v="4"/>
    <n v="6.17238095238095E-2"/>
  </r>
  <r>
    <s v="2000-07"/>
    <x v="4"/>
    <n v="6.1619047619047601E-2"/>
  </r>
  <r>
    <s v="2000-08"/>
    <x v="4"/>
    <n v="6.2273913043478298E-2"/>
  </r>
  <r>
    <s v="2000-09"/>
    <x v="4"/>
    <n v="6.1361904761904798E-2"/>
  </r>
  <r>
    <s v="2000-10"/>
    <x v="4"/>
    <n v="6.1079545454545497E-2"/>
  </r>
  <r>
    <s v="2000-11"/>
    <x v="4"/>
    <n v="5.9895454545454502E-2"/>
  </r>
  <r>
    <s v="2000-12"/>
    <x v="4"/>
    <n v="5.5431578947368401E-2"/>
  </r>
  <r>
    <s v="2001-01"/>
    <x v="5"/>
    <n v="5.4054761904761897E-2"/>
  </r>
  <r>
    <s v="2001-02"/>
    <x v="5"/>
    <n v="5.3212500000000003E-2"/>
  </r>
  <r>
    <s v="2001-03"/>
    <x v="5"/>
    <n v="5.1306818181818203E-2"/>
  </r>
  <r>
    <s v="2001-04"/>
    <x v="5"/>
    <n v="5.5772222222222202E-2"/>
  </r>
  <r>
    <s v="2001-05"/>
    <x v="5"/>
    <n v="5.9434782608695703E-2"/>
  </r>
  <r>
    <s v="2001-06"/>
    <x v="5"/>
    <n v="5.8967499999999999E-2"/>
  </r>
  <r>
    <s v="2001-07"/>
    <x v="5"/>
    <n v="6.0863636363636398E-2"/>
  </r>
  <r>
    <s v="2001-08"/>
    <x v="5"/>
    <n v="5.7615217391304402E-2"/>
  </r>
  <r>
    <s v="2001-09"/>
    <x v="5"/>
    <n v="5.5782499999999999E-2"/>
  </r>
  <r>
    <s v="2001-10"/>
    <x v="5"/>
    <n v="5.4076086956521698E-2"/>
  </r>
  <r>
    <s v="2001-11"/>
    <x v="5"/>
    <n v="5.4577272727272703E-2"/>
  </r>
  <r>
    <s v="2001-12"/>
    <x v="5"/>
    <n v="5.8168421052631598E-2"/>
  </r>
  <r>
    <s v="2002-01"/>
    <x v="6"/>
    <n v="5.85833333333333E-2"/>
  </r>
  <r>
    <s v="2002-02"/>
    <x v="6"/>
    <n v="5.9457500000000003E-2"/>
  </r>
  <r>
    <s v="2002-03"/>
    <x v="6"/>
    <n v="6.3089999999999993E-2"/>
  </r>
  <r>
    <s v="2002-04"/>
    <x v="6"/>
    <n v="6.2939999999999996E-2"/>
  </r>
  <r>
    <s v="2002-05"/>
    <x v="6"/>
    <n v="6.21521739130435E-2"/>
  </r>
  <r>
    <s v="2002-06"/>
    <x v="6"/>
    <n v="6.00763157894737E-2"/>
  </r>
  <r>
    <s v="2002-07"/>
    <x v="6"/>
    <n v="5.8597826086956503E-2"/>
  </r>
  <r>
    <s v="2002-08"/>
    <x v="6"/>
    <n v="5.64840909090909E-2"/>
  </r>
  <r>
    <s v="2002-09"/>
    <x v="6"/>
    <n v="5.4357142857142902E-2"/>
  </r>
  <r>
    <s v="2002-10"/>
    <x v="6"/>
    <n v="5.6591304347826103E-2"/>
  </r>
  <r>
    <s v="2002-11"/>
    <x v="6"/>
    <n v="5.4995238095238097E-2"/>
  </r>
  <r>
    <s v="2002-12"/>
    <x v="6"/>
    <n v="5.3949999999999998E-2"/>
  </r>
  <r>
    <s v="2003-01"/>
    <x v="7"/>
    <n v="5.2749999999999998E-2"/>
  </r>
  <r>
    <s v="2003-02"/>
    <x v="7"/>
    <n v="5.1677500000000001E-2"/>
  </r>
  <r>
    <s v="2003-03"/>
    <x v="7"/>
    <n v="5.2716666666666703E-2"/>
  </r>
  <r>
    <s v="2003-04"/>
    <x v="7"/>
    <n v="5.34605263157895E-2"/>
  </r>
  <r>
    <s v="2003-05"/>
    <x v="7"/>
    <n v="5.0281818181818198E-2"/>
  </r>
  <r>
    <s v="2003-06"/>
    <x v="7"/>
    <n v="4.8027500000000001E-2"/>
  </r>
  <r>
    <s v="2003-07"/>
    <x v="7"/>
    <n v="5.2328260869565199E-2"/>
  </r>
  <r>
    <s v="2003-08"/>
    <x v="7"/>
    <n v="5.5240476190476201E-2"/>
  </r>
  <r>
    <s v="2003-09"/>
    <x v="7"/>
    <n v="5.51295454545455E-2"/>
  </r>
  <r>
    <s v="2003-10"/>
    <x v="7"/>
    <n v="5.6086956521739097E-2"/>
  </r>
  <r>
    <s v="2003-11"/>
    <x v="7"/>
    <n v="5.8740000000000001E-2"/>
  </r>
  <r>
    <s v="2003-12"/>
    <x v="7"/>
    <n v="5.7573809523809499E-2"/>
  </r>
  <r>
    <s v="2004-01"/>
    <x v="8"/>
    <n v="5.7005E-2"/>
  </r>
  <r>
    <s v="2004-02"/>
    <x v="8"/>
    <n v="5.6204999999999998E-2"/>
  </r>
  <r>
    <s v="2004-03"/>
    <x v="8"/>
    <n v="5.4154347826087003E-2"/>
  </r>
  <r>
    <s v="2004-04"/>
    <x v="8"/>
    <n v="5.8029999999999998E-2"/>
  </r>
  <r>
    <s v="2004-05"/>
    <x v="8"/>
    <n v="5.9580952380952401E-2"/>
  </r>
  <r>
    <s v="2004-06"/>
    <x v="8"/>
    <n v="5.8454761904761898E-2"/>
  </r>
  <r>
    <s v="2004-07"/>
    <x v="8"/>
    <n v="5.7177272727272702E-2"/>
  </r>
  <r>
    <s v="2004-08"/>
    <x v="8"/>
    <n v="5.5831818181818198E-2"/>
  </r>
  <r>
    <s v="2004-09"/>
    <x v="8"/>
    <n v="5.4120454545454597E-2"/>
  </r>
  <r>
    <s v="2004-10"/>
    <x v="8"/>
    <n v="5.4014285714285702E-2"/>
  </r>
  <r>
    <s v="2004-11"/>
    <x v="8"/>
    <n v="5.3999999999999999E-2"/>
  </r>
  <r>
    <s v="2004-12"/>
    <x v="8"/>
    <n v="5.2319047619047598E-2"/>
  </r>
  <r>
    <s v="2005-01"/>
    <x v="9"/>
    <n v="5.3518421052631597E-2"/>
  </r>
  <r>
    <s v="2005-02"/>
    <x v="9"/>
    <n v="5.3977499999999998E-2"/>
  </r>
  <r>
    <s v="2005-03"/>
    <x v="9"/>
    <n v="5.6526190476190501E-2"/>
  </r>
  <r>
    <s v="2005-04"/>
    <x v="9"/>
    <n v="5.4719999999999998E-2"/>
  </r>
  <r>
    <s v="2005-05"/>
    <x v="9"/>
    <n v="5.2877272727272703E-2"/>
  </r>
  <r>
    <s v="2005-06"/>
    <x v="9"/>
    <n v="5.1404761904761898E-2"/>
  </r>
  <r>
    <s v="2005-07"/>
    <x v="9"/>
    <n v="5.1902380952380998E-2"/>
  </r>
  <r>
    <s v="2005-08"/>
    <x v="9"/>
    <n v="5.2186956521739103E-2"/>
  </r>
  <r>
    <s v="2005-09"/>
    <x v="9"/>
    <n v="5.1863636363636403E-2"/>
  </r>
  <r>
    <s v="2005-10"/>
    <x v="9"/>
    <n v="5.4002380952381003E-2"/>
  </r>
  <r>
    <s v="2005-11"/>
    <x v="9"/>
    <n v="5.43522727272727E-2"/>
  </r>
  <r>
    <s v="2005-12"/>
    <x v="9"/>
    <n v="5.3464999999999999E-2"/>
  </r>
  <r>
    <s v="2006-01"/>
    <x v="10"/>
    <n v="5.2034999999999998E-2"/>
  </r>
  <r>
    <s v="2006-02"/>
    <x v="10"/>
    <n v="5.2720000000000003E-2"/>
  </r>
  <r>
    <s v="2006-03"/>
    <x v="10"/>
    <n v="5.3413043478260903E-2"/>
  </r>
  <r>
    <s v="2006-04"/>
    <x v="10"/>
    <n v="5.5797058823529401E-2"/>
  </r>
  <r>
    <s v="2006-05"/>
    <x v="10"/>
    <n v="5.7500000000000002E-2"/>
  </r>
  <r>
    <s v="2006-06"/>
    <x v="10"/>
    <n v="5.7378571428571397E-2"/>
  </r>
  <r>
    <s v="2006-07"/>
    <x v="10"/>
    <n v="5.83404761904762E-2"/>
  </r>
  <r>
    <s v="2006-08"/>
    <x v="10"/>
    <n v="5.77326086956522E-2"/>
  </r>
  <r>
    <s v="2006-09"/>
    <x v="10"/>
    <n v="5.6016666666666701E-2"/>
  </r>
  <r>
    <s v="2006-10"/>
    <x v="10"/>
    <n v="5.6649999999999999E-2"/>
  </r>
  <r>
    <s v="2006-11"/>
    <x v="10"/>
    <n v="5.5995454545454598E-2"/>
  </r>
  <r>
    <s v="2006-12"/>
    <x v="10"/>
    <n v="5.6965789473684199E-2"/>
  </r>
  <r>
    <s v="2007-01"/>
    <x v="11"/>
    <n v="5.8776190476190503E-2"/>
  </r>
  <r>
    <s v="2007-02"/>
    <x v="11"/>
    <n v="5.8092499999999998E-2"/>
  </r>
  <r>
    <s v="2007-03"/>
    <x v="11"/>
    <n v="5.7368181818181797E-2"/>
  </r>
  <r>
    <s v="2007-04"/>
    <x v="11"/>
    <n v="5.9097222222222197E-2"/>
  </r>
  <r>
    <s v="2007-05"/>
    <x v="11"/>
    <n v="5.9208695652173897E-2"/>
  </r>
  <r>
    <s v="2007-06"/>
    <x v="11"/>
    <n v="6.2047499999999998E-2"/>
  </r>
  <r>
    <s v="2007-07"/>
    <x v="11"/>
    <n v="6.1497727272727301E-2"/>
  </r>
  <r>
    <s v="2007-08"/>
    <x v="11"/>
    <n v="5.92590909090909E-2"/>
  </r>
  <r>
    <s v="2007-09"/>
    <x v="11"/>
    <n v="5.9921052631578903E-2"/>
  </r>
  <r>
    <s v="2007-10"/>
    <x v="11"/>
    <n v="6.1743478260869601E-2"/>
  </r>
  <r>
    <s v="2007-11"/>
    <x v="11"/>
    <n v="6.0254545454545498E-2"/>
  </r>
  <r>
    <s v="2007-12"/>
    <x v="11"/>
    <n v="6.2076315789473702E-2"/>
  </r>
  <r>
    <s v="2008-01"/>
    <x v="12"/>
    <n v="6.0764285714285701E-2"/>
  </r>
  <r>
    <s v="2008-02"/>
    <x v="12"/>
    <n v="6.2945238095238096E-2"/>
  </r>
  <r>
    <s v="2008-03"/>
    <x v="12"/>
    <n v="6.0855263157894697E-2"/>
  </r>
  <r>
    <s v="2008-04"/>
    <x v="12"/>
    <n v="6.1704761904761901E-2"/>
  </r>
  <r>
    <s v="2008-05"/>
    <x v="12"/>
    <n v="6.3549999999999995E-2"/>
  </r>
  <r>
    <s v="2008-06"/>
    <x v="12"/>
    <n v="6.5867499999999995E-2"/>
  </r>
  <r>
    <s v="2008-07"/>
    <x v="12"/>
    <n v="6.3665217391304402E-2"/>
  </r>
  <r>
    <s v="2008-08"/>
    <x v="12"/>
    <n v="5.8624999999999997E-2"/>
  </r>
  <r>
    <s v="2008-09"/>
    <x v="12"/>
    <n v="5.6459090909090903E-2"/>
  </r>
  <r>
    <s v="2008-10"/>
    <x v="12"/>
    <n v="5.21522727272727E-2"/>
  </r>
  <r>
    <s v="2008-11"/>
    <x v="12"/>
    <n v="4.94075E-2"/>
  </r>
  <r>
    <s v="2008-12"/>
    <x v="12"/>
    <n v="4.21571428571429E-2"/>
  </r>
  <r>
    <s v="2009-01"/>
    <x v="13"/>
    <n v="4.0857499999999998E-2"/>
  </r>
  <r>
    <s v="2009-02"/>
    <x v="13"/>
    <n v="4.2529999999999998E-2"/>
  </r>
  <r>
    <s v="2009-03"/>
    <x v="13"/>
    <n v="4.3277272727272699E-2"/>
  </r>
  <r>
    <s v="2009-04"/>
    <x v="13"/>
    <n v="4.512E-2"/>
  </r>
  <r>
    <s v="2009-05"/>
    <x v="13"/>
    <n v="5.0042857142857097E-2"/>
  </r>
  <r>
    <s v="2009-06"/>
    <x v="13"/>
    <n v="5.5566666666666702E-2"/>
  </r>
  <r>
    <s v="2009-07"/>
    <x v="13"/>
    <n v="5.4878260869565203E-2"/>
  </r>
  <r>
    <s v="2009-08"/>
    <x v="13"/>
    <n v="5.53325E-2"/>
  </r>
  <r>
    <s v="2009-09"/>
    <x v="13"/>
    <n v="5.3236363636363603E-2"/>
  </r>
  <r>
    <s v="2009-10"/>
    <x v="13"/>
    <n v="5.4502380952380997E-2"/>
  </r>
  <r>
    <s v="2009-11"/>
    <x v="13"/>
    <n v="5.4666666666666697E-2"/>
  </r>
  <r>
    <s v="2009-12"/>
    <x v="13"/>
    <n v="5.4730952380952401E-2"/>
  </r>
  <r>
    <s v="2010-01"/>
    <x v="14"/>
    <n v="5.5574999999999999E-2"/>
  </r>
  <r>
    <s v="2010-02"/>
    <x v="14"/>
    <n v="5.4774999999999997E-2"/>
  </r>
  <r>
    <s v="2010-03"/>
    <x v="14"/>
    <n v="5.62E-2"/>
  </r>
  <r>
    <s v="2010-04"/>
    <x v="14"/>
    <n v="5.7950000000000002E-2"/>
  </r>
  <r>
    <s v="2010-05"/>
    <x v="14"/>
    <n v="5.4800000000000001E-2"/>
  </r>
  <r>
    <s v="2010-06"/>
    <x v="14"/>
    <n v="5.3275000000000003E-2"/>
  </r>
  <r>
    <s v="2010-07"/>
    <x v="14"/>
    <n v="5.1450000000000003E-2"/>
  </r>
  <r>
    <s v="2010-08"/>
    <x v="14"/>
    <n v="4.9700000000000001E-2"/>
  </r>
  <r>
    <s v="2010-09"/>
    <x v="14"/>
    <n v="5.0025E-2"/>
  </r>
  <r>
    <s v="2010-10"/>
    <x v="14"/>
    <n v="5.0849999999999999E-2"/>
  </r>
  <r>
    <s v="2010-11"/>
    <x v="14"/>
    <n v="5.3775000000000003E-2"/>
  </r>
  <r>
    <s v="2010-12"/>
    <x v="14"/>
    <n v="5.5550000000000002E-2"/>
  </r>
  <r>
    <s v="2011-01"/>
    <x v="15"/>
    <n v="5.5199999999999999E-2"/>
  </r>
  <r>
    <s v="2011-02"/>
    <x v="15"/>
    <n v="5.6099999999999997E-2"/>
  </r>
  <r>
    <s v="2011-03"/>
    <x v="15"/>
    <n v="5.4350000000000002E-2"/>
  </r>
  <r>
    <s v="2011-04"/>
    <x v="15"/>
    <n v="5.5125E-2"/>
  </r>
  <r>
    <s v="2011-05"/>
    <x v="15"/>
    <n v="5.3249999999999999E-2"/>
  </r>
  <r>
    <s v="2011-06"/>
    <x v="15"/>
    <n v="5.16E-2"/>
  </r>
  <r>
    <s v="2011-07"/>
    <x v="15"/>
    <n v="5.0200000000000002E-2"/>
  </r>
  <r>
    <s v="2011-08"/>
    <x v="15"/>
    <n v="4.4925E-2"/>
  </r>
  <r>
    <s v="2011-09"/>
    <x v="15"/>
    <n v="4.2025E-2"/>
  </r>
  <r>
    <s v="2011-10"/>
    <x v="15"/>
    <n v="4.3700000000000003E-2"/>
  </r>
  <r>
    <s v="2011-11"/>
    <x v="15"/>
    <n v="4.0825E-2"/>
  </r>
  <r>
    <s v="2011-12"/>
    <x v="15"/>
    <n v="3.8249999999999999E-2"/>
  </r>
  <r>
    <s v="2012-01"/>
    <x v="16"/>
    <n v="3.7949999999999998E-2"/>
  </r>
  <r>
    <s v="2012-02"/>
    <x v="16"/>
    <n v="3.9699999999999999E-2"/>
  </r>
  <r>
    <s v="2012-03"/>
    <x v="16"/>
    <n v="4.1500000000000002E-2"/>
  </r>
  <r>
    <s v="2012-04"/>
    <x v="16"/>
    <n v="3.8574999999999998E-2"/>
  </r>
  <r>
    <s v="2012-05"/>
    <x v="16"/>
    <n v="3.2774999999999999E-2"/>
  </r>
  <r>
    <s v="2012-06"/>
    <x v="16"/>
    <n v="2.9950000000000001E-2"/>
  </r>
  <r>
    <s v="2012-07"/>
    <x v="16"/>
    <n v="2.8875000000000001E-2"/>
  </r>
  <r>
    <s v="2012-08"/>
    <x v="16"/>
    <n v="3.1875000000000001E-2"/>
  </r>
  <r>
    <s v="2012-09"/>
    <x v="16"/>
    <n v="3.0925000000000001E-2"/>
  </r>
  <r>
    <s v="2012-10"/>
    <x v="16"/>
    <n v="3.0224999999999998E-2"/>
  </r>
  <r>
    <s v="2012-11"/>
    <x v="16"/>
    <n v="3.0875E-2"/>
  </r>
  <r>
    <s v="2012-12"/>
    <x v="16"/>
    <n v="3.2274999999999998E-2"/>
  </r>
  <r>
    <s v="2013-01"/>
    <x v="17"/>
    <n v="3.3974999999999998E-2"/>
  </r>
  <r>
    <s v="2013-02"/>
    <x v="17"/>
    <n v="3.4974999999999999E-2"/>
  </r>
  <r>
    <s v="2013-03"/>
    <x v="17"/>
    <n v="3.5125000000000003E-2"/>
  </r>
  <r>
    <s v="2013-04"/>
    <x v="17"/>
    <n v="3.245E-2"/>
  </r>
  <r>
    <s v="2013-05"/>
    <x v="17"/>
    <n v="3.2250000000000001E-2"/>
  </r>
  <r>
    <s v="2013-06"/>
    <x v="17"/>
    <n v="3.5400000000000001E-2"/>
  </r>
  <r>
    <s v="2013-07"/>
    <x v="17"/>
    <n v="3.7499999999999999E-2"/>
  </r>
  <r>
    <s v="2013-08"/>
    <x v="17"/>
    <n v="3.8600000000000002E-2"/>
  </r>
  <r>
    <s v="2013-09"/>
    <x v="17"/>
    <n v="3.9949999999999999E-2"/>
  </r>
  <r>
    <s v="2013-10"/>
    <x v="17"/>
    <n v="3.9699999999999999E-2"/>
  </r>
  <r>
    <s v="2013-11"/>
    <x v="17"/>
    <n v="4.1250000000000002E-2"/>
  </r>
  <r>
    <s v="2013-12"/>
    <x v="17"/>
    <n v="4.2424999999999997E-2"/>
  </r>
  <r>
    <s v="2014-01"/>
    <x v="18"/>
    <n v="4.1825000000000001E-2"/>
  </r>
  <r>
    <s v="2014-02"/>
    <x v="18"/>
    <n v="4.1200000000000001E-2"/>
  </r>
  <r>
    <s v="2014-03"/>
    <x v="18"/>
    <n v="4.1024999999999999E-2"/>
  </r>
  <r>
    <s v="2014-04"/>
    <x v="18"/>
    <n v="4.0300000000000002E-2"/>
  </r>
  <r>
    <s v="2014-05"/>
    <x v="18"/>
    <n v="3.7749999999999999E-2"/>
  </r>
  <r>
    <s v="2014-06"/>
    <x v="18"/>
    <n v="3.7025000000000002E-2"/>
  </r>
  <r>
    <s v="2014-07"/>
    <x v="18"/>
    <n v="3.4674999999999997E-2"/>
  </r>
  <r>
    <s v="2014-08"/>
    <x v="18"/>
    <n v="3.4099999999999998E-2"/>
  </r>
  <r>
    <s v="2014-09"/>
    <x v="18"/>
    <n v="3.5450000000000002E-2"/>
  </r>
  <r>
    <s v="2014-10"/>
    <x v="18"/>
    <n v="3.3175000000000003E-2"/>
  </r>
  <r>
    <s v="2014-11"/>
    <x v="18"/>
    <n v="3.2575E-2"/>
  </r>
  <r>
    <s v="2014-12"/>
    <x v="18"/>
    <n v="2.955E-2"/>
  </r>
  <r>
    <s v="2015-01"/>
    <x v="19"/>
    <n v="2.6374999999999999E-2"/>
  </r>
  <r>
    <s v="2015-02"/>
    <x v="19"/>
    <n v="2.5024999999999999E-2"/>
  </r>
  <r>
    <s v="2015-03"/>
    <x v="19"/>
    <n v="2.4825E-2"/>
  </r>
  <r>
    <s v="2015-04"/>
    <x v="19"/>
    <n v="2.41E-2"/>
  </r>
  <r>
    <s v="2015-05"/>
    <x v="19"/>
    <n v="2.8799999999999999E-2"/>
  </r>
  <r>
    <s v="2015-06"/>
    <x v="19"/>
    <n v="2.9749999999999999E-2"/>
  </r>
  <r>
    <s v="2015-07"/>
    <x v="19"/>
    <n v="2.9024999999999999E-2"/>
  </r>
  <r>
    <s v="2015-08"/>
    <x v="19"/>
    <n v="2.7150000000000001E-2"/>
  </r>
  <r>
    <s v="2015-09"/>
    <x v="19"/>
    <n v="2.6950000000000002E-2"/>
  </r>
  <r>
    <s v="2015-10"/>
    <x v="19"/>
    <n v="2.6224999999999998E-2"/>
  </r>
  <r>
    <s v="2015-11"/>
    <x v="19"/>
    <n v="2.8524999999999998E-2"/>
  </r>
  <r>
    <s v="2015-12"/>
    <x v="19"/>
    <n v="2.845E-2"/>
  </r>
  <r>
    <s v="2016-01"/>
    <x v="20"/>
    <n v="2.725E-2"/>
  </r>
  <r>
    <s v="2016-02"/>
    <x v="20"/>
    <n v="2.4750000000000001E-2"/>
  </r>
  <r>
    <s v="2016-03"/>
    <x v="20"/>
    <n v="2.5675E-2"/>
  </r>
  <r>
    <s v="2016-04"/>
    <x v="20"/>
    <n v="2.5149999999999999E-2"/>
  </r>
  <r>
    <s v="2016-05"/>
    <x v="20"/>
    <n v="2.3199999999999998E-2"/>
  </r>
  <r>
    <s v="2016-06"/>
    <x v="20"/>
    <n v="2.1174999999999999E-2"/>
  </r>
  <r>
    <s v="2016-07"/>
    <x v="20"/>
    <n v="1.9275E-2"/>
  </r>
  <r>
    <s v="2016-08"/>
    <x v="20"/>
    <n v="1.8749999999999999E-2"/>
  </r>
  <r>
    <s v="2016-09"/>
    <x v="20"/>
    <n v="1.985E-2"/>
  </r>
  <r>
    <s v="2016-10"/>
    <x v="20"/>
    <n v="2.1999999999999999E-2"/>
  </r>
  <r>
    <s v="2016-11"/>
    <x v="20"/>
    <n v="2.5049999999999999E-2"/>
  </r>
  <r>
    <s v="2016-12"/>
    <x v="20"/>
    <n v="2.7924999999999998E-2"/>
  </r>
  <r>
    <s v="2017-01"/>
    <x v="21"/>
    <n v="2.7275000000000001E-2"/>
  </r>
  <r>
    <s v="2017-02"/>
    <x v="21"/>
    <n v="2.75E-2"/>
  </r>
  <r>
    <s v="2017-03"/>
    <x v="21"/>
    <n v="2.81E-2"/>
  </r>
  <r>
    <s v="2017-04"/>
    <x v="21"/>
    <n v="2.5600000000000001E-2"/>
  </r>
  <r>
    <s v="2017-05"/>
    <x v="21"/>
    <n v="2.5425E-2"/>
  </r>
  <r>
    <s v="2017-06"/>
    <x v="21"/>
    <n v="2.4074999999999999E-2"/>
  </r>
  <r>
    <s v="2017-07"/>
    <x v="21"/>
    <n v="2.6425000000000001E-2"/>
  </r>
  <r>
    <s v="2017-08"/>
    <x v="21"/>
    <n v="2.5975000000000002E-2"/>
  </r>
  <r>
    <s v="2017-09"/>
    <x v="21"/>
    <n v="2.7E-2"/>
  </r>
  <r>
    <s v="2017-10"/>
    <x v="21"/>
    <n v="2.7799999999999998E-2"/>
  </r>
  <r>
    <s v="2017-11"/>
    <x v="21"/>
    <n v="2.5700000000000001E-2"/>
  </r>
  <r>
    <s v="2017-12"/>
    <x v="21"/>
    <n v="2.58E-2"/>
  </r>
  <r>
    <s v="2018-01"/>
    <x v="22"/>
    <n v="2.75E-2"/>
  </r>
  <r>
    <s v="2018-02"/>
    <x v="22"/>
    <n v="2.86E-2"/>
  </r>
  <r>
    <s v="2018-03"/>
    <x v="22"/>
    <n v="2.7199999999999998E-2"/>
  </r>
  <r>
    <s v="2018-04"/>
    <x v="22"/>
    <n v="2.7400000000000001E-2"/>
  </r>
  <r>
    <s v="2018-05"/>
    <x v="22"/>
    <n v="2.7900000000000001E-2"/>
  </r>
  <r>
    <s v="2018-06"/>
    <x v="22"/>
    <n v="2.7E-2"/>
  </r>
  <r>
    <s v="2018-07"/>
    <x v="22"/>
    <n v="2.64E-2"/>
  </r>
  <r>
    <s v="2018-08"/>
    <x v="22"/>
    <n v="2.5899999999999999E-2"/>
  </r>
  <r>
    <s v="2018-09"/>
    <x v="22"/>
    <n v="2.63E-2"/>
  </r>
  <r>
    <s v="2018-10"/>
    <x v="22"/>
    <n v="2.6800000000000001E-2"/>
  </r>
  <r>
    <s v="2018-11"/>
    <x v="22"/>
    <n v="2.6800000000000001E-2"/>
  </r>
  <r>
    <s v="2018-12"/>
    <x v="22"/>
    <n v="2.4299999999999999E-2"/>
  </r>
  <r>
    <s v="2019-01"/>
    <x v="23"/>
    <n v="2.2700000000000001E-2"/>
  </r>
  <r>
    <s v="2019-02"/>
    <x v="23"/>
    <n v="2.1299999999999999E-2"/>
  </r>
  <r>
    <s v="2019-03"/>
    <x v="23"/>
    <n v="1.9599999999999999E-2"/>
  </r>
  <r>
    <s v="2019-04"/>
    <x v="23"/>
    <n v="1.8599999999999998E-2"/>
  </r>
  <r>
    <s v="2019-05"/>
    <x v="23"/>
    <n v="1.6500000000000001E-2"/>
  </r>
  <r>
    <s v="2019-06"/>
    <x v="23"/>
    <n v="1.38E-2"/>
  </r>
  <r>
    <s v="2019-07"/>
    <x v="23"/>
    <n v="1.3100000000000001E-2"/>
  </r>
  <r>
    <s v="2019-08"/>
    <x v="23"/>
    <n v="9.4999999999999998E-3"/>
  </r>
  <r>
    <s v="2019-09"/>
    <x v="23"/>
    <n v="1.03E-2"/>
  </r>
  <r>
    <s v="2019-10"/>
    <x v="23"/>
    <n v="1.03E-2"/>
  </r>
  <r>
    <s v="2019-11"/>
    <x v="23"/>
    <n v="1.15E-2"/>
  </r>
  <r>
    <s v="2019-12"/>
    <x v="23"/>
    <n v="1.2E-2"/>
  </r>
  <r>
    <s v="2020-01"/>
    <x v="24"/>
    <n v="1.15E-2"/>
  </r>
  <r>
    <s v="2020-02"/>
    <x v="24"/>
    <n v="9.7999999999999997E-3"/>
  </r>
  <r>
    <s v="2020-03"/>
    <x v="24"/>
    <n v="8.8999999999999999E-3"/>
  </r>
  <r>
    <s v="2020-04"/>
    <x v="24"/>
    <n v="8.6E-3"/>
  </r>
  <r>
    <s v="2020-05"/>
    <x v="24"/>
    <n v="9.1000000000000004E-3"/>
  </r>
  <r>
    <s v="2020-06"/>
    <x v="24"/>
    <n v="9.1999999999999998E-3"/>
  </r>
  <r>
    <s v="2020-07"/>
    <x v="24"/>
    <n v="8.8000000000000005E-3"/>
  </r>
  <r>
    <s v="2020-08"/>
    <x v="24"/>
    <n v="8.8999999999999999E-3"/>
  </r>
  <r>
    <s v="2020-09"/>
    <x v="24"/>
    <n v="8.9999999999999993E-3"/>
  </r>
  <r>
    <s v="2020-10"/>
    <x v="24"/>
    <n v="8.2000000000000007E-3"/>
  </r>
  <r>
    <s v="2020-11"/>
    <x v="24"/>
    <n v="8.6999999999999994E-3"/>
  </r>
  <r>
    <s v="2020-12"/>
    <x v="24"/>
    <n v="9.7999999999999997E-3"/>
  </r>
  <r>
    <s v="2021-01"/>
    <x v="25"/>
    <n v="1.0500000000000001E-2"/>
  </r>
  <r>
    <s v="2021-02"/>
    <x v="25"/>
    <n v="1.32E-2"/>
  </r>
  <r>
    <s v="2021-03"/>
    <x v="25"/>
    <n v="1.6899999999999998E-2"/>
  </r>
  <r>
    <s v="2021-04"/>
    <x v="25"/>
    <n v="1.6500000000000001E-2"/>
  </r>
  <r>
    <s v="2021-05"/>
    <x v="25"/>
    <n v="1.6199999999999999E-2"/>
  </r>
  <r>
    <s v="2021-06"/>
    <x v="25"/>
    <n v="1.52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50153E-D863-46A4-8182-017ADBC274CF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7" indent="0" outline="1" outlineData="1" multipleFieldFilters="0" chartFormat="4">
  <location ref="B3:C29" firstHeaderRow="1" firstDataRow="1" firstDataCol="1"/>
  <pivotFields count="3">
    <pivotField showAll="0"/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Items count="1">
    <i/>
  </colItems>
  <dataFields count="1">
    <dataField name="Average of RFR" fld="2" subtotal="average" baseField="1" baseItem="0"/>
  </dataFields>
  <formats count="12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outline="0" axis="axisValues" fieldPosition="0"/>
    </format>
    <format dxfId="5">
      <pivotArea collapsedLevelsAreSubtotals="1" fieldPosition="0">
        <references count="1">
          <reference field="1" count="12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">
      <pivotArea collapsedLevelsAreSubtotals="1" fieldPosition="0">
        <references count="1">
          <reference field="1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field="1" type="button" dataOnly="0" labelOnly="1" outline="0" axis="axisRow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er.gov.au/system/files/Rate%20of%20return%20annual%20update%20-%20December%202021.pdf" TargetMode="External"/><Relationship Id="rId3" Type="http://schemas.openxmlformats.org/officeDocument/2006/relationships/hyperlink" Target="https://www.aer.gov.au/system/files/AER%20Explanatory%20statement%20-%20rate%20of%20return%20guideline%20-%20December%202013.pdf" TargetMode="External"/><Relationship Id="rId7" Type="http://schemas.openxmlformats.org/officeDocument/2006/relationships/hyperlink" Target="https://www.aer.gov.au/system/files/Rate%20of%20return%20annual%20update%20-%20December%202021.pdf" TargetMode="External"/><Relationship Id="rId2" Type="http://schemas.openxmlformats.org/officeDocument/2006/relationships/hyperlink" Target="https://www.aer.gov.au/system/files/AER%20Explanatory%20statement%20-%20rate%20of%20return%20guideline%20-%20December%202013.pdf" TargetMode="External"/><Relationship Id="rId1" Type="http://schemas.openxmlformats.org/officeDocument/2006/relationships/hyperlink" Target="https://www.aer.gov.au/system/files/AER%20Explanatory%20statement%20-%20rate%20of%20return%20guideline%20-%20December%202013.pdf" TargetMode="External"/><Relationship Id="rId6" Type="http://schemas.openxmlformats.org/officeDocument/2006/relationships/hyperlink" Target="https://www.aer.gov.au/system/files/Rate%20of%20return%20annual%20update%20-%20December%202021.pdf" TargetMode="External"/><Relationship Id="rId5" Type="http://schemas.openxmlformats.org/officeDocument/2006/relationships/hyperlink" Target="https://www.aer.gov.au/system/files/AER%20Explanatory%20statement%20-%20rate%20of%20return%20guideline%20-%20December%202013.pdf" TargetMode="External"/><Relationship Id="rId4" Type="http://schemas.openxmlformats.org/officeDocument/2006/relationships/hyperlink" Target="https://www.aer.gov.au/system/files/AER%20Explanatory%20statement%20-%20rate%20of%20return%20guideline%20-%20December%202013.pdf" TargetMode="External"/><Relationship Id="rId9" Type="http://schemas.openxmlformats.org/officeDocument/2006/relationships/hyperlink" Target="https://www.aer.gov.au/system/files/Rate%20of%20return%20annual%20update%20-%20December%202021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r.gov.au/system/files/Rate%20of%20return%20annual%20update%20-%20December%202021.pdf" TargetMode="External"/><Relationship Id="rId2" Type="http://schemas.openxmlformats.org/officeDocument/2006/relationships/hyperlink" Target="https://www.aer.gov.au/system/files/Rate%20of%20return%20annual%20update%20-%20December%202021.pdf" TargetMode="External"/><Relationship Id="rId1" Type="http://schemas.openxmlformats.org/officeDocument/2006/relationships/hyperlink" Target="https://www.aer.gov.au/system/files/Rate%20of%20return%20annual%20update%20-%20December%202021.pdf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www.aer.gov.au/system/files/Rate%20of%20return%20annual%20update%20-%20December%20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ba.gov.au/statistics/tables/xls-hist/f02histhist.xls" TargetMode="External"/><Relationship Id="rId2" Type="http://schemas.openxmlformats.org/officeDocument/2006/relationships/hyperlink" Target="https://www.rba.gov.au/statistics/tables/xls/f02hist.xls?v=2022-04-28-16-15-58" TargetMode="External"/><Relationship Id="rId1" Type="http://schemas.openxmlformats.org/officeDocument/2006/relationships/hyperlink" Target="https://www.rba.gov.au/statistics/tables/xls/f02hist.xls?v=2022-04-28-16-15-58" TargetMode="External"/><Relationship Id="rId4" Type="http://schemas.openxmlformats.org/officeDocument/2006/relationships/hyperlink" Target="https://www.rba.gov.au/statistics/tables/xls-hist/f02histhist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5E1B-91FF-9841-9E37-A08587F96D37}">
  <dimension ref="A1:AE35"/>
  <sheetViews>
    <sheetView showGridLines="0" tabSelected="1" topLeftCell="A9" zoomScale="90" zoomScaleNormal="90" workbookViewId="0">
      <selection activeCell="A29" sqref="A29"/>
    </sheetView>
  </sheetViews>
  <sheetFormatPr defaultColWidth="0" defaultRowHeight="0" customHeight="1" zeroHeight="1"/>
  <cols>
    <col min="1" max="1" width="2.85546875" style="6" customWidth="1"/>
    <col min="2" max="2" width="2.42578125" style="6" customWidth="1"/>
    <col min="3" max="3" width="2.28515625" style="6" customWidth="1"/>
    <col min="4" max="4" width="1.7109375" style="6" customWidth="1"/>
    <col min="5" max="5" width="29.28515625" style="6" customWidth="1"/>
    <col min="6" max="6" width="3.28515625" style="6" customWidth="1"/>
    <col min="7" max="7" width="80.85546875" style="6" customWidth="1"/>
    <col min="8" max="8" width="2.28515625" style="6" customWidth="1"/>
    <col min="9" max="9" width="23" style="6" customWidth="1"/>
    <col min="10" max="10" width="2.85546875" style="6" customWidth="1"/>
    <col min="11" max="11" width="86" style="6" customWidth="1"/>
    <col min="12" max="12" width="2.140625" style="6" customWidth="1"/>
    <col min="13" max="19" width="8" style="6" hidden="1" customWidth="1"/>
    <col min="20" max="23" width="0" style="6" hidden="1" customWidth="1"/>
    <col min="24" max="31" width="8" style="6" hidden="1" customWidth="1"/>
    <col min="32" max="16384" width="0" style="6" hidden="1"/>
  </cols>
  <sheetData>
    <row r="1" spans="1:17" s="94" customFormat="1" ht="35.1" customHeight="1">
      <c r="A1" s="84"/>
      <c r="B1" s="85" t="s">
        <v>471</v>
      </c>
      <c r="C1" s="86"/>
      <c r="D1" s="86"/>
      <c r="E1" s="86"/>
      <c r="F1" s="84"/>
      <c r="G1" s="86"/>
      <c r="H1" s="84"/>
      <c r="I1" s="86"/>
      <c r="J1" s="86"/>
      <c r="K1" s="86"/>
      <c r="L1" s="86"/>
      <c r="M1" s="93"/>
      <c r="N1" s="93"/>
      <c r="O1" s="93"/>
      <c r="P1" s="93"/>
      <c r="Q1" s="93"/>
    </row>
    <row r="2" spans="1:17" ht="15.95" customHeight="1">
      <c r="A2" s="63"/>
      <c r="B2" s="260" t="s">
        <v>516</v>
      </c>
      <c r="C2" s="259"/>
      <c r="D2" s="259"/>
      <c r="E2" s="259"/>
      <c r="F2" s="259"/>
      <c r="G2" s="259"/>
      <c r="H2" s="259"/>
      <c r="I2" s="259"/>
      <c r="J2" s="259"/>
      <c r="K2" s="259"/>
      <c r="L2" s="63"/>
      <c r="M2" s="8"/>
      <c r="N2" s="8"/>
      <c r="O2" s="8"/>
      <c r="P2" s="8"/>
      <c r="Q2" s="8"/>
    </row>
    <row r="3" spans="1:17" ht="15.95" customHeight="1">
      <c r="A3" s="63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8"/>
      <c r="N3" s="8"/>
      <c r="O3" s="8"/>
      <c r="P3" s="8"/>
      <c r="Q3" s="8"/>
    </row>
    <row r="4" spans="1:17" ht="15.95" customHeight="1">
      <c r="A4" s="63"/>
      <c r="C4" s="63"/>
      <c r="D4" s="64"/>
      <c r="E4" s="62" t="s">
        <v>472</v>
      </c>
      <c r="F4" s="64"/>
      <c r="G4" s="64"/>
      <c r="H4" s="64"/>
      <c r="I4" s="62" t="s">
        <v>473</v>
      </c>
      <c r="J4" s="64"/>
      <c r="K4" s="261"/>
      <c r="L4" s="64"/>
      <c r="M4" s="8"/>
      <c r="N4" s="8"/>
      <c r="O4" s="8"/>
      <c r="P4" s="8"/>
      <c r="Q4" s="8"/>
    </row>
    <row r="5" spans="1:17" ht="15.95" customHeight="1">
      <c r="A5" s="63"/>
      <c r="B5" s="62"/>
      <c r="D5" s="16"/>
      <c r="E5" s="74" t="s">
        <v>446</v>
      </c>
      <c r="F5" s="64"/>
      <c r="G5" s="261"/>
      <c r="H5" s="64"/>
      <c r="I5" s="72" t="s">
        <v>491</v>
      </c>
      <c r="J5" s="64"/>
      <c r="K5" s="261"/>
      <c r="L5" s="64"/>
      <c r="M5" s="8"/>
      <c r="N5" s="8"/>
      <c r="O5" s="8"/>
      <c r="P5" s="8"/>
      <c r="Q5" s="8"/>
    </row>
    <row r="6" spans="1:17" ht="15.95" customHeight="1">
      <c r="A6" s="63"/>
      <c r="B6" s="62"/>
      <c r="D6" s="16"/>
      <c r="E6" s="76" t="s">
        <v>445</v>
      </c>
      <c r="F6" s="64"/>
      <c r="G6" s="261"/>
      <c r="H6" s="64"/>
      <c r="I6" s="75" t="s">
        <v>518</v>
      </c>
      <c r="J6" s="64"/>
      <c r="K6" s="261"/>
      <c r="L6" s="64"/>
      <c r="M6" s="8"/>
      <c r="N6" s="8"/>
      <c r="O6" s="8"/>
      <c r="P6" s="8"/>
      <c r="Q6" s="8"/>
    </row>
    <row r="7" spans="1:17" ht="15.95" customHeight="1">
      <c r="A7" s="63"/>
      <c r="B7" s="62"/>
      <c r="D7" s="16"/>
      <c r="E7" s="65" t="s">
        <v>474</v>
      </c>
      <c r="F7" s="64"/>
      <c r="G7" s="261"/>
      <c r="H7" s="64"/>
      <c r="I7" s="73" t="s">
        <v>475</v>
      </c>
      <c r="J7" s="64"/>
      <c r="K7" s="261"/>
      <c r="L7" s="64"/>
      <c r="M7" s="8"/>
      <c r="N7" s="8"/>
      <c r="O7" s="8"/>
      <c r="P7" s="8"/>
      <c r="Q7" s="8"/>
    </row>
    <row r="8" spans="1:17" s="258" customFormat="1" ht="15.95" customHeight="1">
      <c r="A8" s="253"/>
      <c r="B8" s="253"/>
      <c r="C8" s="254"/>
      <c r="D8" s="255"/>
      <c r="E8" s="256"/>
      <c r="F8" s="256"/>
      <c r="G8" s="256"/>
      <c r="H8" s="256"/>
      <c r="I8" s="256"/>
      <c r="J8" s="256"/>
      <c r="K8" s="256"/>
      <c r="L8" s="256"/>
      <c r="M8" s="257"/>
      <c r="N8" s="257"/>
      <c r="O8" s="257"/>
      <c r="P8" s="257"/>
      <c r="Q8" s="257"/>
    </row>
    <row r="9" spans="1:17" s="258" customFormat="1" ht="15.95" customHeight="1">
      <c r="A9" s="253"/>
      <c r="B9" s="260" t="s">
        <v>517</v>
      </c>
      <c r="C9" s="259"/>
      <c r="D9" s="259"/>
      <c r="E9" s="259"/>
      <c r="F9" s="259"/>
      <c r="G9" s="259"/>
      <c r="H9" s="259"/>
      <c r="I9" s="259"/>
      <c r="J9" s="259"/>
      <c r="K9" s="259"/>
      <c r="L9" s="63"/>
      <c r="M9" s="257"/>
      <c r="N9" s="257"/>
      <c r="O9" s="257"/>
      <c r="P9" s="257"/>
      <c r="Q9" s="257"/>
    </row>
    <row r="10" spans="1:17" s="258" customFormat="1" ht="15.95" customHeight="1">
      <c r="A10" s="253"/>
      <c r="B10" s="253"/>
      <c r="C10" s="254"/>
      <c r="D10" s="255"/>
      <c r="E10" s="256"/>
      <c r="F10" s="256"/>
      <c r="G10" s="256"/>
      <c r="H10" s="256"/>
      <c r="I10" s="256"/>
      <c r="J10" s="256"/>
      <c r="K10" s="256"/>
      <c r="L10" s="256"/>
      <c r="M10" s="257"/>
      <c r="N10" s="257"/>
      <c r="O10" s="257"/>
      <c r="P10" s="257"/>
      <c r="Q10" s="257"/>
    </row>
    <row r="11" spans="1:17" s="258" customFormat="1" ht="15.95" customHeight="1">
      <c r="A11" s="253"/>
      <c r="B11" s="253"/>
      <c r="C11" s="254"/>
      <c r="D11" s="255"/>
      <c r="E11" s="266" t="s">
        <v>519</v>
      </c>
      <c r="F11" s="256"/>
      <c r="G11" s="261"/>
      <c r="H11" s="256"/>
      <c r="I11" s="256"/>
      <c r="J11" s="256"/>
      <c r="K11" s="256"/>
      <c r="L11" s="256"/>
      <c r="M11" s="257"/>
      <c r="N11" s="257"/>
      <c r="O11" s="257"/>
      <c r="P11" s="257"/>
      <c r="Q11" s="257"/>
    </row>
    <row r="12" spans="1:17" s="258" customFormat="1" ht="15.95" customHeight="1">
      <c r="A12" s="253"/>
      <c r="B12" s="253"/>
      <c r="C12" s="254"/>
      <c r="D12" s="255"/>
      <c r="E12" s="262" t="s">
        <v>520</v>
      </c>
      <c r="F12" s="256"/>
      <c r="G12" s="261"/>
      <c r="H12" s="256"/>
      <c r="I12" s="256"/>
      <c r="J12" s="256"/>
      <c r="K12" s="256"/>
      <c r="L12" s="256"/>
      <c r="M12" s="257"/>
      <c r="N12" s="257"/>
      <c r="O12" s="257"/>
      <c r="P12" s="257"/>
      <c r="Q12" s="257"/>
    </row>
    <row r="13" spans="1:17" s="258" customFormat="1" ht="15.95" customHeight="1">
      <c r="A13" s="253"/>
      <c r="B13" s="253"/>
      <c r="C13" s="254"/>
      <c r="D13" s="255"/>
      <c r="E13" s="262" t="s">
        <v>494</v>
      </c>
      <c r="F13" s="256"/>
      <c r="G13" s="261"/>
      <c r="H13" s="256"/>
      <c r="I13" s="256"/>
      <c r="J13" s="256"/>
      <c r="K13" s="256"/>
      <c r="L13" s="256"/>
      <c r="M13" s="257"/>
      <c r="N13" s="257"/>
      <c r="O13" s="257"/>
      <c r="P13" s="257"/>
      <c r="Q13" s="257"/>
    </row>
    <row r="14" spans="1:17" s="258" customFormat="1" ht="15.95" customHeight="1">
      <c r="A14" s="253"/>
      <c r="B14" s="253"/>
      <c r="C14" s="254"/>
      <c r="D14" s="255"/>
      <c r="E14" s="262" t="s">
        <v>463</v>
      </c>
      <c r="F14" s="256"/>
      <c r="G14" s="261"/>
      <c r="H14" s="256"/>
      <c r="I14" s="256"/>
      <c r="J14" s="256"/>
      <c r="K14" s="256"/>
      <c r="L14" s="256"/>
      <c r="M14" s="257"/>
      <c r="N14" s="257"/>
      <c r="O14" s="257"/>
      <c r="P14" s="257"/>
      <c r="Q14" s="257"/>
    </row>
    <row r="15" spans="1:17" s="258" customFormat="1" ht="15.95" customHeight="1">
      <c r="A15" s="253"/>
      <c r="B15" s="253"/>
      <c r="C15" s="254"/>
      <c r="D15" s="255"/>
      <c r="E15" s="262" t="s">
        <v>528</v>
      </c>
      <c r="F15" s="256"/>
      <c r="G15" s="261"/>
      <c r="H15" s="256"/>
      <c r="I15" s="256"/>
      <c r="J15" s="256"/>
      <c r="K15" s="256"/>
      <c r="L15" s="256"/>
      <c r="M15" s="257"/>
      <c r="N15" s="257"/>
      <c r="O15" s="257"/>
      <c r="P15" s="257"/>
      <c r="Q15" s="257"/>
    </row>
    <row r="16" spans="1:17" s="258" customFormat="1" ht="15.95" customHeight="1">
      <c r="A16" s="253"/>
      <c r="B16" s="253"/>
      <c r="C16" s="254"/>
      <c r="D16" s="255"/>
      <c r="E16" s="262" t="s">
        <v>529</v>
      </c>
      <c r="F16" s="256"/>
      <c r="G16" s="261"/>
      <c r="H16" s="256"/>
      <c r="I16" s="256"/>
      <c r="J16" s="256"/>
      <c r="K16" s="256"/>
      <c r="L16" s="256"/>
      <c r="M16" s="257"/>
      <c r="N16" s="257"/>
      <c r="O16" s="257"/>
      <c r="P16" s="257"/>
      <c r="Q16" s="257"/>
    </row>
    <row r="17" spans="1:17" s="258" customFormat="1" ht="15.95" customHeight="1">
      <c r="A17" s="253"/>
      <c r="B17" s="253"/>
      <c r="C17" s="254"/>
      <c r="D17" s="255"/>
      <c r="E17" s="261"/>
      <c r="F17" s="256"/>
      <c r="G17" s="261"/>
      <c r="H17" s="256"/>
      <c r="I17" s="256"/>
      <c r="J17" s="256"/>
      <c r="K17" s="256"/>
      <c r="L17" s="256"/>
      <c r="M17" s="257"/>
      <c r="N17" s="257"/>
      <c r="O17" s="257"/>
      <c r="P17" s="257"/>
      <c r="Q17" s="257"/>
    </row>
    <row r="18" spans="1:17" s="258" customFormat="1" ht="15.95" customHeight="1">
      <c r="A18" s="253"/>
      <c r="B18" s="253"/>
      <c r="C18" s="254"/>
      <c r="D18" s="255"/>
      <c r="E18" s="266" t="s">
        <v>521</v>
      </c>
      <c r="F18" s="256"/>
      <c r="G18" s="261"/>
      <c r="H18" s="256"/>
      <c r="I18" s="266" t="s">
        <v>522</v>
      </c>
      <c r="J18" s="256"/>
      <c r="K18" s="261"/>
      <c r="L18" s="256"/>
      <c r="M18" s="257"/>
      <c r="N18" s="257"/>
      <c r="O18" s="257"/>
      <c r="P18" s="257"/>
      <c r="Q18" s="257"/>
    </row>
    <row r="19" spans="1:17" s="258" customFormat="1" ht="15.95" customHeight="1">
      <c r="A19" s="253"/>
      <c r="B19" s="253"/>
      <c r="C19" s="254"/>
      <c r="D19" s="255"/>
      <c r="E19" s="262" t="s">
        <v>453</v>
      </c>
      <c r="F19" s="263"/>
      <c r="G19" s="261" t="str">
        <f>'D1'!B1</f>
        <v>Capital Market Yields - Government Bonds</v>
      </c>
      <c r="H19" s="256"/>
      <c r="I19" s="262" t="s">
        <v>447</v>
      </c>
      <c r="J19" s="267"/>
      <c r="K19" s="261" t="str">
        <f>'C1'!B1</f>
        <v>RFR &amp; MRP Term Differences</v>
      </c>
      <c r="L19" s="256"/>
      <c r="M19" s="257"/>
      <c r="N19" s="257"/>
      <c r="O19" s="257"/>
      <c r="P19" s="257"/>
      <c r="Q19" s="257"/>
    </row>
    <row r="20" spans="1:17" s="258" customFormat="1" ht="15.95" customHeight="1">
      <c r="A20" s="253"/>
      <c r="B20" s="253"/>
      <c r="C20" s="254"/>
      <c r="D20" s="255"/>
      <c r="E20" s="262" t="s">
        <v>454</v>
      </c>
      <c r="F20" s="263"/>
      <c r="G20" s="261" t="str">
        <f>'D2'!B1</f>
        <v>MRP 5- and 10-year averages</v>
      </c>
      <c r="H20" s="256"/>
      <c r="I20" s="262" t="s">
        <v>448</v>
      </c>
      <c r="J20" s="267"/>
      <c r="K20" s="261" t="str">
        <f>'C2'!B1</f>
        <v>Sensitivity testing - Term, Beta, RFR</v>
      </c>
      <c r="L20" s="256"/>
      <c r="M20" s="257"/>
      <c r="N20" s="257"/>
      <c r="O20" s="257"/>
      <c r="P20" s="257"/>
      <c r="Q20" s="257"/>
    </row>
    <row r="21" spans="1:17" s="258" customFormat="1" ht="15.95" customHeight="1">
      <c r="A21" s="253"/>
      <c r="B21" s="253"/>
      <c r="C21" s="254"/>
      <c r="D21" s="255"/>
      <c r="E21" s="262" t="s">
        <v>455</v>
      </c>
      <c r="F21" s="263"/>
      <c r="G21" s="261" t="str">
        <f>'D3'!B1</f>
        <v>Analysis of MRP Options across 2018-2022</v>
      </c>
      <c r="H21" s="256"/>
      <c r="I21" s="262" t="s">
        <v>449</v>
      </c>
      <c r="J21" s="267"/>
      <c r="K21" s="261" t="str">
        <f>'C3'!B1</f>
        <v>Household Bill Impacts of Approach options</v>
      </c>
      <c r="L21" s="256"/>
      <c r="M21" s="257"/>
      <c r="N21" s="257"/>
      <c r="O21" s="257"/>
      <c r="P21" s="257"/>
      <c r="Q21" s="257"/>
    </row>
    <row r="22" spans="1:17" s="258" customFormat="1" ht="15.95" customHeight="1">
      <c r="A22" s="253"/>
      <c r="B22" s="253"/>
      <c r="C22" s="254"/>
      <c r="D22" s="255"/>
      <c r="E22" s="262" t="s">
        <v>456</v>
      </c>
      <c r="F22" s="263"/>
      <c r="G22" s="261" t="str">
        <f>'D4'!B1</f>
        <v>ENA RFR Data (ENA 3)</v>
      </c>
      <c r="H22" s="256"/>
      <c r="I22" s="262" t="s">
        <v>450</v>
      </c>
      <c r="J22" s="267"/>
      <c r="K22" s="261" t="str">
        <f>'C4'!B1</f>
        <v>Average Annual RFR (ENA 3)</v>
      </c>
      <c r="L22" s="256"/>
      <c r="M22" s="257"/>
      <c r="N22" s="257"/>
      <c r="O22" s="257"/>
      <c r="P22" s="257"/>
      <c r="Q22" s="257"/>
    </row>
    <row r="23" spans="1:17" s="258" customFormat="1" ht="15.95" customHeight="1">
      <c r="A23" s="253"/>
      <c r="B23" s="253"/>
      <c r="C23" s="254"/>
      <c r="D23" s="255"/>
      <c r="E23" s="314"/>
      <c r="F23" s="256"/>
      <c r="G23" s="315"/>
      <c r="H23" s="256"/>
      <c r="I23" s="262" t="s">
        <v>451</v>
      </c>
      <c r="J23" s="267"/>
      <c r="K23" s="261" t="str">
        <f>'C5'!B1</f>
        <v>Analysis of HER and DGM approaches for MRP (pre-work)</v>
      </c>
      <c r="L23" s="256"/>
      <c r="M23" s="257"/>
      <c r="N23" s="257"/>
      <c r="O23" s="257"/>
      <c r="P23" s="257"/>
      <c r="Q23" s="257"/>
    </row>
    <row r="24" spans="1:17" s="258" customFormat="1" ht="15.95" customHeight="1">
      <c r="A24" s="253"/>
      <c r="B24" s="253"/>
      <c r="C24" s="254"/>
      <c r="D24" s="255"/>
      <c r="E24" s="314"/>
      <c r="F24" s="256"/>
      <c r="G24" s="315"/>
      <c r="H24" s="256"/>
      <c r="I24" s="262" t="s">
        <v>452</v>
      </c>
      <c r="J24" s="267"/>
      <c r="K24" s="261" t="str">
        <f>'C6'!B1</f>
        <v>ROE scenario analysis using HER and DGM approaches for MRP</v>
      </c>
      <c r="L24" s="256"/>
      <c r="M24" s="257"/>
      <c r="N24" s="257"/>
      <c r="O24" s="257"/>
      <c r="P24" s="257"/>
      <c r="Q24" s="257"/>
    </row>
    <row r="25" spans="1:17" s="258" customFormat="1" ht="15.95" customHeight="1">
      <c r="A25" s="253"/>
      <c r="B25" s="253"/>
      <c r="C25" s="254"/>
      <c r="D25" s="255"/>
      <c r="E25" s="314"/>
      <c r="F25" s="256"/>
      <c r="G25" s="315"/>
      <c r="H25" s="256"/>
      <c r="L25" s="256"/>
      <c r="M25" s="257"/>
      <c r="N25" s="257"/>
      <c r="O25" s="257"/>
      <c r="P25" s="257"/>
      <c r="Q25" s="257"/>
    </row>
    <row r="26" spans="1:17" s="258" customFormat="1" ht="15.95" customHeight="1">
      <c r="A26" s="253"/>
      <c r="B26" s="253"/>
      <c r="C26" s="254"/>
      <c r="D26" s="255"/>
      <c r="E26" s="314"/>
      <c r="F26" s="256"/>
      <c r="G26" s="315"/>
      <c r="H26" s="256"/>
      <c r="L26" s="256"/>
      <c r="M26" s="257"/>
      <c r="N26" s="257"/>
      <c r="O26" s="257"/>
      <c r="P26" s="257"/>
      <c r="Q26" s="257"/>
    </row>
    <row r="27" spans="1:17" s="258" customFormat="1" ht="15.95" customHeight="1">
      <c r="A27" s="253"/>
      <c r="B27" s="253"/>
      <c r="C27" s="254"/>
      <c r="D27" s="255"/>
      <c r="E27" s="266" t="s">
        <v>523</v>
      </c>
      <c r="F27" s="256"/>
      <c r="G27" s="261"/>
      <c r="H27" s="256"/>
      <c r="I27" s="256"/>
      <c r="J27" s="256"/>
      <c r="K27" s="256"/>
      <c r="L27" s="256"/>
      <c r="M27" s="257"/>
      <c r="N27" s="257"/>
      <c r="O27" s="257"/>
      <c r="P27" s="257"/>
      <c r="Q27" s="257"/>
    </row>
    <row r="28" spans="1:17" s="258" customFormat="1" ht="15.95" customHeight="1">
      <c r="A28" s="253"/>
      <c r="B28" s="253"/>
      <c r="C28" s="254"/>
      <c r="D28" s="255"/>
      <c r="E28" s="261" t="s">
        <v>470</v>
      </c>
      <c r="F28" s="268"/>
      <c r="G28" s="261" t="s">
        <v>488</v>
      </c>
      <c r="H28" s="256"/>
      <c r="I28" s="256"/>
      <c r="J28" s="256"/>
      <c r="K28" s="256"/>
      <c r="L28" s="256"/>
      <c r="M28" s="257"/>
      <c r="N28" s="257"/>
      <c r="O28" s="257"/>
      <c r="P28" s="257"/>
      <c r="Q28" s="257"/>
    </row>
    <row r="29" spans="1:17" s="258" customFormat="1" ht="15.95" customHeight="1">
      <c r="A29" s="253"/>
      <c r="B29" s="253"/>
      <c r="C29" s="254"/>
      <c r="D29" s="255"/>
      <c r="E29" s="261" t="s">
        <v>465</v>
      </c>
      <c r="F29" s="268"/>
      <c r="G29" s="261" t="s">
        <v>490</v>
      </c>
      <c r="H29" s="256"/>
      <c r="I29" s="256"/>
      <c r="J29" s="256"/>
      <c r="K29" s="256"/>
      <c r="L29" s="256"/>
      <c r="M29" s="257"/>
      <c r="N29" s="257"/>
      <c r="O29" s="257"/>
      <c r="P29" s="257"/>
      <c r="Q29" s="257"/>
    </row>
    <row r="30" spans="1:17" s="258" customFormat="1" ht="15.95" customHeight="1">
      <c r="A30" s="253"/>
      <c r="B30" s="253"/>
      <c r="C30" s="254"/>
      <c r="D30" s="255"/>
      <c r="E30" s="261" t="s">
        <v>466</v>
      </c>
      <c r="F30" s="268"/>
      <c r="G30" s="261" t="s">
        <v>489</v>
      </c>
      <c r="H30" s="256"/>
      <c r="I30" s="256"/>
      <c r="J30" s="256"/>
      <c r="K30" s="256"/>
      <c r="L30" s="256"/>
      <c r="M30" s="257"/>
      <c r="N30" s="257"/>
      <c r="O30" s="257"/>
      <c r="P30" s="257"/>
      <c r="Q30" s="257"/>
    </row>
    <row r="31" spans="1:17" s="258" customFormat="1" ht="15.95" customHeight="1">
      <c r="A31" s="253"/>
      <c r="B31" s="253"/>
      <c r="C31" s="254"/>
      <c r="D31" s="255"/>
      <c r="E31" s="261" t="s">
        <v>467</v>
      </c>
      <c r="F31" s="268"/>
      <c r="G31" s="261" t="s">
        <v>524</v>
      </c>
      <c r="H31" s="256"/>
      <c r="I31" s="256"/>
      <c r="J31" s="256"/>
      <c r="K31" s="256"/>
      <c r="L31" s="256"/>
      <c r="M31" s="257"/>
      <c r="N31" s="257"/>
      <c r="O31" s="257"/>
      <c r="P31" s="257"/>
      <c r="Q31" s="257"/>
    </row>
    <row r="32" spans="1:17" s="258" customFormat="1" ht="15.95" customHeight="1">
      <c r="A32" s="253"/>
      <c r="B32" s="253"/>
      <c r="C32" s="254"/>
      <c r="D32" s="255"/>
      <c r="E32" s="261" t="s">
        <v>468</v>
      </c>
      <c r="F32" s="268"/>
      <c r="G32" s="261" t="s">
        <v>525</v>
      </c>
      <c r="H32" s="256"/>
      <c r="I32" s="256"/>
      <c r="J32" s="256"/>
      <c r="K32" s="256"/>
      <c r="L32" s="256"/>
      <c r="M32" s="257"/>
      <c r="N32" s="257"/>
      <c r="O32" s="257"/>
      <c r="P32" s="257"/>
      <c r="Q32" s="257"/>
    </row>
    <row r="33" spans="1:17" s="258" customFormat="1" ht="15.95" customHeight="1">
      <c r="A33" s="253"/>
      <c r="B33" s="253"/>
      <c r="C33" s="254"/>
      <c r="D33" s="255"/>
      <c r="E33" s="261" t="s">
        <v>469</v>
      </c>
      <c r="F33" s="268"/>
      <c r="G33" s="261" t="s">
        <v>526</v>
      </c>
      <c r="H33" s="256"/>
      <c r="I33" s="256"/>
      <c r="J33" s="256"/>
      <c r="K33" s="256"/>
      <c r="L33" s="256"/>
      <c r="M33" s="257"/>
      <c r="N33" s="257"/>
      <c r="O33" s="257"/>
      <c r="P33" s="257"/>
      <c r="Q33" s="257"/>
    </row>
    <row r="34" spans="1:17" s="258" customFormat="1" ht="15.95" customHeight="1">
      <c r="A34" s="253"/>
      <c r="B34" s="253"/>
      <c r="C34" s="254"/>
      <c r="D34" s="255"/>
      <c r="E34" s="261"/>
      <c r="F34" s="256"/>
      <c r="G34" s="261"/>
      <c r="H34" s="256"/>
      <c r="I34" s="256"/>
      <c r="J34" s="256"/>
      <c r="K34" s="256"/>
      <c r="L34" s="256"/>
      <c r="M34" s="257"/>
      <c r="N34" s="257"/>
      <c r="O34" s="257"/>
      <c r="P34" s="257"/>
      <c r="Q34" s="257"/>
    </row>
    <row r="35" spans="1:17" s="258" customFormat="1" ht="15.95" customHeight="1">
      <c r="A35" s="253"/>
      <c r="B35" s="260" t="s">
        <v>527</v>
      </c>
      <c r="C35" s="259"/>
      <c r="D35" s="259"/>
      <c r="E35" s="259"/>
      <c r="F35" s="259"/>
      <c r="G35" s="259"/>
      <c r="H35" s="259"/>
      <c r="I35" s="259"/>
      <c r="J35" s="259"/>
      <c r="K35" s="259"/>
      <c r="L35" s="63"/>
      <c r="M35" s="257"/>
      <c r="N35" s="257"/>
      <c r="O35" s="257"/>
      <c r="P35" s="257"/>
      <c r="Q35" s="257"/>
    </row>
  </sheetData>
  <phoneticPr fontId="6" type="noConversion"/>
  <hyperlinks>
    <hyperlink ref="E12" location="Cover!A1" display="Cover" xr:uid="{596604E2-3E56-A246-B402-37861AB45F90}"/>
    <hyperlink ref="E13" location="Version!A1" display="Version" xr:uid="{CBA46FE2-D5EE-6847-8D55-21A204244CBC}"/>
    <hyperlink ref="E14" location="'Model Map'!A1" display="Model Map" xr:uid="{823B2602-6378-9641-9C01-7D46867E29E8}"/>
    <hyperlink ref="E19" location="'D1'!A1" display="D1" xr:uid="{98EAFC2F-7444-D641-AC54-8E84A051D316}"/>
    <hyperlink ref="E20" location="'D2'!A1" display="D2" xr:uid="{E050827F-C323-BD4D-99F4-0A2191C9A7DC}"/>
    <hyperlink ref="E21" location="'D3'!A1" display="D3" xr:uid="{C1CE051A-40BF-8E4D-AAC9-FA8F4408D898}"/>
    <hyperlink ref="E22" location="'D4'!A1" display="D4" xr:uid="{F66F61AE-E9EE-2948-8773-13FD0CEF258E}"/>
    <hyperlink ref="I19" location="'C1'!A1" display="C1" xr:uid="{243CB810-72D3-5043-BD09-3CA6DA7C52BF}"/>
    <hyperlink ref="I20" location="'C2'!A1" display="C2" xr:uid="{01D953C4-E907-144A-9D99-CC695906EFBD}"/>
    <hyperlink ref="I21" location="'C3'!A1" display="C3" xr:uid="{F8FC1FEC-63E5-374A-AB80-C952BA45CFCF}"/>
    <hyperlink ref="I23" location="'C4'!A1" display="C4" xr:uid="{1E877A24-7ABA-BE43-827F-6BAC4CD4CF43}"/>
    <hyperlink ref="I24" location="'C5'!A1" display="C5" xr:uid="{760EE07C-B086-0648-8C75-CA1C54C83030}"/>
    <hyperlink ref="I22" location="'C6'!A1" display="C6" xr:uid="{46CCF0CE-65E1-CA44-9F0C-F031429A37AD}"/>
    <hyperlink ref="E15" location="'Tracking Sheet'!A1" display="Tracking Sheet" xr:uid="{59701CD1-FFD5-F84E-8BA0-18D5BC30EC86}"/>
    <hyperlink ref="E16" location="'Verified Inputs'!A1" display="Verified Inputs" xr:uid="{773F2A4F-75FB-2447-965F-B71FDAE574D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A893-DDDE-9F42-87E6-CC33B933EDAB}">
  <sheetPr>
    <tabColor theme="5" tint="0.79998168889431442"/>
  </sheetPr>
  <dimension ref="A1:M23"/>
  <sheetViews>
    <sheetView showGridLines="0" zoomScale="70" zoomScaleNormal="70" workbookViewId="0">
      <selection activeCell="B1" sqref="B1"/>
    </sheetView>
  </sheetViews>
  <sheetFormatPr defaultColWidth="0" defaultRowHeight="12.75" zeroHeight="1"/>
  <cols>
    <col min="1" max="1" width="3" style="19" customWidth="1"/>
    <col min="2" max="3" width="10.85546875" style="19" customWidth="1"/>
    <col min="4" max="4" width="17.7109375" style="19" customWidth="1"/>
    <col min="5" max="5" width="10.85546875" style="19" customWidth="1"/>
    <col min="6" max="6" width="15.140625" style="19" customWidth="1"/>
    <col min="7" max="7" width="15.7109375" style="19" customWidth="1"/>
    <col min="8" max="8" width="10.85546875" style="19" customWidth="1"/>
    <col min="9" max="9" width="16.28515625" style="19" customWidth="1"/>
    <col min="10" max="10" width="15" style="19" customWidth="1"/>
    <col min="11" max="11" width="10.85546875" style="19" customWidth="1"/>
    <col min="12" max="12" width="23" style="19" customWidth="1"/>
    <col min="13" max="13" width="20" style="19" customWidth="1"/>
  </cols>
  <sheetData>
    <row r="1" spans="1:13" s="84" customFormat="1" ht="26.25">
      <c r="B1" s="85" t="s">
        <v>541</v>
      </c>
      <c r="C1" s="86"/>
      <c r="D1" s="86"/>
      <c r="E1" s="86"/>
      <c r="F1" s="86"/>
      <c r="G1" s="86"/>
    </row>
    <row r="2" spans="1:13" s="83" customFormat="1" ht="21">
      <c r="B2" s="87"/>
    </row>
    <row r="3" spans="1:13" ht="14.25">
      <c r="A3" s="29"/>
      <c r="B3" s="29"/>
      <c r="C3" s="29"/>
      <c r="D3" s="31"/>
      <c r="E3" s="31"/>
      <c r="F3" s="31"/>
      <c r="G3" s="31"/>
      <c r="H3" s="31"/>
      <c r="I3" s="29"/>
      <c r="J3" s="29"/>
      <c r="K3" s="29"/>
      <c r="L3" s="29"/>
      <c r="M3" s="29"/>
    </row>
    <row r="4" spans="1:13" ht="15">
      <c r="A4" s="29"/>
      <c r="B4" s="32"/>
      <c r="C4" s="29"/>
      <c r="D4" s="31"/>
      <c r="E4" s="31"/>
      <c r="F4" s="31"/>
      <c r="G4" s="31"/>
      <c r="H4" s="31"/>
      <c r="I4" s="29"/>
      <c r="J4" s="29"/>
      <c r="K4" s="29"/>
      <c r="L4" s="29"/>
      <c r="M4" s="29"/>
    </row>
    <row r="5" spans="1:13" ht="63">
      <c r="A5" s="29"/>
      <c r="B5" s="29"/>
      <c r="C5" s="33"/>
      <c r="D5" s="54" t="s">
        <v>28</v>
      </c>
      <c r="E5" s="55" t="s">
        <v>29</v>
      </c>
      <c r="F5" s="55" t="s">
        <v>30</v>
      </c>
      <c r="G5" s="55" t="s">
        <v>31</v>
      </c>
      <c r="H5" s="55" t="s">
        <v>32</v>
      </c>
      <c r="I5" s="55" t="s">
        <v>33</v>
      </c>
      <c r="J5" s="56" t="s">
        <v>34</v>
      </c>
      <c r="K5" s="48"/>
      <c r="L5" s="57" t="s">
        <v>35</v>
      </c>
    </row>
    <row r="6" spans="1:13" ht="15.75">
      <c r="A6" s="30"/>
      <c r="B6" s="30"/>
      <c r="C6" s="58">
        <f>'D3'!B12</f>
        <v>2017</v>
      </c>
      <c r="D6" s="136">
        <f>(6.1%*0.6)+'D3'!I12</f>
        <v>6.3146961719674294E-2</v>
      </c>
      <c r="E6" s="136">
        <f>'D3'!K12</f>
        <v>6.6635597913312861E-2</v>
      </c>
      <c r="F6" s="176">
        <f t="shared" ref="F6:F11" si="0">E6-D6</f>
        <v>3.4886361936385668E-3</v>
      </c>
      <c r="G6" s="176">
        <f t="shared" ref="G6:G11" si="1">F6*(1-60%)</f>
        <v>1.3954544774554267E-3</v>
      </c>
      <c r="H6" s="176">
        <f t="shared" ref="H6:H11" si="2">G6*8</f>
        <v>1.1163635819643414E-2</v>
      </c>
      <c r="I6" s="176">
        <f t="shared" ref="I6:I11" si="3">H6*50%</f>
        <v>5.5818179098217069E-3</v>
      </c>
      <c r="J6" s="177">
        <f t="shared" ref="J6:J11" si="4">I6*2000</f>
        <v>11.163635819643414</v>
      </c>
      <c r="K6" s="29"/>
      <c r="L6" s="178">
        <f>(6.5%*0.6)+'D3'!I12</f>
        <v>6.5546961719674307E-2</v>
      </c>
    </row>
    <row r="7" spans="1:13" ht="15.75">
      <c r="A7" s="30"/>
      <c r="B7" s="30"/>
      <c r="C7" s="58">
        <f>'D3'!B13</f>
        <v>2018</v>
      </c>
      <c r="D7" s="136">
        <f>(6.1%*0.6)+'D3'!I13</f>
        <v>5.9897379013228703E-2</v>
      </c>
      <c r="E7" s="136">
        <f>'D3'!K13</f>
        <v>6.2390302998840359E-2</v>
      </c>
      <c r="F7" s="176">
        <f t="shared" si="0"/>
        <v>2.4929239856116558E-3</v>
      </c>
      <c r="G7" s="176">
        <f t="shared" si="1"/>
        <v>9.9716959424466238E-4</v>
      </c>
      <c r="H7" s="176">
        <f t="shared" si="2"/>
        <v>7.9773567539572991E-3</v>
      </c>
      <c r="I7" s="176">
        <f t="shared" si="3"/>
        <v>3.9886783769786495E-3</v>
      </c>
      <c r="J7" s="177">
        <f t="shared" si="4"/>
        <v>7.9773567539572987</v>
      </c>
      <c r="K7" s="29"/>
      <c r="L7" s="178">
        <f>(6.5%*0.6)+'D3'!I13</f>
        <v>6.2297379013228703E-2</v>
      </c>
    </row>
    <row r="8" spans="1:13" ht="15.75">
      <c r="A8" s="30"/>
      <c r="B8" s="30"/>
      <c r="C8" s="58">
        <f>'D3'!B14</f>
        <v>2019</v>
      </c>
      <c r="D8" s="136">
        <f>(6.1%*0.6)+'D3'!I14</f>
        <v>5.038029901781086E-2</v>
      </c>
      <c r="E8" s="136">
        <f>'D3'!K14</f>
        <v>5.5377008913192992E-2</v>
      </c>
      <c r="F8" s="176">
        <f t="shared" si="0"/>
        <v>4.9967098953821315E-3</v>
      </c>
      <c r="G8" s="176">
        <f t="shared" si="1"/>
        <v>1.9986839581528529E-3</v>
      </c>
      <c r="H8" s="176">
        <f t="shared" si="2"/>
        <v>1.5989471665222823E-2</v>
      </c>
      <c r="I8" s="176">
        <f t="shared" si="3"/>
        <v>7.9947358326114114E-3</v>
      </c>
      <c r="J8" s="177">
        <f t="shared" si="4"/>
        <v>15.989471665222823</v>
      </c>
      <c r="K8" s="29"/>
      <c r="L8" s="178">
        <f>(6.5%*0.6)+'D3'!I14</f>
        <v>5.278029901781086E-2</v>
      </c>
    </row>
    <row r="9" spans="1:13" ht="15.75">
      <c r="A9" s="30"/>
      <c r="B9" s="30"/>
      <c r="C9" s="58">
        <f>'D3'!B15</f>
        <v>2020</v>
      </c>
      <c r="D9" s="136">
        <f>(6.1%*0.6)+'D3'!I15</f>
        <v>4.6342846630917291E-2</v>
      </c>
      <c r="E9" s="136">
        <f>'D3'!K15</f>
        <v>5.7025759111367168E-2</v>
      </c>
      <c r="F9" s="176">
        <f t="shared" si="0"/>
        <v>1.0682912480449877E-2</v>
      </c>
      <c r="G9" s="176">
        <f t="shared" si="1"/>
        <v>4.2731649921799513E-3</v>
      </c>
      <c r="H9" s="176">
        <f t="shared" si="2"/>
        <v>3.4185319937439611E-2</v>
      </c>
      <c r="I9" s="176">
        <f t="shared" si="3"/>
        <v>1.7092659968719805E-2</v>
      </c>
      <c r="J9" s="177">
        <f t="shared" si="4"/>
        <v>34.185319937439608</v>
      </c>
      <c r="K9" s="29"/>
      <c r="L9" s="178">
        <f>(6.5%*0.6)+'D3'!I15</f>
        <v>4.874284663091729E-2</v>
      </c>
    </row>
    <row r="10" spans="1:13" ht="15.75">
      <c r="A10" s="30"/>
      <c r="B10" s="30"/>
      <c r="C10" s="58">
        <f>'D3'!B16</f>
        <v>2021</v>
      </c>
      <c r="D10" s="136">
        <f>(6.1%*0.6)+'D3'!I16</f>
        <v>5.3402965079398824E-2</v>
      </c>
      <c r="E10" s="136">
        <f>'D3'!K16</f>
        <v>5.6760155289891756E-2</v>
      </c>
      <c r="F10" s="176">
        <f t="shared" si="0"/>
        <v>3.3571902104929316E-3</v>
      </c>
      <c r="G10" s="176">
        <f t="shared" si="1"/>
        <v>1.3428760841971727E-3</v>
      </c>
      <c r="H10" s="176">
        <f t="shared" si="2"/>
        <v>1.0743008673577381E-2</v>
      </c>
      <c r="I10" s="176">
        <f t="shared" si="3"/>
        <v>5.3715043367886907E-3</v>
      </c>
      <c r="J10" s="177">
        <f t="shared" si="4"/>
        <v>10.743008673577382</v>
      </c>
      <c r="K10" s="29"/>
      <c r="L10" s="178">
        <f>(6.5%*0.6)+'D3'!I16</f>
        <v>5.5802965079398824E-2</v>
      </c>
    </row>
    <row r="11" spans="1:13" ht="15.75">
      <c r="A11" s="30"/>
      <c r="B11" s="30"/>
      <c r="C11" s="58">
        <f>'D3'!B17</f>
        <v>2022</v>
      </c>
      <c r="D11" s="136">
        <f>(6.1%*0.6)+'D3'!I17</f>
        <v>5.78335223852013E-2</v>
      </c>
      <c r="E11" s="136">
        <f>'D3'!K17</f>
        <v>5.9150112050525512E-2</v>
      </c>
      <c r="F11" s="176">
        <f t="shared" si="0"/>
        <v>1.3165896653242123E-3</v>
      </c>
      <c r="G11" s="176">
        <f t="shared" si="1"/>
        <v>5.2663586612968492E-4</v>
      </c>
      <c r="H11" s="176">
        <f t="shared" si="2"/>
        <v>4.2130869290374793E-3</v>
      </c>
      <c r="I11" s="176">
        <f t="shared" si="3"/>
        <v>2.1065434645187397E-3</v>
      </c>
      <c r="J11" s="177">
        <f t="shared" si="4"/>
        <v>4.2130869290374795</v>
      </c>
      <c r="K11" s="29"/>
      <c r="L11" s="178">
        <f>(6.5%*0.6)+'D3'!I17</f>
        <v>6.0233522385201299E-2</v>
      </c>
    </row>
    <row r="12" spans="1:13" ht="15.75">
      <c r="A12" s="30"/>
      <c r="B12" s="30"/>
      <c r="C12" s="120"/>
      <c r="D12" s="29"/>
      <c r="E12" s="29"/>
      <c r="F12" s="29"/>
      <c r="G12" s="29"/>
      <c r="H12" s="29"/>
      <c r="I12" s="29"/>
      <c r="J12" s="29"/>
      <c r="K12" s="29"/>
      <c r="L12" s="29"/>
    </row>
    <row r="13" spans="1:13" ht="15">
      <c r="A13" s="29"/>
      <c r="B13" s="29"/>
      <c r="C13" s="29"/>
      <c r="D13" s="31"/>
      <c r="E13" s="31"/>
      <c r="F13" s="31"/>
      <c r="G13" s="31"/>
      <c r="H13" s="31"/>
      <c r="I13" s="29"/>
      <c r="J13" s="34"/>
      <c r="K13" s="29"/>
      <c r="L13" s="213" t="s">
        <v>17</v>
      </c>
      <c r="M13" s="29"/>
    </row>
    <row r="14" spans="1:13" ht="60">
      <c r="A14" s="29"/>
      <c r="B14" s="29"/>
      <c r="C14" s="29"/>
      <c r="D14" s="31"/>
      <c r="E14" s="179" t="s">
        <v>36</v>
      </c>
      <c r="F14" s="176">
        <f>AVERAGE(F7:F11)</f>
        <v>4.5692652474521615E-3</v>
      </c>
      <c r="G14" s="176">
        <f>AVERAGE(G7:G11)</f>
        <v>1.8277060989808649E-3</v>
      </c>
      <c r="H14" s="176">
        <f>AVERAGE(H7:H11)</f>
        <v>1.4621648791846919E-2</v>
      </c>
      <c r="I14" s="176">
        <f>AVERAGE(I7:I11)</f>
        <v>7.3108243959234594E-3</v>
      </c>
      <c r="J14" s="177">
        <f>AVERAGE(J7:J11)</f>
        <v>14.621648791846917</v>
      </c>
      <c r="K14" s="29"/>
      <c r="L14" s="214">
        <f>0.46% * (1-60%) * 8 * 50% * 2000</f>
        <v>14.72</v>
      </c>
      <c r="M14" s="29"/>
    </row>
    <row r="15" spans="1:13" ht="14.25">
      <c r="A15" s="29"/>
      <c r="B15" s="29"/>
      <c r="C15" s="29"/>
      <c r="D15" s="31"/>
      <c r="E15" s="31"/>
      <c r="F15" s="31"/>
      <c r="G15" s="31"/>
      <c r="H15" s="31"/>
      <c r="I15" s="29"/>
      <c r="J15" s="29"/>
      <c r="K15" s="29"/>
      <c r="L15" s="29"/>
      <c r="M15" s="29"/>
    </row>
    <row r="16" spans="1:13"/>
    <row r="17" spans="2:12" ht="15">
      <c r="B17" s="260" t="s">
        <v>527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</row>
    <row r="18" spans="2:12"/>
    <row r="19" spans="2:12"/>
    <row r="20" spans="2:12"/>
    <row r="21" spans="2:12"/>
    <row r="22" spans="2:12"/>
    <row r="23" spans="2:1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F5D1-41B5-4AC3-A2C0-2186D2CC986C}">
  <sheetPr>
    <tabColor theme="5" tint="0.79998168889431442"/>
  </sheetPr>
  <dimension ref="A1:AK46"/>
  <sheetViews>
    <sheetView showGridLines="0" zoomScale="85" workbookViewId="0">
      <pane ySplit="3" topLeftCell="A4" activePane="bottomLeft" state="frozen"/>
      <selection activeCell="B2" sqref="B2"/>
      <selection pane="bottomLeft" activeCell="F15" sqref="F15"/>
    </sheetView>
  </sheetViews>
  <sheetFormatPr defaultColWidth="0" defaultRowHeight="15" zeroHeight="1"/>
  <cols>
    <col min="1" max="1" width="6.7109375" style="12" customWidth="1"/>
    <col min="2" max="2" width="13.7109375" style="36" bestFit="1" customWidth="1"/>
    <col min="3" max="3" width="14.42578125" style="36" bestFit="1" customWidth="1"/>
    <col min="4" max="6" width="8.85546875" style="36" customWidth="1"/>
    <col min="7" max="14" width="8.85546875" style="36" hidden="1" customWidth="1"/>
    <col min="15" max="15" width="13.7109375" style="36" hidden="1" customWidth="1"/>
    <col min="16" max="16" width="14.42578125" style="36" hidden="1" customWidth="1"/>
    <col min="17" max="19" width="8.85546875" style="36" hidden="1" customWidth="1"/>
    <col min="20" max="25" width="0" style="12" hidden="1" customWidth="1"/>
    <col min="26" max="16384" width="8.85546875" style="12" hidden="1"/>
  </cols>
  <sheetData>
    <row r="1" spans="2:19" s="92" customFormat="1" ht="26.25">
      <c r="B1" s="89" t="s">
        <v>486</v>
      </c>
      <c r="D1" s="90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2:19" s="92" customFormat="1" ht="21">
      <c r="B2" s="14"/>
      <c r="C2" s="9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2:19">
      <c r="B3" s="124" t="s">
        <v>114</v>
      </c>
      <c r="C3" s="124" t="s">
        <v>115</v>
      </c>
    </row>
    <row r="4" spans="2:19">
      <c r="B4" s="252" t="s">
        <v>117</v>
      </c>
      <c r="C4" s="125">
        <v>8.2092070574988199E-2</v>
      </c>
    </row>
    <row r="5" spans="2:19">
      <c r="B5" s="252" t="s">
        <v>119</v>
      </c>
      <c r="C5" s="125">
        <v>6.9549185438893699E-2</v>
      </c>
      <c r="N5" s="40"/>
    </row>
    <row r="6" spans="2:19">
      <c r="B6" s="252" t="s">
        <v>121</v>
      </c>
      <c r="C6" s="125">
        <v>5.492970528264008E-2</v>
      </c>
      <c r="N6" s="40"/>
    </row>
    <row r="7" spans="2:19">
      <c r="B7" s="252" t="s">
        <v>123</v>
      </c>
      <c r="C7" s="125">
        <v>6.0093119429832843E-2</v>
      </c>
      <c r="O7"/>
      <c r="P7"/>
    </row>
    <row r="8" spans="2:19">
      <c r="B8" s="252" t="s">
        <v>125</v>
      </c>
      <c r="C8" s="125">
        <v>6.3145693344080586E-2</v>
      </c>
      <c r="O8"/>
      <c r="P8"/>
    </row>
    <row r="9" spans="2:19">
      <c r="B9" s="252" t="s">
        <v>127</v>
      </c>
      <c r="C9" s="125">
        <v>5.6152643284072074E-2</v>
      </c>
      <c r="O9"/>
      <c r="P9"/>
    </row>
    <row r="10" spans="2:19">
      <c r="B10" s="252" t="s">
        <v>129</v>
      </c>
      <c r="C10" s="125">
        <v>5.8439577111008757E-2</v>
      </c>
      <c r="O10"/>
      <c r="P10"/>
    </row>
    <row r="11" spans="2:19">
      <c r="B11" s="252" t="s">
        <v>131</v>
      </c>
      <c r="C11" s="125">
        <v>5.3667754977034167E-2</v>
      </c>
      <c r="O11"/>
      <c r="P11"/>
    </row>
    <row r="12" spans="2:19">
      <c r="B12" s="252" t="s">
        <v>133</v>
      </c>
      <c r="C12" s="125">
        <v>5.5907745074973342E-2</v>
      </c>
      <c r="O12"/>
      <c r="P12"/>
    </row>
    <row r="13" spans="2:19">
      <c r="B13" s="252" t="s">
        <v>135</v>
      </c>
      <c r="C13" s="125">
        <v>5.339973113985557E-2</v>
      </c>
      <c r="O13"/>
      <c r="P13"/>
    </row>
    <row r="14" spans="2:19">
      <c r="B14" s="252" t="s">
        <v>137</v>
      </c>
      <c r="C14" s="125">
        <v>5.5878722441857979E-2</v>
      </c>
      <c r="O14"/>
      <c r="P14"/>
    </row>
    <row r="15" spans="2:19">
      <c r="B15" s="252" t="s">
        <v>139</v>
      </c>
      <c r="C15" s="125">
        <v>5.9945208373921179E-2</v>
      </c>
      <c r="O15"/>
      <c r="P15"/>
    </row>
    <row r="16" spans="2:19">
      <c r="B16" s="252" t="s">
        <v>141</v>
      </c>
      <c r="C16" s="125">
        <v>5.8179439396415948E-2</v>
      </c>
      <c r="O16"/>
      <c r="P16"/>
    </row>
    <row r="17" spans="2:37">
      <c r="B17" s="252" t="s">
        <v>143</v>
      </c>
      <c r="C17" s="125">
        <v>5.039511842022712E-2</v>
      </c>
      <c r="O17"/>
      <c r="P17"/>
    </row>
    <row r="18" spans="2:37">
      <c r="B18" s="252" t="s">
        <v>145</v>
      </c>
      <c r="C18" s="125">
        <v>5.3660416666666662E-2</v>
      </c>
      <c r="O18"/>
      <c r="P18"/>
    </row>
    <row r="19" spans="2:37">
      <c r="B19" s="252" t="s">
        <v>147</v>
      </c>
      <c r="C19" s="125">
        <v>4.8795833333333337E-2</v>
      </c>
      <c r="O19"/>
      <c r="P19"/>
    </row>
    <row r="20" spans="2:37">
      <c r="B20" s="252" t="s">
        <v>149</v>
      </c>
      <c r="C20" s="125">
        <v>3.3791666666666664E-2</v>
      </c>
      <c r="O20"/>
      <c r="P20"/>
    </row>
    <row r="21" spans="2:37">
      <c r="B21" s="252" t="s">
        <v>151</v>
      </c>
      <c r="C21" s="125">
        <v>3.6966666666666669E-2</v>
      </c>
      <c r="O21"/>
      <c r="P21"/>
    </row>
    <row r="22" spans="2:37">
      <c r="B22" s="252" t="s">
        <v>153</v>
      </c>
      <c r="C22" s="125">
        <v>3.6554166666666672E-2</v>
      </c>
      <c r="O22"/>
      <c r="P22"/>
    </row>
    <row r="23" spans="2:37">
      <c r="B23" s="252" t="s">
        <v>155</v>
      </c>
      <c r="C23" s="125">
        <v>2.7099999999999999E-2</v>
      </c>
      <c r="O23"/>
      <c r="P23"/>
    </row>
    <row r="24" spans="2:37">
      <c r="B24" s="252" t="s">
        <v>157</v>
      </c>
      <c r="C24" s="125">
        <v>2.3337499999999997E-2</v>
      </c>
      <c r="O24"/>
      <c r="P24"/>
    </row>
    <row r="25" spans="2:37">
      <c r="B25" s="252" t="s">
        <v>159</v>
      </c>
      <c r="C25" s="125">
        <v>2.6389583333333331E-2</v>
      </c>
      <c r="O25"/>
      <c r="P25"/>
    </row>
    <row r="26" spans="2:37">
      <c r="B26" s="252" t="s">
        <v>161</v>
      </c>
      <c r="C26" s="125">
        <v>2.6841666666666666E-2</v>
      </c>
      <c r="O26"/>
      <c r="P26"/>
    </row>
    <row r="27" spans="2:37">
      <c r="B27" s="252" t="s">
        <v>163</v>
      </c>
      <c r="C27" s="125">
        <v>1.4933333333333335E-2</v>
      </c>
      <c r="O27"/>
      <c r="P27"/>
    </row>
    <row r="28" spans="2:37">
      <c r="B28" s="252" t="s">
        <v>165</v>
      </c>
      <c r="C28" s="125">
        <v>9.208333333333334E-3</v>
      </c>
      <c r="O28"/>
      <c r="P28"/>
    </row>
    <row r="29" spans="2:37">
      <c r="B29" s="252" t="s">
        <v>167</v>
      </c>
      <c r="C29" s="125">
        <v>1.4750000000000001E-2</v>
      </c>
      <c r="O29"/>
      <c r="P29"/>
    </row>
    <row r="30" spans="2:37">
      <c r="B30" s="252"/>
      <c r="C30" s="289"/>
      <c r="O30"/>
      <c r="P30"/>
    </row>
    <row r="31" spans="2:37">
      <c r="B31" s="260" t="s">
        <v>527</v>
      </c>
      <c r="C31" s="259"/>
      <c r="D31" s="259"/>
      <c r="E31" s="259"/>
      <c r="F31" s="259"/>
      <c r="O31"/>
      <c r="P31"/>
    </row>
    <row r="32" spans="2:37" ht="17.100000000000001" customHeight="1">
      <c r="B32" s="12"/>
      <c r="C32" s="12"/>
      <c r="D32" s="12"/>
      <c r="E32" s="12"/>
      <c r="F32" s="12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</row>
    <row r="33" spans="2:16" hidden="1">
      <c r="B33" s="12"/>
      <c r="C33" s="12"/>
      <c r="O33"/>
      <c r="P33"/>
    </row>
    <row r="34" spans="2:16" hidden="1">
      <c r="B34" s="12"/>
      <c r="C34" s="12"/>
      <c r="O34"/>
      <c r="P34"/>
    </row>
    <row r="35" spans="2:16" hidden="1">
      <c r="B35" s="12"/>
      <c r="C35" s="12"/>
      <c r="O35"/>
      <c r="P35"/>
    </row>
    <row r="36" spans="2:16" hidden="1">
      <c r="B36" s="12"/>
      <c r="C36" s="12"/>
      <c r="O36"/>
      <c r="P36"/>
    </row>
    <row r="37" spans="2:16" hidden="1">
      <c r="B37" s="12"/>
      <c r="C37" s="12"/>
      <c r="O37"/>
      <c r="P37"/>
    </row>
    <row r="38" spans="2:16" hidden="1">
      <c r="B38" s="12"/>
      <c r="C38" s="12"/>
      <c r="O38"/>
      <c r="P38"/>
    </row>
    <row r="39" spans="2:16" hidden="1">
      <c r="B39" s="12"/>
      <c r="C39" s="12"/>
      <c r="O39"/>
      <c r="P39"/>
    </row>
    <row r="40" spans="2:16" hidden="1">
      <c r="B40" s="12"/>
      <c r="C40" s="12"/>
      <c r="O40"/>
      <c r="P40"/>
    </row>
    <row r="41" spans="2:16" hidden="1">
      <c r="B41" s="12"/>
      <c r="C41" s="12"/>
      <c r="O41"/>
      <c r="P41"/>
    </row>
    <row r="42" spans="2:16" hidden="1">
      <c r="B42" s="12"/>
      <c r="C42" s="12"/>
      <c r="O42"/>
      <c r="P42"/>
    </row>
    <row r="43" spans="2:16" hidden="1">
      <c r="O43"/>
      <c r="P43"/>
    </row>
    <row r="44" spans="2:16" hidden="1">
      <c r="O44"/>
      <c r="P44"/>
    </row>
    <row r="45" spans="2:16" hidden="1">
      <c r="O45"/>
      <c r="P45"/>
    </row>
    <row r="46" spans="2:16" hidden="1">
      <c r="O46"/>
      <c r="P4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C5D-778C-9943-9FC7-C903D128884D}">
  <sheetPr>
    <tabColor theme="5" tint="0.79998168889431442"/>
  </sheetPr>
  <dimension ref="A1:CD48"/>
  <sheetViews>
    <sheetView showGridLines="0" zoomScale="75" zoomScaleNormal="100" workbookViewId="0">
      <pane xSplit="2" ySplit="7" topLeftCell="P8" activePane="bottomRight" state="frozen"/>
      <selection activeCell="B2" sqref="B2"/>
      <selection pane="topRight" activeCell="B2" sqref="B2"/>
      <selection pane="bottomLeft" activeCell="B2" sqref="B2"/>
      <selection pane="bottomRight" activeCell="G30" sqref="G30"/>
    </sheetView>
  </sheetViews>
  <sheetFormatPr defaultColWidth="0" defaultRowHeight="15" zeroHeight="1" outlineLevelRow="1"/>
  <cols>
    <col min="1" max="1" width="5.28515625" style="36" customWidth="1"/>
    <col min="2" max="2" width="6.140625" style="36" customWidth="1"/>
    <col min="3" max="3" width="12.140625" style="36" customWidth="1"/>
    <col min="4" max="5" width="12.85546875" style="36" customWidth="1"/>
    <col min="6" max="6" width="17.85546875" style="36" bestFit="1" customWidth="1"/>
    <col min="7" max="7" width="15.85546875" style="36" bestFit="1" customWidth="1"/>
    <col min="8" max="8" width="12.140625" style="36" customWidth="1"/>
    <col min="9" max="9" width="9.28515625" style="36" customWidth="1"/>
    <col min="10" max="10" width="6.85546875" style="36" bestFit="1" customWidth="1"/>
    <col min="11" max="12" width="9.28515625" style="36" customWidth="1"/>
    <col min="13" max="13" width="5.28515625" style="36" customWidth="1"/>
    <col min="14" max="14" width="9.140625" style="36" customWidth="1"/>
    <col min="15" max="15" width="3.42578125" style="36" customWidth="1"/>
    <col min="16" max="16" width="10" style="36" customWidth="1"/>
    <col min="17" max="18" width="14.28515625" style="36" customWidth="1"/>
    <col min="19" max="19" width="5.28515625" style="36" customWidth="1"/>
    <col min="20" max="20" width="17.28515625" style="36" bestFit="1" customWidth="1"/>
    <col min="21" max="21" width="10.140625" style="36" customWidth="1"/>
    <col min="22" max="22" width="8.85546875" style="36" customWidth="1"/>
    <col min="23" max="23" width="5.28515625" style="36" customWidth="1"/>
    <col min="24" max="24" width="10.28515625" style="36" bestFit="1" customWidth="1"/>
    <col min="25" max="25" width="12" style="36" customWidth="1"/>
    <col min="26" max="27" width="8.85546875" style="36" customWidth="1"/>
    <col min="28" max="28" width="9.85546875" style="36" customWidth="1"/>
    <col min="29" max="29" width="5.28515625" style="36" customWidth="1"/>
    <col min="30" max="30" width="8.85546875" style="36" customWidth="1"/>
    <col min="31" max="31" width="12" style="36" customWidth="1"/>
    <col min="32" max="32" width="8.85546875" style="36" customWidth="1"/>
    <col min="33" max="33" width="10.140625" style="36" customWidth="1"/>
    <col min="34" max="34" width="12" style="36" customWidth="1"/>
    <col min="35" max="35" width="5.28515625" style="36" customWidth="1"/>
    <col min="36" max="38" width="11.140625" style="36" hidden="1" customWidth="1"/>
    <col min="39" max="49" width="11.140625" style="12" hidden="1" customWidth="1"/>
    <col min="50" max="51" width="0" style="12" hidden="1" customWidth="1"/>
    <col min="52" max="67" width="11.140625" style="12" hidden="1" customWidth="1"/>
    <col min="68" max="69" width="0" style="12" hidden="1" customWidth="1"/>
    <col min="70" max="82" width="11.140625" style="12" hidden="1" customWidth="1"/>
    <col min="83" max="16384" width="0" style="12" hidden="1"/>
  </cols>
  <sheetData>
    <row r="1" spans="1:38" s="90" customFormat="1" ht="26.25">
      <c r="A1" s="88"/>
      <c r="B1" s="89" t="s">
        <v>487</v>
      </c>
      <c r="F1" s="88"/>
      <c r="H1" s="88"/>
    </row>
    <row r="2" spans="1:38" s="14" customFormat="1" ht="21">
      <c r="B2" s="91"/>
    </row>
    <row r="3" spans="1:38" s="14" customFormat="1" ht="21">
      <c r="A3" s="35"/>
      <c r="B3" s="1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248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>
      <c r="F4" s="37" t="s">
        <v>542</v>
      </c>
      <c r="G4" s="231">
        <f>'Verified Inputs'!C7</f>
        <v>2.1233522385201299E-2</v>
      </c>
      <c r="M4" s="37" t="s">
        <v>38</v>
      </c>
      <c r="N4" s="251">
        <f>'Verified Inputs'!C12</f>
        <v>0.6</v>
      </c>
      <c r="T4" s="307" t="s">
        <v>543</v>
      </c>
      <c r="U4" s="199">
        <f>'D3'!D17</f>
        <v>6.5087110739404874E-2</v>
      </c>
      <c r="X4" s="36" t="s">
        <v>39</v>
      </c>
      <c r="Y4" s="37" t="s">
        <v>40</v>
      </c>
      <c r="Z4" s="197">
        <v>-0.8</v>
      </c>
      <c r="AA4" s="199">
        <f>'D3'!E17</f>
        <v>6.1301521478342502E-2</v>
      </c>
      <c r="AD4" s="36" t="s">
        <v>41</v>
      </c>
      <c r="AF4" s="196">
        <v>0.5</v>
      </c>
    </row>
    <row r="5" spans="1:38">
      <c r="F5" s="37" t="s">
        <v>42</v>
      </c>
      <c r="G5" s="196">
        <v>0</v>
      </c>
      <c r="Q5" s="37" t="s">
        <v>43</v>
      </c>
      <c r="R5" s="196">
        <v>0</v>
      </c>
      <c r="Y5" s="37" t="s">
        <v>44</v>
      </c>
      <c r="Z5" s="198">
        <v>7.8288339386503536E-2</v>
      </c>
      <c r="AA5" s="247"/>
      <c r="AB5" s="38"/>
      <c r="AD5" s="36" t="s">
        <v>45</v>
      </c>
      <c r="AF5" s="199">
        <f>1-AF4</f>
        <v>0.5</v>
      </c>
      <c r="AK5" s="37"/>
      <c r="AL5" s="37"/>
    </row>
    <row r="6" spans="1:38">
      <c r="F6" s="37"/>
      <c r="G6" s="38"/>
      <c r="Q6" s="37"/>
      <c r="R6" s="38"/>
      <c r="Y6" s="37"/>
      <c r="Z6" s="42"/>
      <c r="AF6" s="38"/>
      <c r="AK6" s="37"/>
      <c r="AL6" s="37"/>
    </row>
    <row r="7" spans="1:38" s="182" customFormat="1" ht="45">
      <c r="A7" s="180"/>
      <c r="B7" s="59" t="s">
        <v>46</v>
      </c>
      <c r="C7" s="59" t="s">
        <v>47</v>
      </c>
      <c r="D7" s="59" t="s">
        <v>531</v>
      </c>
      <c r="E7" s="59" t="s">
        <v>48</v>
      </c>
      <c r="F7" s="59" t="s">
        <v>49</v>
      </c>
      <c r="G7" s="59" t="s">
        <v>50</v>
      </c>
      <c r="H7" s="59" t="s">
        <v>51</v>
      </c>
      <c r="I7" s="59" t="s">
        <v>17</v>
      </c>
      <c r="J7" s="180" t="s">
        <v>52</v>
      </c>
      <c r="K7" s="180" t="s">
        <v>53</v>
      </c>
      <c r="L7" s="181"/>
      <c r="M7" s="180"/>
      <c r="N7" s="180" t="s">
        <v>54</v>
      </c>
      <c r="O7" s="181"/>
      <c r="P7" s="180" t="s">
        <v>55</v>
      </c>
      <c r="Q7" s="180" t="s">
        <v>56</v>
      </c>
      <c r="R7" s="180" t="s">
        <v>57</v>
      </c>
      <c r="S7" s="180"/>
      <c r="T7" s="59" t="s">
        <v>58</v>
      </c>
      <c r="U7" s="59" t="s">
        <v>59</v>
      </c>
      <c r="V7" s="59" t="s">
        <v>60</v>
      </c>
      <c r="W7" s="180"/>
      <c r="X7" s="59" t="s">
        <v>58</v>
      </c>
      <c r="Y7" s="59" t="s">
        <v>59</v>
      </c>
      <c r="Z7" s="59" t="s">
        <v>60</v>
      </c>
      <c r="AA7" s="59" t="s">
        <v>61</v>
      </c>
      <c r="AB7" s="59" t="s">
        <v>62</v>
      </c>
      <c r="AC7" s="180"/>
      <c r="AD7" s="59" t="s">
        <v>58</v>
      </c>
      <c r="AE7" s="59" t="s">
        <v>59</v>
      </c>
      <c r="AF7" s="59" t="s">
        <v>60</v>
      </c>
      <c r="AG7" s="59" t="str">
        <f>AA7</f>
        <v>MRP Stress low</v>
      </c>
      <c r="AH7" s="59" t="str">
        <f>AB7</f>
        <v>MRP Stress high</v>
      </c>
      <c r="AI7" s="180"/>
      <c r="AJ7" s="180"/>
      <c r="AK7" s="180"/>
      <c r="AL7" s="180"/>
    </row>
    <row r="8" spans="1:38" s="184" customFormat="1" outlineLevel="1">
      <c r="A8" s="183"/>
      <c r="B8" s="181" t="s">
        <v>117</v>
      </c>
      <c r="C8" s="187">
        <f>'C4'!C4</f>
        <v>8.2092070574988199E-2</v>
      </c>
      <c r="D8" s="186"/>
      <c r="E8" s="186"/>
      <c r="F8" s="186"/>
      <c r="G8" s="186"/>
      <c r="H8" s="186"/>
      <c r="I8" s="186"/>
      <c r="J8" s="187">
        <f t="shared" ref="J8:J20" si="0">C8</f>
        <v>8.2092070574988199E-2</v>
      </c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</row>
    <row r="9" spans="1:38" s="184" customFormat="1" outlineLevel="1">
      <c r="A9" s="183"/>
      <c r="B9" s="181" t="s">
        <v>119</v>
      </c>
      <c r="C9" s="187">
        <f>'C4'!C5</f>
        <v>6.9549185438893699E-2</v>
      </c>
      <c r="D9" s="186"/>
      <c r="E9" s="186"/>
      <c r="F9" s="186"/>
      <c r="G9" s="186"/>
      <c r="H9" s="186"/>
      <c r="I9" s="186"/>
      <c r="J9" s="187">
        <f t="shared" si="0"/>
        <v>6.9549185438893699E-2</v>
      </c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</row>
    <row r="10" spans="1:38" s="184" customFormat="1" outlineLevel="1">
      <c r="A10" s="183"/>
      <c r="B10" s="181" t="s">
        <v>121</v>
      </c>
      <c r="C10" s="187">
        <f>'C4'!C6</f>
        <v>5.492970528264008E-2</v>
      </c>
      <c r="D10" s="186"/>
      <c r="E10" s="186"/>
      <c r="F10" s="186"/>
      <c r="G10" s="186"/>
      <c r="H10" s="186"/>
      <c r="I10" s="186"/>
      <c r="J10" s="187">
        <f t="shared" si="0"/>
        <v>5.492970528264008E-2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</row>
    <row r="11" spans="1:38" s="184" customFormat="1" outlineLevel="1">
      <c r="A11" s="183"/>
      <c r="B11" s="181" t="s">
        <v>123</v>
      </c>
      <c r="C11" s="187">
        <f>'C4'!C7</f>
        <v>6.0093119429832843E-2</v>
      </c>
      <c r="D11" s="186"/>
      <c r="E11" s="186"/>
      <c r="F11" s="186"/>
      <c r="G11" s="186"/>
      <c r="H11" s="186"/>
      <c r="I11" s="186"/>
      <c r="J11" s="187">
        <f t="shared" si="0"/>
        <v>6.0093119429832843E-2</v>
      </c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</row>
    <row r="12" spans="1:38" s="184" customFormat="1" outlineLevel="1">
      <c r="A12" s="183"/>
      <c r="B12" s="181" t="s">
        <v>125</v>
      </c>
      <c r="C12" s="187">
        <f>'C4'!C8</f>
        <v>6.3145693344080586E-2</v>
      </c>
      <c r="D12" s="186"/>
      <c r="E12" s="186"/>
      <c r="F12" s="186"/>
      <c r="G12" s="186"/>
      <c r="H12" s="186"/>
      <c r="I12" s="186"/>
      <c r="J12" s="187">
        <f t="shared" si="0"/>
        <v>6.3145693344080586E-2</v>
      </c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</row>
    <row r="13" spans="1:38" s="184" customFormat="1" outlineLevel="1">
      <c r="A13" s="183"/>
      <c r="B13" s="181" t="s">
        <v>127</v>
      </c>
      <c r="C13" s="187">
        <f>'C4'!C9</f>
        <v>5.6152643284072074E-2</v>
      </c>
      <c r="D13" s="186"/>
      <c r="E13" s="186"/>
      <c r="F13" s="186"/>
      <c r="G13" s="186"/>
      <c r="H13" s="186"/>
      <c r="I13" s="186"/>
      <c r="J13" s="187">
        <f t="shared" si="0"/>
        <v>5.6152643284072074E-2</v>
      </c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</row>
    <row r="14" spans="1:38" s="184" customFormat="1" outlineLevel="1">
      <c r="A14" s="183"/>
      <c r="B14" s="181" t="s">
        <v>129</v>
      </c>
      <c r="C14" s="187">
        <f>'C4'!C10</f>
        <v>5.8439577111008757E-2</v>
      </c>
      <c r="D14" s="186"/>
      <c r="E14" s="186"/>
      <c r="F14" s="186"/>
      <c r="G14" s="186"/>
      <c r="H14" s="186"/>
      <c r="I14" s="186"/>
      <c r="J14" s="187">
        <f t="shared" si="0"/>
        <v>5.8439577111008757E-2</v>
      </c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</row>
    <row r="15" spans="1:38" s="184" customFormat="1" outlineLevel="1">
      <c r="A15" s="183"/>
      <c r="B15" s="181" t="s">
        <v>131</v>
      </c>
      <c r="C15" s="187">
        <f>'C4'!C11</f>
        <v>5.3667754977034167E-2</v>
      </c>
      <c r="D15" s="186"/>
      <c r="E15" s="186"/>
      <c r="F15" s="186"/>
      <c r="G15" s="186"/>
      <c r="H15" s="186"/>
      <c r="I15" s="186"/>
      <c r="J15" s="187">
        <f t="shared" si="0"/>
        <v>5.3667754977034167E-2</v>
      </c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</row>
    <row r="16" spans="1:38" s="184" customFormat="1" outlineLevel="1">
      <c r="A16" s="183"/>
      <c r="B16" s="181" t="s">
        <v>133</v>
      </c>
      <c r="C16" s="187">
        <f>'C4'!C12</f>
        <v>5.5907745074973342E-2</v>
      </c>
      <c r="D16" s="186"/>
      <c r="E16" s="186"/>
      <c r="F16" s="186"/>
      <c r="G16" s="186"/>
      <c r="H16" s="186"/>
      <c r="I16" s="186"/>
      <c r="J16" s="187">
        <f t="shared" si="0"/>
        <v>5.5907745074973342E-2</v>
      </c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</row>
    <row r="17" spans="1:38" s="184" customFormat="1" outlineLevel="1">
      <c r="A17" s="183"/>
      <c r="B17" s="181" t="s">
        <v>135</v>
      </c>
      <c r="C17" s="187">
        <f>'C4'!C13</f>
        <v>5.339973113985557E-2</v>
      </c>
      <c r="D17" s="186"/>
      <c r="E17" s="186"/>
      <c r="F17" s="186"/>
      <c r="G17" s="186"/>
      <c r="H17" s="186"/>
      <c r="I17" s="186"/>
      <c r="J17" s="187">
        <f t="shared" si="0"/>
        <v>5.339973113985557E-2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</row>
    <row r="18" spans="1:38" s="184" customFormat="1" outlineLevel="1">
      <c r="A18" s="183"/>
      <c r="B18" s="181" t="s">
        <v>137</v>
      </c>
      <c r="C18" s="187">
        <f>'C4'!C14</f>
        <v>5.5878722441857979E-2</v>
      </c>
      <c r="D18" s="186"/>
      <c r="E18" s="186"/>
      <c r="F18" s="186"/>
      <c r="G18" s="186"/>
      <c r="H18" s="186"/>
      <c r="I18" s="186"/>
      <c r="J18" s="187">
        <f t="shared" si="0"/>
        <v>5.5878722441857979E-2</v>
      </c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</row>
    <row r="19" spans="1:38" s="184" customFormat="1" outlineLevel="1">
      <c r="A19" s="183"/>
      <c r="B19" s="181" t="s">
        <v>139</v>
      </c>
      <c r="C19" s="187">
        <f>'C4'!C15</f>
        <v>5.9945208373921179E-2</v>
      </c>
      <c r="D19" s="186"/>
      <c r="E19" s="186"/>
      <c r="F19" s="186"/>
      <c r="G19" s="186"/>
      <c r="H19" s="186"/>
      <c r="I19" s="186"/>
      <c r="J19" s="187">
        <f t="shared" si="0"/>
        <v>5.9945208373921179E-2</v>
      </c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</row>
    <row r="20" spans="1:38" s="184" customFormat="1" outlineLevel="1">
      <c r="A20" s="183"/>
      <c r="B20" s="181" t="s">
        <v>141</v>
      </c>
      <c r="C20" s="187">
        <f>'C4'!C16</f>
        <v>5.8179439396415948E-2</v>
      </c>
      <c r="D20" s="186"/>
      <c r="E20" s="186"/>
      <c r="F20" s="186"/>
      <c r="G20" s="186"/>
      <c r="H20" s="186"/>
      <c r="I20" s="186"/>
      <c r="J20" s="187">
        <f t="shared" si="0"/>
        <v>5.8179439396415948E-2</v>
      </c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</row>
    <row r="21" spans="1:38" s="184" customFormat="1" outlineLevel="1">
      <c r="A21" s="183"/>
      <c r="B21" s="181" t="s">
        <v>143</v>
      </c>
      <c r="C21" s="187">
        <f>'C4'!C17</f>
        <v>5.039511842022712E-2</v>
      </c>
      <c r="D21" s="189">
        <v>5.7849685658659E-2</v>
      </c>
      <c r="E21" s="185"/>
      <c r="F21" s="185"/>
      <c r="G21" s="185"/>
      <c r="H21" s="185"/>
      <c r="I21" s="195">
        <f>D21-C21</f>
        <v>7.4545672384318806E-3</v>
      </c>
      <c r="J21" s="187">
        <f t="shared" ref="J21:J33" si="1">D21</f>
        <v>5.7849685658659E-2</v>
      </c>
      <c r="K21" s="186"/>
      <c r="L21" s="185"/>
      <c r="M21" s="186"/>
      <c r="N21" s="186"/>
      <c r="O21" s="186"/>
      <c r="P21" s="186"/>
      <c r="Q21" s="186"/>
      <c r="R21" s="186"/>
      <c r="S21" s="186"/>
      <c r="T21" s="185"/>
      <c r="U21" s="185"/>
      <c r="V21" s="186"/>
      <c r="W21" s="186"/>
      <c r="X21" s="185"/>
      <c r="Y21" s="185"/>
      <c r="Z21" s="186"/>
      <c r="AA21" s="185"/>
      <c r="AB21" s="185"/>
      <c r="AC21" s="186"/>
      <c r="AD21" s="185"/>
      <c r="AE21" s="185"/>
      <c r="AF21" s="186"/>
      <c r="AG21" s="186"/>
      <c r="AH21" s="185"/>
      <c r="AI21" s="186"/>
      <c r="AJ21" s="186"/>
      <c r="AK21" s="186"/>
      <c r="AL21" s="186"/>
    </row>
    <row r="22" spans="1:38" s="184" customFormat="1" outlineLevel="1">
      <c r="A22" s="183"/>
      <c r="B22" s="181" t="s">
        <v>145</v>
      </c>
      <c r="C22" s="187">
        <f>'C4'!C18</f>
        <v>5.3660416666666662E-2</v>
      </c>
      <c r="D22" s="189">
        <v>5.6129564640682528E-2</v>
      </c>
      <c r="E22" s="185"/>
      <c r="F22" s="185"/>
      <c r="G22" s="185"/>
      <c r="H22" s="185"/>
      <c r="I22" s="195">
        <f t="shared" ref="I22:I32" si="2">D22-C22</f>
        <v>2.4691479740158659E-3</v>
      </c>
      <c r="J22" s="187">
        <f t="shared" si="1"/>
        <v>5.6129564640682528E-2</v>
      </c>
      <c r="K22" s="186"/>
      <c r="L22" s="186"/>
      <c r="M22" s="186"/>
      <c r="N22" s="186"/>
      <c r="O22" s="186"/>
      <c r="P22" s="186"/>
      <c r="Q22" s="186"/>
      <c r="R22" s="186"/>
      <c r="S22" s="186"/>
      <c r="T22" s="185"/>
      <c r="U22" s="185"/>
      <c r="V22" s="186"/>
      <c r="W22" s="186"/>
      <c r="X22" s="185"/>
      <c r="Y22" s="185"/>
      <c r="Z22" s="186"/>
      <c r="AA22" s="185"/>
      <c r="AB22" s="185"/>
      <c r="AC22" s="186"/>
      <c r="AD22" s="185"/>
      <c r="AE22" s="185"/>
      <c r="AF22" s="186"/>
      <c r="AG22" s="186"/>
      <c r="AH22" s="185"/>
      <c r="AI22" s="186"/>
      <c r="AJ22" s="186"/>
      <c r="AK22" s="186"/>
      <c r="AL22" s="186"/>
    </row>
    <row r="23" spans="1:38" s="184" customFormat="1" outlineLevel="1">
      <c r="A23" s="183"/>
      <c r="B23" s="181" t="s">
        <v>147</v>
      </c>
      <c r="C23" s="187">
        <f>'C4'!C19</f>
        <v>4.8795833333333337E-2</v>
      </c>
      <c r="D23" s="187">
        <f>'D3'!I6</f>
        <v>3.7693733993751088E-2</v>
      </c>
      <c r="E23" s="185"/>
      <c r="F23" s="185"/>
      <c r="G23" s="185"/>
      <c r="H23" s="185"/>
      <c r="I23" s="195">
        <f t="shared" si="2"/>
        <v>-1.1102099339582248E-2</v>
      </c>
      <c r="J23" s="187">
        <f t="shared" si="1"/>
        <v>3.7693733993751088E-2</v>
      </c>
      <c r="K23" s="186"/>
      <c r="L23" s="185"/>
      <c r="M23" s="186"/>
      <c r="N23" s="186"/>
      <c r="O23" s="186"/>
      <c r="P23" s="186"/>
      <c r="Q23" s="187">
        <f>'D3'!D6 + $R$5</f>
        <v>5.3743915218287031E-2</v>
      </c>
      <c r="R23" s="187">
        <f>'D3'!E6 + $R$5</f>
        <v>8.5731856686387289E-2</v>
      </c>
      <c r="S23" s="186"/>
      <c r="T23" s="185"/>
      <c r="U23" s="185"/>
      <c r="V23" s="186"/>
      <c r="W23" s="186"/>
      <c r="X23" s="185"/>
      <c r="Y23" s="185"/>
      <c r="Z23" s="186"/>
      <c r="AA23" s="185"/>
      <c r="AB23" s="185"/>
      <c r="AC23" s="186"/>
      <c r="AD23" s="185"/>
      <c r="AE23" s="185"/>
      <c r="AF23" s="186"/>
      <c r="AG23" s="186"/>
      <c r="AH23" s="185"/>
      <c r="AI23" s="186"/>
      <c r="AJ23" s="186"/>
      <c r="AK23" s="186"/>
      <c r="AL23" s="186"/>
    </row>
    <row r="24" spans="1:38" s="184" customFormat="1" outlineLevel="1">
      <c r="A24" s="183"/>
      <c r="B24" s="181" t="s">
        <v>149</v>
      </c>
      <c r="C24" s="187">
        <f>'C4'!C20</f>
        <v>3.3791666666666664E-2</v>
      </c>
      <c r="D24" s="187">
        <f>'D3'!I7</f>
        <v>3.2745733786678777E-2</v>
      </c>
      <c r="E24" s="185"/>
      <c r="F24" s="185"/>
      <c r="G24" s="185"/>
      <c r="H24" s="185"/>
      <c r="I24" s="195">
        <f t="shared" si="2"/>
        <v>-1.0459328799878875E-3</v>
      </c>
      <c r="J24" s="187">
        <f t="shared" si="1"/>
        <v>3.2745733786678777E-2</v>
      </c>
      <c r="K24" s="186"/>
      <c r="L24" s="185"/>
      <c r="M24" s="186"/>
      <c r="N24" s="186"/>
      <c r="O24" s="186"/>
      <c r="P24" s="186"/>
      <c r="Q24" s="187">
        <f>'D3'!D7 + $R$5</f>
        <v>5.6210080038126886E-2</v>
      </c>
      <c r="R24" s="187">
        <f>'D3'!E7 + $R$5</f>
        <v>8.7096751753610646E-2</v>
      </c>
      <c r="S24" s="186"/>
      <c r="T24" s="185"/>
      <c r="U24" s="185"/>
      <c r="V24" s="186"/>
      <c r="W24" s="186"/>
      <c r="X24" s="185"/>
      <c r="Y24" s="185"/>
      <c r="Z24" s="186"/>
      <c r="AA24" s="185"/>
      <c r="AB24" s="185"/>
      <c r="AC24" s="186"/>
      <c r="AD24" s="185"/>
      <c r="AE24" s="185"/>
      <c r="AF24" s="186"/>
      <c r="AG24" s="186"/>
      <c r="AH24" s="185"/>
      <c r="AI24" s="186"/>
      <c r="AJ24" s="186"/>
      <c r="AK24" s="186"/>
      <c r="AL24" s="186"/>
    </row>
    <row r="25" spans="1:38" s="184" customFormat="1">
      <c r="A25" s="183"/>
      <c r="B25" s="181" t="s">
        <v>151</v>
      </c>
      <c r="C25" s="187">
        <f>'C4'!C21</f>
        <v>3.6966666666666669E-2</v>
      </c>
      <c r="D25" s="187">
        <f>'D3'!I8</f>
        <v>4.2387997941488287E-2</v>
      </c>
      <c r="E25" s="185"/>
      <c r="F25" s="185"/>
      <c r="G25" s="185"/>
      <c r="H25" s="185"/>
      <c r="I25" s="195">
        <f t="shared" si="2"/>
        <v>5.4213312748216183E-3</v>
      </c>
      <c r="J25" s="187">
        <f t="shared" si="1"/>
        <v>4.2387997941488287E-2</v>
      </c>
      <c r="K25" s="186"/>
      <c r="L25" s="185"/>
      <c r="M25" s="186"/>
      <c r="N25" s="186"/>
      <c r="O25" s="186"/>
      <c r="P25" s="186"/>
      <c r="Q25" s="187">
        <f>'D3'!D8 + $R$5</f>
        <v>5.9753804366210694E-2</v>
      </c>
      <c r="R25" s="187">
        <f>'D3'!E8 + $R$5</f>
        <v>7.0499724834387212E-2</v>
      </c>
      <c r="S25" s="186"/>
      <c r="T25" s="185"/>
      <c r="U25" s="185"/>
      <c r="V25" s="186"/>
      <c r="W25" s="186"/>
      <c r="X25" s="185"/>
      <c r="Y25" s="185"/>
      <c r="Z25" s="186"/>
      <c r="AA25" s="185"/>
      <c r="AB25" s="185"/>
      <c r="AC25" s="186"/>
      <c r="AD25" s="185"/>
      <c r="AE25" s="185"/>
      <c r="AF25" s="186"/>
      <c r="AG25" s="186"/>
      <c r="AH25" s="185"/>
      <c r="AI25" s="186"/>
      <c r="AJ25" s="186"/>
      <c r="AK25" s="186"/>
      <c r="AL25" s="186"/>
    </row>
    <row r="26" spans="1:38" s="184" customFormat="1">
      <c r="A26" s="183"/>
      <c r="B26" s="181" t="s">
        <v>153</v>
      </c>
      <c r="C26" s="187">
        <f>'C4'!C22</f>
        <v>3.6554166666666672E-2</v>
      </c>
      <c r="D26" s="187">
        <f>'D3'!I9</f>
        <v>2.8066128758795994E-2</v>
      </c>
      <c r="E26" s="185"/>
      <c r="F26" s="185"/>
      <c r="G26" s="185"/>
      <c r="H26" s="185"/>
      <c r="I26" s="195">
        <f t="shared" si="2"/>
        <v>-8.4880379078706783E-3</v>
      </c>
      <c r="J26" s="187">
        <f t="shared" si="1"/>
        <v>2.8066128758795994E-2</v>
      </c>
      <c r="K26" s="186"/>
      <c r="L26" s="185"/>
      <c r="M26" s="186"/>
      <c r="N26" s="192">
        <v>0.7</v>
      </c>
      <c r="O26" s="186"/>
      <c r="P26" s="190">
        <v>6.5000000000000002E-2</v>
      </c>
      <c r="Q26" s="187">
        <f>'D3'!D9 + $R$5</f>
        <v>5.9000814656046785E-2</v>
      </c>
      <c r="R26" s="187">
        <f>'D3'!E9 + $R$5</f>
        <v>8.0954989349247441E-2</v>
      </c>
      <c r="S26" s="186"/>
      <c r="T26" s="185"/>
      <c r="U26" s="185"/>
      <c r="V26" s="185"/>
      <c r="W26" s="186"/>
      <c r="X26" s="185"/>
      <c r="Y26" s="185"/>
      <c r="Z26" s="185"/>
      <c r="AA26" s="185"/>
      <c r="AB26" s="185"/>
      <c r="AC26" s="186"/>
      <c r="AD26" s="185"/>
      <c r="AE26" s="185"/>
      <c r="AF26" s="185"/>
      <c r="AG26" s="186"/>
      <c r="AH26" s="185"/>
      <c r="AI26" s="186"/>
      <c r="AJ26" s="186"/>
      <c r="AK26" s="186"/>
      <c r="AL26" s="186"/>
    </row>
    <row r="27" spans="1:38" s="184" customFormat="1">
      <c r="A27" s="183"/>
      <c r="B27" s="181" t="s">
        <v>155</v>
      </c>
      <c r="C27" s="187">
        <f>'C4'!C23</f>
        <v>2.7099999999999999E-2</v>
      </c>
      <c r="D27" s="187">
        <f>'D3'!I10</f>
        <v>2.8806852069848787E-2</v>
      </c>
      <c r="E27" s="185"/>
      <c r="F27" s="185"/>
      <c r="G27" s="185"/>
      <c r="H27" s="185"/>
      <c r="I27" s="195">
        <f t="shared" si="2"/>
        <v>1.7068520698487882E-3</v>
      </c>
      <c r="J27" s="187">
        <f t="shared" si="1"/>
        <v>2.8806852069848787E-2</v>
      </c>
      <c r="K27" s="186"/>
      <c r="L27" s="185"/>
      <c r="M27" s="186"/>
      <c r="N27" s="192">
        <v>0.7</v>
      </c>
      <c r="O27" s="186"/>
      <c r="P27" s="190">
        <v>6.5000000000000002E-2</v>
      </c>
      <c r="Q27" s="187">
        <f>'D3'!D10 + $R$5</f>
        <v>5.7184630962362037E-2</v>
      </c>
      <c r="R27" s="187">
        <f>'D3'!E10 + $R$5</f>
        <v>8.2731968608934114E-2</v>
      </c>
      <c r="S27" s="186"/>
      <c r="T27" s="185"/>
      <c r="U27" s="185"/>
      <c r="V27" s="185"/>
      <c r="W27" s="186"/>
      <c r="X27" s="185"/>
      <c r="Y27" s="185"/>
      <c r="Z27" s="185"/>
      <c r="AA27" s="185"/>
      <c r="AB27" s="185"/>
      <c r="AC27" s="186"/>
      <c r="AD27" s="185"/>
      <c r="AE27" s="185"/>
      <c r="AF27" s="185"/>
      <c r="AG27" s="186"/>
      <c r="AH27" s="185"/>
      <c r="AI27" s="186"/>
      <c r="AJ27" s="186"/>
      <c r="AK27" s="186"/>
      <c r="AL27" s="186"/>
    </row>
    <row r="28" spans="1:38" s="184" customFormat="1">
      <c r="A28" s="183"/>
      <c r="B28" s="181" t="s">
        <v>157</v>
      </c>
      <c r="C28" s="187">
        <f>'C4'!C24</f>
        <v>2.3337499999999997E-2</v>
      </c>
      <c r="D28" s="187">
        <f>'D3'!I11</f>
        <v>2.7619351010996329E-2</v>
      </c>
      <c r="E28" s="185"/>
      <c r="F28" s="185"/>
      <c r="G28" s="185"/>
      <c r="H28" s="185"/>
      <c r="I28" s="195">
        <f t="shared" si="2"/>
        <v>4.281851010996332E-3</v>
      </c>
      <c r="J28" s="187">
        <f t="shared" si="1"/>
        <v>2.7619351010996329E-2</v>
      </c>
      <c r="K28" s="186"/>
      <c r="L28" s="185"/>
      <c r="M28" s="186"/>
      <c r="N28" s="192">
        <v>0.7</v>
      </c>
      <c r="O28" s="186"/>
      <c r="P28" s="190">
        <v>6.5000000000000002E-2</v>
      </c>
      <c r="Q28" s="187">
        <f>'D3'!D11 + $R$5</f>
        <v>5.9056670140325007E-2</v>
      </c>
      <c r="R28" s="187">
        <f>'D3'!E11 + $R$5</f>
        <v>7.6105493991882045E-2</v>
      </c>
      <c r="S28" s="186"/>
      <c r="T28" s="185"/>
      <c r="U28" s="185"/>
      <c r="V28" s="185"/>
      <c r="W28" s="186"/>
      <c r="X28" s="185"/>
      <c r="Y28" s="185"/>
      <c r="Z28" s="185"/>
      <c r="AA28" s="185"/>
      <c r="AB28" s="185"/>
      <c r="AC28" s="186"/>
      <c r="AD28" s="185"/>
      <c r="AE28" s="185"/>
      <c r="AF28" s="185"/>
      <c r="AG28" s="186"/>
      <c r="AH28" s="185"/>
      <c r="AI28" s="186"/>
      <c r="AJ28" s="186"/>
      <c r="AK28" s="186"/>
      <c r="AL28" s="186"/>
    </row>
    <row r="29" spans="1:38" s="184" customFormat="1">
      <c r="A29" s="183"/>
      <c r="B29" s="181" t="s">
        <v>159</v>
      </c>
      <c r="C29" s="187">
        <f>'C4'!C25</f>
        <v>2.6389583333333331E-2</v>
      </c>
      <c r="D29" s="187">
        <f>'D3'!I12</f>
        <v>2.65469617196743E-2</v>
      </c>
      <c r="E29" s="185"/>
      <c r="F29" s="185"/>
      <c r="G29" s="185"/>
      <c r="H29" s="185"/>
      <c r="I29" s="195">
        <f t="shared" si="2"/>
        <v>1.5737838634096932E-4</v>
      </c>
      <c r="J29" s="187">
        <f t="shared" si="1"/>
        <v>2.65469617196743E-2</v>
      </c>
      <c r="K29" s="186"/>
      <c r="L29" s="185"/>
      <c r="M29" s="186"/>
      <c r="N29" s="192">
        <v>0.7</v>
      </c>
      <c r="O29" s="186"/>
      <c r="P29" s="190">
        <v>6.5000000000000002E-2</v>
      </c>
      <c r="Q29" s="187">
        <f>'D3'!D12 + $R$5</f>
        <v>6.103917857154495E-2</v>
      </c>
      <c r="R29" s="187">
        <f>'D3'!E12 + $R$5</f>
        <v>7.2589608740583594E-2</v>
      </c>
      <c r="S29" s="186"/>
      <c r="T29" s="185"/>
      <c r="U29" s="185"/>
      <c r="V29" s="185"/>
      <c r="W29" s="186"/>
      <c r="X29" s="185"/>
      <c r="Y29" s="185"/>
      <c r="Z29" s="185"/>
      <c r="AA29" s="185"/>
      <c r="AB29" s="185"/>
      <c r="AC29" s="186"/>
      <c r="AD29" s="185"/>
      <c r="AE29" s="185"/>
      <c r="AF29" s="185"/>
      <c r="AG29" s="186"/>
      <c r="AH29" s="185"/>
      <c r="AI29" s="186"/>
      <c r="AJ29" s="186"/>
      <c r="AK29" s="186"/>
      <c r="AL29" s="186"/>
    </row>
    <row r="30" spans="1:38" s="184" customFormat="1">
      <c r="A30" s="183"/>
      <c r="B30" s="181" t="s">
        <v>161</v>
      </c>
      <c r="C30" s="187">
        <f>'C4'!C26</f>
        <v>2.6841666666666666E-2</v>
      </c>
      <c r="D30" s="187">
        <f>'D3'!I13</f>
        <v>2.3297379013228703E-2</v>
      </c>
      <c r="E30" s="185"/>
      <c r="F30" s="185"/>
      <c r="G30" s="185"/>
      <c r="H30" s="185"/>
      <c r="I30" s="195">
        <f t="shared" si="2"/>
        <v>-3.5442876534379636E-3</v>
      </c>
      <c r="J30" s="187">
        <f t="shared" si="1"/>
        <v>2.3297379013228703E-2</v>
      </c>
      <c r="K30" s="186"/>
      <c r="L30" s="185"/>
      <c r="M30" s="186"/>
      <c r="N30" s="192">
        <v>0.7</v>
      </c>
      <c r="O30" s="186"/>
      <c r="P30" s="190">
        <v>6.5000000000000002E-2</v>
      </c>
      <c r="Q30" s="187">
        <f>'D3'!D13 + $R$5</f>
        <v>5.7638293939136664E-2</v>
      </c>
      <c r="R30" s="187">
        <f>'D3'!E13 + $R$5</f>
        <v>7.2671452679568885E-2</v>
      </c>
      <c r="S30" s="186"/>
      <c r="T30" s="185"/>
      <c r="U30" s="185"/>
      <c r="V30" s="185"/>
      <c r="W30" s="186"/>
      <c r="X30" s="185"/>
      <c r="Y30" s="185"/>
      <c r="Z30" s="185"/>
      <c r="AA30" s="185"/>
      <c r="AB30" s="185"/>
      <c r="AC30" s="186"/>
      <c r="AD30" s="185"/>
      <c r="AE30" s="185"/>
      <c r="AF30" s="185"/>
      <c r="AG30" s="186"/>
      <c r="AH30" s="185"/>
      <c r="AI30" s="186"/>
      <c r="AJ30" s="186"/>
      <c r="AK30" s="186"/>
      <c r="AL30" s="186"/>
    </row>
    <row r="31" spans="1:38" s="184" customFormat="1">
      <c r="A31" s="183"/>
      <c r="B31" s="181" t="s">
        <v>163</v>
      </c>
      <c r="C31" s="187">
        <f>'C4'!C27</f>
        <v>1.4933333333333335E-2</v>
      </c>
      <c r="D31" s="187">
        <f>'D3'!I14</f>
        <v>1.378029901781086E-2</v>
      </c>
      <c r="E31" s="185"/>
      <c r="F31" s="185"/>
      <c r="G31" s="185"/>
      <c r="H31" s="185"/>
      <c r="I31" s="195">
        <f t="shared" si="2"/>
        <v>-1.1530343155224752E-3</v>
      </c>
      <c r="J31" s="187">
        <f t="shared" si="1"/>
        <v>1.378029901781086E-2</v>
      </c>
      <c r="K31" s="190">
        <v>2.7E-2</v>
      </c>
      <c r="L31" s="185"/>
      <c r="M31" s="186"/>
      <c r="N31" s="193">
        <v>0.6</v>
      </c>
      <c r="O31" s="186"/>
      <c r="P31" s="190">
        <v>6.0999999999999999E-2</v>
      </c>
      <c r="Q31" s="187">
        <f>'D3'!D14 + $R$5</f>
        <v>6.3730436341936425E-2</v>
      </c>
      <c r="R31" s="187">
        <f>'D3'!E14 + $R$5</f>
        <v>7.4925263309337353E-2</v>
      </c>
      <c r="S31" s="186"/>
      <c r="T31" s="185"/>
      <c r="U31" s="185"/>
      <c r="V31" s="185"/>
      <c r="W31" s="186"/>
      <c r="X31" s="185"/>
      <c r="Y31" s="185"/>
      <c r="Z31" s="185"/>
      <c r="AA31" s="185"/>
      <c r="AB31" s="185"/>
      <c r="AC31" s="186"/>
      <c r="AD31" s="185"/>
      <c r="AE31" s="185"/>
      <c r="AF31" s="185"/>
      <c r="AG31" s="186"/>
      <c r="AH31" s="185"/>
      <c r="AI31" s="186"/>
      <c r="AJ31" s="186"/>
      <c r="AK31" s="186"/>
      <c r="AL31" s="186"/>
    </row>
    <row r="32" spans="1:38" s="184" customFormat="1">
      <c r="A32" s="183"/>
      <c r="B32" s="181" t="s">
        <v>165</v>
      </c>
      <c r="C32" s="187">
        <f>'C4'!C28</f>
        <v>9.208333333333334E-3</v>
      </c>
      <c r="D32" s="187">
        <f>'D3'!I15</f>
        <v>9.7428466309172901E-3</v>
      </c>
      <c r="E32" s="185"/>
      <c r="F32" s="185"/>
      <c r="G32" s="185"/>
      <c r="H32" s="185"/>
      <c r="I32" s="195">
        <f t="shared" si="2"/>
        <v>5.3451329758395609E-4</v>
      </c>
      <c r="J32" s="187">
        <f t="shared" si="1"/>
        <v>9.7428466309172901E-3</v>
      </c>
      <c r="K32" s="190">
        <v>9.4000000000000004E-3</v>
      </c>
      <c r="L32" s="185"/>
      <c r="M32" s="186"/>
      <c r="N32" s="193">
        <v>0.6</v>
      </c>
      <c r="O32" s="186"/>
      <c r="P32" s="190">
        <v>6.0999999999999999E-2</v>
      </c>
      <c r="Q32" s="187">
        <f>'D3'!D15 + $R$5</f>
        <v>6.2718173702204227E-2</v>
      </c>
      <c r="R32" s="187">
        <f>'D3'!E15 + $R$5</f>
        <v>9.4891534565962027E-2</v>
      </c>
      <c r="S32" s="186"/>
      <c r="T32" s="185"/>
      <c r="U32" s="185"/>
      <c r="V32" s="185"/>
      <c r="W32" s="186"/>
      <c r="X32" s="185"/>
      <c r="Y32" s="185"/>
      <c r="Z32" s="185"/>
      <c r="AA32" s="185"/>
      <c r="AB32" s="185"/>
      <c r="AC32" s="186"/>
      <c r="AD32" s="185"/>
      <c r="AE32" s="185"/>
      <c r="AF32" s="185"/>
      <c r="AG32" s="186"/>
      <c r="AH32" s="185"/>
      <c r="AI32" s="186"/>
      <c r="AJ32" s="186"/>
      <c r="AK32" s="186"/>
      <c r="AL32" s="186"/>
    </row>
    <row r="33" spans="1:38" s="184" customFormat="1">
      <c r="A33" s="183"/>
      <c r="B33" s="181" t="s">
        <v>167</v>
      </c>
      <c r="C33" s="186"/>
      <c r="D33" s="187">
        <f>'D3'!I16</f>
        <v>1.6802965079398824E-2</v>
      </c>
      <c r="E33" s="185"/>
      <c r="F33" s="185"/>
      <c r="G33" s="185"/>
      <c r="H33" s="185"/>
      <c r="I33" s="186"/>
      <c r="J33" s="187">
        <f t="shared" si="1"/>
        <v>1.6802965079398824E-2</v>
      </c>
      <c r="K33" s="190">
        <v>9.1000000000000004E-3</v>
      </c>
      <c r="L33" s="185"/>
      <c r="M33" s="186"/>
      <c r="N33" s="193">
        <v>0.6</v>
      </c>
      <c r="O33" s="186"/>
      <c r="P33" s="190">
        <v>6.0999999999999999E-2</v>
      </c>
      <c r="Q33" s="187">
        <f>'D3'!D16 + $R$5</f>
        <v>6.5087110739404874E-2</v>
      </c>
      <c r="R33" s="187">
        <f>'D3'!E16 + $R$5</f>
        <v>6.8103523295571566E-2</v>
      </c>
      <c r="S33" s="186"/>
      <c r="T33" s="185"/>
      <c r="U33" s="185"/>
      <c r="V33" s="185"/>
      <c r="W33" s="186"/>
      <c r="X33" s="185"/>
      <c r="Y33" s="185"/>
      <c r="Z33" s="185"/>
      <c r="AA33" s="185"/>
      <c r="AB33" s="185"/>
      <c r="AC33" s="186"/>
      <c r="AD33" s="185"/>
      <c r="AE33" s="185"/>
      <c r="AF33" s="185"/>
      <c r="AG33" s="186"/>
      <c r="AH33" s="185"/>
      <c r="AI33" s="186"/>
      <c r="AJ33" s="186"/>
      <c r="AK33" s="186"/>
      <c r="AL33" s="186"/>
    </row>
    <row r="34" spans="1:38" s="184" customFormat="1">
      <c r="A34" s="183"/>
      <c r="B34" s="181">
        <v>2022</v>
      </c>
      <c r="C34" s="186"/>
      <c r="D34" s="187">
        <f>'D3'!I17</f>
        <v>2.1233522385201299E-2</v>
      </c>
      <c r="E34" s="185"/>
      <c r="F34" s="187">
        <f>G4 + G5</f>
        <v>2.1233522385201299E-2</v>
      </c>
      <c r="G34" s="187">
        <f>G4 + G5</f>
        <v>2.1233522385201299E-2</v>
      </c>
      <c r="H34" s="187">
        <f>G4 + G5</f>
        <v>2.1233522385201299E-2</v>
      </c>
      <c r="I34" s="186"/>
      <c r="J34" s="187">
        <f>G4 + G5</f>
        <v>2.1233522385201299E-2</v>
      </c>
      <c r="K34" s="191">
        <v>1.14E-2</v>
      </c>
      <c r="L34" s="185"/>
      <c r="M34" s="186"/>
      <c r="N34" s="194">
        <v>0.6</v>
      </c>
      <c r="O34" s="186"/>
      <c r="P34" s="191">
        <v>6.0999999999999999E-2</v>
      </c>
      <c r="Q34" s="187">
        <f>'D3'!D17 + $R$5</f>
        <v>6.5087110739404874E-2</v>
      </c>
      <c r="R34" s="187">
        <f>'D3'!E17 + $R$5</f>
        <v>6.1301521478342502E-2</v>
      </c>
      <c r="S34" s="186"/>
      <c r="T34" s="187">
        <f>$U$4+$R$5</f>
        <v>6.5087110739404874E-2</v>
      </c>
      <c r="U34" s="187">
        <f t="shared" ref="T34:V44" si="3">$U$4+$R$5</f>
        <v>6.5087110739404874E-2</v>
      </c>
      <c r="V34" s="187">
        <f t="shared" si="3"/>
        <v>6.5087110739404874E-2</v>
      </c>
      <c r="W34" s="186"/>
      <c r="X34" s="187">
        <f>'C5'!$Z$5  +  'C5'!$Z$4   *   F34    +   $R$5</f>
        <v>6.1301521478342495E-2</v>
      </c>
      <c r="Y34" s="187">
        <f>'C5'!$Z$5  +  'C5'!$Z$4   *   G34    +   $R$5</f>
        <v>6.1301521478342495E-2</v>
      </c>
      <c r="Z34" s="187">
        <f>'C5'!$Z$5  +  'C5'!$Z$4   *   H34    +   $R$5</f>
        <v>6.1301521478342495E-2</v>
      </c>
      <c r="AA34" s="187">
        <f>'C5'!$Z$5  +  'C5'!$Z$4   *   H34    +   $R$5</f>
        <v>6.1301521478342495E-2</v>
      </c>
      <c r="AB34" s="187">
        <f>'C5'!$Z$5  +  'C5'!$Z$4   *   H34    +   $R$5</f>
        <v>6.1301521478342495E-2</v>
      </c>
      <c r="AC34" s="186"/>
      <c r="AD34" s="187">
        <f>T34  * $AF$4  +  X34*$AF$5</f>
        <v>6.3194316108873688E-2</v>
      </c>
      <c r="AE34" s="187">
        <f t="shared" ref="AE34:AE44" si="4">U34  * $AF$4  +  Y34*$AF$5</f>
        <v>6.3194316108873688E-2</v>
      </c>
      <c r="AF34" s="187">
        <f t="shared" ref="AF34:AF44" si="5">V34  * $AF$4  +  Z34*$AF$5</f>
        <v>6.3194316108873688E-2</v>
      </c>
      <c r="AG34" s="187">
        <f t="shared" ref="AG34:AG44" si="6">V34  * $AF$4  +  AA34*$AF$5</f>
        <v>6.3194316108873688E-2</v>
      </c>
      <c r="AH34" s="187">
        <f t="shared" ref="AH34:AH44" si="7">U34  * $AF$4  +  AB34*$AF$5</f>
        <v>6.3194316108873688E-2</v>
      </c>
      <c r="AI34" s="186"/>
      <c r="AJ34" s="186"/>
      <c r="AK34" s="186"/>
      <c r="AL34" s="186"/>
    </row>
    <row r="35" spans="1:38" s="184" customFormat="1">
      <c r="A35" s="183"/>
      <c r="B35" s="181">
        <v>2023</v>
      </c>
      <c r="C35" s="186"/>
      <c r="D35" s="186"/>
      <c r="E35" s="189">
        <v>-6.0000000000000019E-3</v>
      </c>
      <c r="F35" s="187">
        <f t="shared" ref="F35:F44" si="8">F34+E35</f>
        <v>1.5233522385201297E-2</v>
      </c>
      <c r="G35" s="187">
        <f t="shared" ref="G35:G44" si="9">G34-E35</f>
        <v>2.7233522385201301E-2</v>
      </c>
      <c r="H35" s="187">
        <f t="shared" ref="H35:H44" si="10">AVERAGE(F35:G35)</f>
        <v>2.1233522385201299E-2</v>
      </c>
      <c r="I35" s="186"/>
      <c r="J35" s="185"/>
      <c r="K35" s="186"/>
      <c r="L35" s="186"/>
      <c r="M35" s="186"/>
      <c r="N35" s="188">
        <f>'C5'!$N$4</f>
        <v>0.6</v>
      </c>
      <c r="O35" s="186"/>
      <c r="P35" s="186"/>
      <c r="Q35" s="186"/>
      <c r="R35" s="186"/>
      <c r="S35" s="186"/>
      <c r="T35" s="187">
        <f t="shared" si="3"/>
        <v>6.5087110739404874E-2</v>
      </c>
      <c r="U35" s="187">
        <f t="shared" si="3"/>
        <v>6.5087110739404874E-2</v>
      </c>
      <c r="V35" s="187">
        <f t="shared" si="3"/>
        <v>6.5087110739404874E-2</v>
      </c>
      <c r="W35" s="186"/>
      <c r="X35" s="187">
        <f>'C5'!$Z$5  +  'C5'!$Z$4   *   F35    +   $R$5</f>
        <v>6.6101521478342501E-2</v>
      </c>
      <c r="Y35" s="187">
        <f>'C5'!$Z$5  +  'C5'!$Z$4   *   G35    +   $R$5</f>
        <v>5.650152147834249E-2</v>
      </c>
      <c r="Z35" s="187">
        <f>'C5'!$Z$5  +  'C5'!$Z$4   *   H35    +   $R$5</f>
        <v>6.1301521478342495E-2</v>
      </c>
      <c r="AA35" s="187">
        <f>AA34-0.3%</f>
        <v>5.8301521478342493E-2</v>
      </c>
      <c r="AB35" s="187">
        <f t="shared" ref="AB35:AB44" si="11">AB34+0.3%</f>
        <v>6.4301521478342491E-2</v>
      </c>
      <c r="AC35" s="186"/>
      <c r="AD35" s="187">
        <f t="shared" ref="AD35:AD44" si="12">T35  * $AF$4  +  X35*$AF$5</f>
        <v>6.5594316108873688E-2</v>
      </c>
      <c r="AE35" s="187">
        <f t="shared" si="4"/>
        <v>6.0794316108873682E-2</v>
      </c>
      <c r="AF35" s="187">
        <f t="shared" si="5"/>
        <v>6.3194316108873688E-2</v>
      </c>
      <c r="AG35" s="187">
        <f>V35  * $AF$4  +  AA35*$AF$5</f>
        <v>6.1694316108873687E-2</v>
      </c>
      <c r="AH35" s="187">
        <f t="shared" si="7"/>
        <v>6.469431610887369E-2</v>
      </c>
      <c r="AI35" s="186"/>
      <c r="AJ35" s="186"/>
      <c r="AK35" s="186"/>
      <c r="AL35" s="186"/>
    </row>
    <row r="36" spans="1:38" s="184" customFormat="1">
      <c r="A36" s="183"/>
      <c r="B36" s="181">
        <v>2024</v>
      </c>
      <c r="C36" s="186"/>
      <c r="D36" s="186"/>
      <c r="E36" s="189">
        <v>-4.5000000000000005E-3</v>
      </c>
      <c r="F36" s="187">
        <f t="shared" si="8"/>
        <v>1.0733522385201297E-2</v>
      </c>
      <c r="G36" s="187">
        <f t="shared" si="9"/>
        <v>3.1733522385201302E-2</v>
      </c>
      <c r="H36" s="187">
        <f t="shared" si="10"/>
        <v>2.1233522385201299E-2</v>
      </c>
      <c r="I36" s="186"/>
      <c r="J36" s="185"/>
      <c r="K36" s="185"/>
      <c r="L36" s="185"/>
      <c r="M36" s="186"/>
      <c r="N36" s="188">
        <f>'C5'!$N$4</f>
        <v>0.6</v>
      </c>
      <c r="O36" s="185"/>
      <c r="P36" s="185"/>
      <c r="Q36" s="186"/>
      <c r="R36" s="186"/>
      <c r="S36" s="186"/>
      <c r="T36" s="187">
        <f t="shared" si="3"/>
        <v>6.5087110739404874E-2</v>
      </c>
      <c r="U36" s="187">
        <f t="shared" si="3"/>
        <v>6.5087110739404874E-2</v>
      </c>
      <c r="V36" s="187">
        <f t="shared" si="3"/>
        <v>6.5087110739404874E-2</v>
      </c>
      <c r="W36" s="186"/>
      <c r="X36" s="187">
        <f>'C5'!$Z$5  +  'C5'!$Z$4   *   F36    +   $R$5</f>
        <v>6.9701521478342493E-2</v>
      </c>
      <c r="Y36" s="187">
        <f>'C5'!$Z$5  +  'C5'!$Z$4   *   G36    +   $R$5</f>
        <v>5.2901521478342498E-2</v>
      </c>
      <c r="Z36" s="187">
        <f>'C5'!$Z$5  +  'C5'!$Z$4   *   H36    +   $R$5</f>
        <v>6.1301521478342495E-2</v>
      </c>
      <c r="AA36" s="187">
        <f t="shared" ref="AA36:AA44" si="13">AA35-0.3%</f>
        <v>5.530152147834249E-2</v>
      </c>
      <c r="AB36" s="187">
        <f t="shared" si="11"/>
        <v>6.7301521478342494E-2</v>
      </c>
      <c r="AC36" s="186"/>
      <c r="AD36" s="187">
        <f t="shared" si="12"/>
        <v>6.7394316108873684E-2</v>
      </c>
      <c r="AE36" s="187">
        <f t="shared" si="4"/>
        <v>5.8994316108873686E-2</v>
      </c>
      <c r="AF36" s="187">
        <f t="shared" si="5"/>
        <v>6.3194316108873688E-2</v>
      </c>
      <c r="AG36" s="187">
        <f t="shared" si="6"/>
        <v>6.0194316108873686E-2</v>
      </c>
      <c r="AH36" s="187">
        <f t="shared" si="7"/>
        <v>6.6194316108873691E-2</v>
      </c>
      <c r="AI36" s="186"/>
      <c r="AJ36" s="186"/>
      <c r="AK36" s="186"/>
      <c r="AL36" s="186"/>
    </row>
    <row r="37" spans="1:38" s="184" customFormat="1">
      <c r="A37" s="183"/>
      <c r="B37" s="181">
        <v>2025</v>
      </c>
      <c r="C37" s="186"/>
      <c r="D37" s="186"/>
      <c r="E37" s="189">
        <v>-4.0000000000000001E-3</v>
      </c>
      <c r="F37" s="187">
        <f t="shared" si="8"/>
        <v>6.7335223852012967E-3</v>
      </c>
      <c r="G37" s="187">
        <f t="shared" si="9"/>
        <v>3.5733522385201305E-2</v>
      </c>
      <c r="H37" s="187">
        <f t="shared" si="10"/>
        <v>2.1233522385201299E-2</v>
      </c>
      <c r="I37" s="186"/>
      <c r="J37" s="185"/>
      <c r="K37" s="185"/>
      <c r="L37" s="185"/>
      <c r="M37" s="186"/>
      <c r="N37" s="188">
        <f>'C5'!$N$4</f>
        <v>0.6</v>
      </c>
      <c r="O37" s="185"/>
      <c r="P37" s="185"/>
      <c r="Q37" s="186"/>
      <c r="R37" s="186"/>
      <c r="S37" s="186"/>
      <c r="T37" s="187">
        <f t="shared" si="3"/>
        <v>6.5087110739404874E-2</v>
      </c>
      <c r="U37" s="187">
        <f t="shared" si="3"/>
        <v>6.5087110739404874E-2</v>
      </c>
      <c r="V37" s="187">
        <f t="shared" si="3"/>
        <v>6.5087110739404874E-2</v>
      </c>
      <c r="W37" s="186"/>
      <c r="X37" s="187">
        <f>'C5'!$Z$5  +  'C5'!$Z$4   *   F37    +   $R$5</f>
        <v>7.2901521478342501E-2</v>
      </c>
      <c r="Y37" s="187">
        <f>'C5'!$Z$5  +  'C5'!$Z$4   *   G37    +   $R$5</f>
        <v>4.9701521478342489E-2</v>
      </c>
      <c r="Z37" s="187">
        <f>'C5'!$Z$5  +  'C5'!$Z$4   *   H37    +   $R$5</f>
        <v>6.1301521478342495E-2</v>
      </c>
      <c r="AA37" s="187">
        <f t="shared" si="13"/>
        <v>5.2301521478342487E-2</v>
      </c>
      <c r="AB37" s="187">
        <f t="shared" si="11"/>
        <v>7.0301521478342496E-2</v>
      </c>
      <c r="AC37" s="186"/>
      <c r="AD37" s="187">
        <f t="shared" si="12"/>
        <v>6.8994316108873688E-2</v>
      </c>
      <c r="AE37" s="187">
        <f t="shared" si="4"/>
        <v>5.7394316108873682E-2</v>
      </c>
      <c r="AF37" s="187">
        <f t="shared" si="5"/>
        <v>6.3194316108873688E-2</v>
      </c>
      <c r="AG37" s="187">
        <f t="shared" si="6"/>
        <v>5.8694316108873684E-2</v>
      </c>
      <c r="AH37" s="187">
        <f t="shared" si="7"/>
        <v>6.7694316108873692E-2</v>
      </c>
      <c r="AI37" s="186"/>
      <c r="AJ37" s="186"/>
      <c r="AK37" s="186"/>
      <c r="AL37" s="186"/>
    </row>
    <row r="38" spans="1:38" s="184" customFormat="1">
      <c r="A38" s="183"/>
      <c r="B38" s="181">
        <v>2026</v>
      </c>
      <c r="C38" s="186"/>
      <c r="D38" s="186"/>
      <c r="E38" s="189">
        <v>-3.5999999999999999E-3</v>
      </c>
      <c r="F38" s="187">
        <f t="shared" si="8"/>
        <v>3.1335223852012968E-3</v>
      </c>
      <c r="G38" s="187">
        <f t="shared" si="9"/>
        <v>3.9333522385201304E-2</v>
      </c>
      <c r="H38" s="187">
        <f t="shared" si="10"/>
        <v>2.1233522385201299E-2</v>
      </c>
      <c r="I38" s="186"/>
      <c r="J38" s="185"/>
      <c r="K38" s="185"/>
      <c r="L38" s="185"/>
      <c r="M38" s="186"/>
      <c r="N38" s="188">
        <f>'C5'!$N$4</f>
        <v>0.6</v>
      </c>
      <c r="O38" s="185"/>
      <c r="P38" s="185"/>
      <c r="Q38" s="186"/>
      <c r="R38" s="186"/>
      <c r="S38" s="186"/>
      <c r="T38" s="187">
        <f t="shared" si="3"/>
        <v>6.5087110739404874E-2</v>
      </c>
      <c r="U38" s="187">
        <f t="shared" si="3"/>
        <v>6.5087110739404874E-2</v>
      </c>
      <c r="V38" s="187">
        <f t="shared" si="3"/>
        <v>6.5087110739404874E-2</v>
      </c>
      <c r="W38" s="186"/>
      <c r="X38" s="187">
        <f>'C5'!$Z$5  +  'C5'!$Z$4   *   F38    +   $R$5</f>
        <v>7.5781521478342495E-2</v>
      </c>
      <c r="Y38" s="187">
        <f>'C5'!$Z$5  +  'C5'!$Z$4   *   G38    +   $R$5</f>
        <v>4.6821521478342489E-2</v>
      </c>
      <c r="Z38" s="187">
        <f>'C5'!$Z$5  +  'C5'!$Z$4   *   H38    +   $R$5</f>
        <v>6.1301521478342495E-2</v>
      </c>
      <c r="AA38" s="187">
        <f t="shared" si="13"/>
        <v>4.9301521478342485E-2</v>
      </c>
      <c r="AB38" s="187">
        <f t="shared" si="11"/>
        <v>7.3301521478342499E-2</v>
      </c>
      <c r="AC38" s="186"/>
      <c r="AD38" s="187">
        <f t="shared" si="12"/>
        <v>7.0434316108873685E-2</v>
      </c>
      <c r="AE38" s="187">
        <f t="shared" si="4"/>
        <v>5.5954316108873678E-2</v>
      </c>
      <c r="AF38" s="187">
        <f t="shared" si="5"/>
        <v>6.3194316108873688E-2</v>
      </c>
      <c r="AG38" s="187">
        <f t="shared" si="6"/>
        <v>5.7194316108873683E-2</v>
      </c>
      <c r="AH38" s="187">
        <f t="shared" si="7"/>
        <v>6.9194316108873694E-2</v>
      </c>
      <c r="AI38" s="186"/>
      <c r="AJ38" s="186"/>
      <c r="AK38" s="186"/>
      <c r="AL38" s="186"/>
    </row>
    <row r="39" spans="1:38" s="184" customFormat="1">
      <c r="A39" s="183"/>
      <c r="B39" s="181">
        <v>2027</v>
      </c>
      <c r="C39" s="186"/>
      <c r="D39" s="186"/>
      <c r="E39" s="189">
        <v>-3.3E-3</v>
      </c>
      <c r="F39" s="187">
        <f t="shared" si="8"/>
        <v>-1.6647761479870321E-4</v>
      </c>
      <c r="G39" s="187">
        <f t="shared" si="9"/>
        <v>4.2633522385201301E-2</v>
      </c>
      <c r="H39" s="187">
        <f t="shared" si="10"/>
        <v>2.1233522385201299E-2</v>
      </c>
      <c r="I39" s="186"/>
      <c r="J39" s="185"/>
      <c r="K39" s="185"/>
      <c r="L39" s="185"/>
      <c r="M39" s="186"/>
      <c r="N39" s="188">
        <f>'C5'!$N$4</f>
        <v>0.6</v>
      </c>
      <c r="O39" s="185"/>
      <c r="P39" s="185"/>
      <c r="Q39" s="186"/>
      <c r="R39" s="186"/>
      <c r="S39" s="186"/>
      <c r="T39" s="187">
        <f t="shared" si="3"/>
        <v>6.5087110739404874E-2</v>
      </c>
      <c r="U39" s="187">
        <f t="shared" si="3"/>
        <v>6.5087110739404874E-2</v>
      </c>
      <c r="V39" s="187">
        <f t="shared" si="3"/>
        <v>6.5087110739404874E-2</v>
      </c>
      <c r="W39" s="186"/>
      <c r="X39" s="187">
        <f>'C5'!$Z$5  +  'C5'!$Z$4   *   F39    +   $R$5</f>
        <v>7.8421521478342499E-2</v>
      </c>
      <c r="Y39" s="187">
        <f>'C5'!$Z$5  +  'C5'!$Z$4   *   G39    +   $R$5</f>
        <v>4.4181521478342492E-2</v>
      </c>
      <c r="Z39" s="187">
        <f>'C5'!$Z$5  +  'C5'!$Z$4   *   H39    +   $R$5</f>
        <v>6.1301521478342495E-2</v>
      </c>
      <c r="AA39" s="187">
        <f t="shared" si="13"/>
        <v>4.6301521478342482E-2</v>
      </c>
      <c r="AB39" s="187">
        <f t="shared" si="11"/>
        <v>7.6301521478342502E-2</v>
      </c>
      <c r="AC39" s="186"/>
      <c r="AD39" s="187">
        <f t="shared" si="12"/>
        <v>7.1754316108873686E-2</v>
      </c>
      <c r="AE39" s="187">
        <f t="shared" si="4"/>
        <v>5.4634316108873683E-2</v>
      </c>
      <c r="AF39" s="187">
        <f t="shared" si="5"/>
        <v>6.3194316108873688E-2</v>
      </c>
      <c r="AG39" s="187">
        <f t="shared" si="6"/>
        <v>5.5694316108873682E-2</v>
      </c>
      <c r="AH39" s="187">
        <f t="shared" si="7"/>
        <v>7.0694316108873695E-2</v>
      </c>
      <c r="AI39" s="186"/>
      <c r="AJ39" s="186"/>
      <c r="AK39" s="186"/>
      <c r="AL39" s="186"/>
    </row>
    <row r="40" spans="1:38" s="184" customFormat="1">
      <c r="A40" s="183"/>
      <c r="B40" s="181">
        <v>2028</v>
      </c>
      <c r="C40" s="186"/>
      <c r="D40" s="186"/>
      <c r="E40" s="189">
        <v>-3.0000000000000001E-3</v>
      </c>
      <c r="F40" s="187">
        <f t="shared" si="8"/>
        <v>-3.1664776147987033E-3</v>
      </c>
      <c r="G40" s="187">
        <f t="shared" si="9"/>
        <v>4.5633522385201304E-2</v>
      </c>
      <c r="H40" s="187">
        <f t="shared" si="10"/>
        <v>2.1233522385201299E-2</v>
      </c>
      <c r="I40" s="186"/>
      <c r="J40" s="185"/>
      <c r="K40" s="185"/>
      <c r="L40" s="185"/>
      <c r="M40" s="186"/>
      <c r="N40" s="188">
        <f>'C5'!$N$4</f>
        <v>0.6</v>
      </c>
      <c r="O40" s="185"/>
      <c r="P40" s="185"/>
      <c r="Q40" s="186"/>
      <c r="R40" s="186"/>
      <c r="S40" s="186"/>
      <c r="T40" s="187">
        <f t="shared" si="3"/>
        <v>6.5087110739404874E-2</v>
      </c>
      <c r="U40" s="187">
        <f t="shared" si="3"/>
        <v>6.5087110739404874E-2</v>
      </c>
      <c r="V40" s="187">
        <f t="shared" si="3"/>
        <v>6.5087110739404874E-2</v>
      </c>
      <c r="W40" s="186"/>
      <c r="X40" s="187">
        <f>'C5'!$Z$5  +  'C5'!$Z$4   *   F40    +   $R$5</f>
        <v>8.0821521478342498E-2</v>
      </c>
      <c r="Y40" s="187">
        <f>'C5'!$Z$5  +  'C5'!$Z$4   *   G40    +   $R$5</f>
        <v>4.1781521478342493E-2</v>
      </c>
      <c r="Z40" s="187">
        <f>'C5'!$Z$5  +  'C5'!$Z$4   *   H40    +   $R$5</f>
        <v>6.1301521478342495E-2</v>
      </c>
      <c r="AA40" s="187">
        <f t="shared" si="13"/>
        <v>4.3301521478342479E-2</v>
      </c>
      <c r="AB40" s="187">
        <f t="shared" si="11"/>
        <v>7.9301521478342504E-2</v>
      </c>
      <c r="AC40" s="186"/>
      <c r="AD40" s="187">
        <f t="shared" si="12"/>
        <v>7.2954316108873679E-2</v>
      </c>
      <c r="AE40" s="187">
        <f t="shared" si="4"/>
        <v>5.3434316108873683E-2</v>
      </c>
      <c r="AF40" s="187">
        <f t="shared" si="5"/>
        <v>6.3194316108873688E-2</v>
      </c>
      <c r="AG40" s="187">
        <f t="shared" si="6"/>
        <v>5.419431610887368E-2</v>
      </c>
      <c r="AH40" s="187">
        <f t="shared" si="7"/>
        <v>7.2194316108873696E-2</v>
      </c>
      <c r="AI40" s="186"/>
      <c r="AJ40" s="186"/>
      <c r="AK40" s="186"/>
      <c r="AL40" s="186"/>
    </row>
    <row r="41" spans="1:38" s="184" customFormat="1">
      <c r="A41" s="183"/>
      <c r="B41" s="181">
        <v>2029</v>
      </c>
      <c r="C41" s="186"/>
      <c r="D41" s="186"/>
      <c r="E41" s="189">
        <v>-2.2000000000000001E-3</v>
      </c>
      <c r="F41" s="187">
        <f t="shared" si="8"/>
        <v>-5.366477614798703E-3</v>
      </c>
      <c r="G41" s="187">
        <f t="shared" si="9"/>
        <v>4.7833522385201305E-2</v>
      </c>
      <c r="H41" s="187">
        <f t="shared" si="10"/>
        <v>2.1233522385201299E-2</v>
      </c>
      <c r="I41" s="186"/>
      <c r="J41" s="185"/>
      <c r="K41" s="185"/>
      <c r="L41" s="185"/>
      <c r="M41" s="186"/>
      <c r="N41" s="188">
        <f>'C5'!$N$4</f>
        <v>0.6</v>
      </c>
      <c r="O41" s="185"/>
      <c r="P41" s="185"/>
      <c r="Q41" s="186"/>
      <c r="R41" s="186"/>
      <c r="S41" s="186"/>
      <c r="T41" s="187">
        <f t="shared" si="3"/>
        <v>6.5087110739404874E-2</v>
      </c>
      <c r="U41" s="187">
        <f t="shared" si="3"/>
        <v>6.5087110739404874E-2</v>
      </c>
      <c r="V41" s="187">
        <f t="shared" si="3"/>
        <v>6.5087110739404874E-2</v>
      </c>
      <c r="W41" s="186"/>
      <c r="X41" s="187">
        <f>'C5'!$Z$5  +  'C5'!$Z$4   *   F41    +   $R$5</f>
        <v>8.2581521478342496E-2</v>
      </c>
      <c r="Y41" s="187">
        <f>'C5'!$Z$5  +  'C5'!$Z$4   *   G41    +   $R$5</f>
        <v>4.0021521478342488E-2</v>
      </c>
      <c r="Z41" s="187">
        <f>'C5'!$Z$5  +  'C5'!$Z$4   *   H41    +   $R$5</f>
        <v>6.1301521478342495E-2</v>
      </c>
      <c r="AA41" s="187">
        <f t="shared" si="13"/>
        <v>4.0301521478342477E-2</v>
      </c>
      <c r="AB41" s="187">
        <f t="shared" si="11"/>
        <v>8.2301521478342507E-2</v>
      </c>
      <c r="AC41" s="186"/>
      <c r="AD41" s="187">
        <f t="shared" si="12"/>
        <v>7.3834316108873685E-2</v>
      </c>
      <c r="AE41" s="187">
        <f t="shared" si="4"/>
        <v>5.2554316108873678E-2</v>
      </c>
      <c r="AF41" s="187">
        <f t="shared" si="5"/>
        <v>6.3194316108873688E-2</v>
      </c>
      <c r="AG41" s="187">
        <f t="shared" si="6"/>
        <v>5.2694316108873679E-2</v>
      </c>
      <c r="AH41" s="187">
        <f t="shared" si="7"/>
        <v>7.3694316108873698E-2</v>
      </c>
      <c r="AI41" s="186"/>
      <c r="AJ41" s="186"/>
      <c r="AK41" s="186"/>
      <c r="AL41" s="186"/>
    </row>
    <row r="42" spans="1:38" s="184" customFormat="1">
      <c r="A42" s="183"/>
      <c r="B42" s="181">
        <v>2030</v>
      </c>
      <c r="C42" s="186"/>
      <c r="D42" s="186"/>
      <c r="E42" s="189">
        <v>-1.5E-3</v>
      </c>
      <c r="F42" s="187">
        <f t="shared" si="8"/>
        <v>-6.8664776147987026E-3</v>
      </c>
      <c r="G42" s="187">
        <f t="shared" si="9"/>
        <v>4.9333522385201306E-2</v>
      </c>
      <c r="H42" s="187">
        <f t="shared" si="10"/>
        <v>2.1233522385201303E-2</v>
      </c>
      <c r="I42" s="186"/>
      <c r="J42" s="185"/>
      <c r="K42" s="185"/>
      <c r="L42" s="185"/>
      <c r="M42" s="186"/>
      <c r="N42" s="188">
        <f>'C5'!$N$4</f>
        <v>0.6</v>
      </c>
      <c r="O42" s="185"/>
      <c r="P42" s="185"/>
      <c r="Q42" s="186"/>
      <c r="R42" s="186"/>
      <c r="S42" s="186"/>
      <c r="T42" s="187">
        <f t="shared" si="3"/>
        <v>6.5087110739404874E-2</v>
      </c>
      <c r="U42" s="187">
        <f t="shared" si="3"/>
        <v>6.5087110739404874E-2</v>
      </c>
      <c r="V42" s="187">
        <f t="shared" si="3"/>
        <v>6.5087110739404874E-2</v>
      </c>
      <c r="W42" s="186"/>
      <c r="X42" s="187">
        <f>'C5'!$Z$5  +  'C5'!$Z$4   *   F42    +   $R$5</f>
        <v>8.3781521478342502E-2</v>
      </c>
      <c r="Y42" s="187">
        <f>'C5'!$Z$5  +  'C5'!$Z$4   *   G42    +   $R$5</f>
        <v>3.8821521478342488E-2</v>
      </c>
      <c r="Z42" s="187">
        <f>'C5'!$Z$5  +  'C5'!$Z$4   *   H42    +   $R$5</f>
        <v>6.1301521478342488E-2</v>
      </c>
      <c r="AA42" s="187">
        <f t="shared" si="13"/>
        <v>3.7301521478342474E-2</v>
      </c>
      <c r="AB42" s="187">
        <f t="shared" si="11"/>
        <v>8.530152147834251E-2</v>
      </c>
      <c r="AC42" s="186"/>
      <c r="AD42" s="187">
        <f t="shared" si="12"/>
        <v>7.4434316108873688E-2</v>
      </c>
      <c r="AE42" s="187">
        <f t="shared" si="4"/>
        <v>5.1954316108873681E-2</v>
      </c>
      <c r="AF42" s="187">
        <f t="shared" si="5"/>
        <v>6.3194316108873688E-2</v>
      </c>
      <c r="AG42" s="187">
        <f t="shared" si="6"/>
        <v>5.1194316108873678E-2</v>
      </c>
      <c r="AH42" s="187">
        <f t="shared" si="7"/>
        <v>7.5194316108873699E-2</v>
      </c>
      <c r="AI42" s="186"/>
      <c r="AJ42" s="186"/>
      <c r="AK42" s="186"/>
      <c r="AL42" s="186"/>
    </row>
    <row r="43" spans="1:38" s="184" customFormat="1">
      <c r="A43" s="183"/>
      <c r="B43" s="181">
        <v>2031</v>
      </c>
      <c r="C43" s="186"/>
      <c r="D43" s="186"/>
      <c r="E43" s="189">
        <v>-1E-3</v>
      </c>
      <c r="F43" s="187">
        <f t="shared" si="8"/>
        <v>-7.8664776147987017E-3</v>
      </c>
      <c r="G43" s="187">
        <f t="shared" si="9"/>
        <v>5.0333522385201307E-2</v>
      </c>
      <c r="H43" s="187">
        <f t="shared" si="10"/>
        <v>2.1233522385201303E-2</v>
      </c>
      <c r="I43" s="186"/>
      <c r="J43" s="185"/>
      <c r="K43" s="185"/>
      <c r="L43" s="185"/>
      <c r="M43" s="186"/>
      <c r="N43" s="188">
        <f>'C5'!$N$4</f>
        <v>0.6</v>
      </c>
      <c r="O43" s="185"/>
      <c r="P43" s="185"/>
      <c r="Q43" s="186"/>
      <c r="R43" s="186"/>
      <c r="S43" s="186"/>
      <c r="T43" s="187">
        <f t="shared" si="3"/>
        <v>6.5087110739404874E-2</v>
      </c>
      <c r="U43" s="187">
        <f t="shared" si="3"/>
        <v>6.5087110739404874E-2</v>
      </c>
      <c r="V43" s="187">
        <f t="shared" si="3"/>
        <v>6.5087110739404874E-2</v>
      </c>
      <c r="W43" s="186"/>
      <c r="X43" s="187">
        <f>'C5'!$Z$5  +  'C5'!$Z$4   *   F43    +   $R$5</f>
        <v>8.4581521478342497E-2</v>
      </c>
      <c r="Y43" s="187">
        <f>'C5'!$Z$5  +  'C5'!$Z$4   *   G43    +   $R$5</f>
        <v>3.8021521478342486E-2</v>
      </c>
      <c r="Z43" s="187">
        <f>'C5'!$Z$5  +  'C5'!$Z$4   *   H43    +   $R$5</f>
        <v>6.1301521478342488E-2</v>
      </c>
      <c r="AA43" s="187">
        <f t="shared" si="13"/>
        <v>3.4301521478342471E-2</v>
      </c>
      <c r="AB43" s="187">
        <f t="shared" si="11"/>
        <v>8.8301521478342512E-2</v>
      </c>
      <c r="AC43" s="186"/>
      <c r="AD43" s="187">
        <f t="shared" si="12"/>
        <v>7.4834316108873686E-2</v>
      </c>
      <c r="AE43" s="187">
        <f t="shared" si="4"/>
        <v>5.1554316108873677E-2</v>
      </c>
      <c r="AF43" s="187">
        <f t="shared" si="5"/>
        <v>6.3194316108873688E-2</v>
      </c>
      <c r="AG43" s="187">
        <f t="shared" si="6"/>
        <v>4.9694316108873676E-2</v>
      </c>
      <c r="AH43" s="187">
        <f t="shared" si="7"/>
        <v>7.66943161088737E-2</v>
      </c>
      <c r="AI43" s="186"/>
      <c r="AJ43" s="186"/>
      <c r="AK43" s="186"/>
      <c r="AL43" s="186"/>
    </row>
    <row r="44" spans="1:38" s="184" customFormat="1">
      <c r="A44" s="183"/>
      <c r="B44" s="181">
        <v>2032</v>
      </c>
      <c r="C44" s="186"/>
      <c r="D44" s="186"/>
      <c r="E44" s="189">
        <v>-8.9999999999999998E-4</v>
      </c>
      <c r="F44" s="187">
        <f t="shared" si="8"/>
        <v>-8.7664776147987015E-3</v>
      </c>
      <c r="G44" s="187">
        <f t="shared" si="9"/>
        <v>5.1233522385201305E-2</v>
      </c>
      <c r="H44" s="187">
        <f t="shared" si="10"/>
        <v>2.1233522385201303E-2</v>
      </c>
      <c r="I44" s="186"/>
      <c r="J44" s="185"/>
      <c r="K44" s="185"/>
      <c r="L44" s="185"/>
      <c r="M44" s="186"/>
      <c r="N44" s="188">
        <f>'C5'!$N$4</f>
        <v>0.6</v>
      </c>
      <c r="O44" s="185"/>
      <c r="P44" s="185"/>
      <c r="Q44" s="186"/>
      <c r="R44" s="186"/>
      <c r="S44" s="186"/>
      <c r="T44" s="187">
        <f t="shared" si="3"/>
        <v>6.5087110739404874E-2</v>
      </c>
      <c r="U44" s="187">
        <f t="shared" si="3"/>
        <v>6.5087110739404874E-2</v>
      </c>
      <c r="V44" s="187">
        <f t="shared" si="3"/>
        <v>6.5087110739404874E-2</v>
      </c>
      <c r="W44" s="186"/>
      <c r="X44" s="187">
        <f>'C5'!$Z$5  +  'C5'!$Z$4   *   F44    +   $R$5</f>
        <v>8.5301521478342496E-2</v>
      </c>
      <c r="Y44" s="187">
        <f>'C5'!$Z$5  +  'C5'!$Z$4   *   G44    +   $R$5</f>
        <v>3.7301521478342488E-2</v>
      </c>
      <c r="Z44" s="187">
        <f>'C5'!$Z$5  +  'C5'!$Z$4   *   H44    +   $R$5</f>
        <v>6.1301521478342488E-2</v>
      </c>
      <c r="AA44" s="187">
        <f t="shared" si="13"/>
        <v>3.1301521478342469E-2</v>
      </c>
      <c r="AB44" s="187">
        <f t="shared" si="11"/>
        <v>9.1301521478342515E-2</v>
      </c>
      <c r="AC44" s="186"/>
      <c r="AD44" s="187">
        <f t="shared" si="12"/>
        <v>7.5194316108873685E-2</v>
      </c>
      <c r="AE44" s="187">
        <f t="shared" si="4"/>
        <v>5.1194316108873678E-2</v>
      </c>
      <c r="AF44" s="187">
        <f t="shared" si="5"/>
        <v>6.3194316108873688E-2</v>
      </c>
      <c r="AG44" s="187">
        <f t="shared" si="6"/>
        <v>4.8194316108873675E-2</v>
      </c>
      <c r="AH44" s="187">
        <f t="shared" si="7"/>
        <v>7.8194316108873702E-2</v>
      </c>
      <c r="AI44" s="186"/>
      <c r="AJ44" s="186"/>
      <c r="AK44" s="186"/>
      <c r="AL44" s="186"/>
    </row>
    <row r="45" spans="1:38">
      <c r="E45" s="38"/>
    </row>
    <row r="46" spans="1:38">
      <c r="E46" s="38"/>
    </row>
    <row r="47" spans="1:38">
      <c r="B47" s="260" t="s">
        <v>527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</row>
    <row r="48" spans="1:38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</sheetData>
  <hyperlinks>
    <hyperlink ref="P29" r:id="rId1" location="page=11" display="https://www.aer.gov.au/system/files/AER Explanatory statement - rate of return guideline - December 2013.pdf - page=11" xr:uid="{AA2E87AF-B4F9-7148-A43F-39BF7DE26B37}"/>
    <hyperlink ref="N26" r:id="rId2" location="page=11" display="https://www.aer.gov.au/system/files/AER Explanatory statement - rate of return guideline - December 2013.pdf - page=11" xr:uid="{5566803C-3D83-1947-A8B0-1EF2230FC61B}"/>
    <hyperlink ref="P30" r:id="rId3" location="page=11" display="https://www.aer.gov.au/system/files/AER Explanatory statement - rate of return guideline - December 2013.pdf - page=11" xr:uid="{15EDED37-F9FA-5A48-891F-E160787B2FE7}"/>
    <hyperlink ref="N31:N34" r:id="rId4" location="page=11" display="https://www.aer.gov.au/system/files/AER Explanatory statement - rate of return guideline - December 2013.pdf - page=11" xr:uid="{54928D7B-26D7-1B4D-B98D-18EEDE793521}"/>
    <hyperlink ref="N27:N30" r:id="rId5" location="page=11" display="https://www.aer.gov.au/system/files/AER Explanatory statement - rate of return guideline - December 2013.pdf - page=11" xr:uid="{9F787126-EAEB-7A40-81A6-F1FEC1C04748}"/>
    <hyperlink ref="K31" r:id="rId6" location="page=6" display="https://www.aer.gov.au/system/files/Rate%20of%20return%20annual%20update%20-%20December%202021.pdf#page=6" xr:uid="{1A4306CB-CAA8-E641-9984-CFB001377C42}"/>
    <hyperlink ref="K34" r:id="rId7" location="page=6" display="https://www.aer.gov.au/system/files/Rate%20of%20return%20annual%20update%20-%20December%202021.pdf#page=6" xr:uid="{88CC1A82-114D-4942-AFE6-4D8816CD003D}"/>
    <hyperlink ref="K33" r:id="rId8" location="page=6" display="https://www.aer.gov.au/system/files/Rate%20of%20return%20annual%20update%20-%20December%202021.pdf#page=6" xr:uid="{BB54F1BB-DADB-E944-B93A-AB3238C91206}"/>
    <hyperlink ref="K32" r:id="rId9" location="page=6" display="https://www.aer.gov.au/system/files/Rate%20of%20return%20annual%20update%20-%20December%202021.pdf#page=6" xr:uid="{744C8419-73A4-0E49-BFE9-8E44B3DDBEC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7395-661E-8A4F-BB56-C7AC8C1A2FD3}">
  <sheetPr>
    <tabColor theme="5" tint="0.79998168889431442"/>
  </sheetPr>
  <dimension ref="A1:AZ73"/>
  <sheetViews>
    <sheetView showGridLines="0" zoomScale="70" zoomScaleNormal="70" workbookViewId="0">
      <pane xSplit="2" ySplit="6" topLeftCell="C24" activePane="bottomRight" state="frozen"/>
      <selection activeCell="B2" sqref="B2"/>
      <selection pane="topRight" activeCell="B2" sqref="B2"/>
      <selection pane="bottomLeft" activeCell="B2" sqref="B2"/>
      <selection pane="bottomRight" activeCell="X38" sqref="X38"/>
    </sheetView>
  </sheetViews>
  <sheetFormatPr defaultColWidth="0" defaultRowHeight="15" zeroHeight="1" outlineLevelRow="1"/>
  <cols>
    <col min="1" max="1" width="5.28515625" style="36" customWidth="1"/>
    <col min="2" max="2" width="6" style="36" bestFit="1" customWidth="1"/>
    <col min="3" max="3" width="5.28515625" style="36" customWidth="1"/>
    <col min="4" max="4" width="18.85546875" style="36" customWidth="1"/>
    <col min="5" max="5" width="12.7109375" style="36" customWidth="1"/>
    <col min="6" max="6" width="9.7109375" style="36" customWidth="1"/>
    <col min="7" max="7" width="14" style="36" customWidth="1"/>
    <col min="8" max="8" width="7.7109375" style="36" customWidth="1"/>
    <col min="9" max="9" width="17" style="36" bestFit="1" customWidth="1"/>
    <col min="10" max="10" width="12.7109375" style="36" customWidth="1"/>
    <col min="11" max="11" width="9.85546875" style="36" bestFit="1" customWidth="1"/>
    <col min="12" max="12" width="7.7109375" style="36" bestFit="1" customWidth="1"/>
    <col min="13" max="13" width="10" style="36" bestFit="1" customWidth="1"/>
    <col min="14" max="14" width="7.28515625" style="36" bestFit="1" customWidth="1"/>
    <col min="15" max="16" width="5.42578125" style="36" customWidth="1"/>
    <col min="17" max="18" width="7.28515625" style="36" customWidth="1"/>
    <col min="19" max="19" width="6.85546875" style="36" customWidth="1"/>
    <col min="20" max="20" width="8.7109375" style="36" bestFit="1" customWidth="1"/>
    <col min="21" max="21" width="3" style="36" customWidth="1"/>
    <col min="22" max="22" width="8.42578125" style="36" customWidth="1"/>
    <col min="23" max="24" width="7.28515625" style="36" customWidth="1"/>
    <col min="25" max="28" width="5.28515625" style="36" customWidth="1"/>
    <col min="29" max="29" width="9.7109375" style="36" bestFit="1" customWidth="1"/>
    <col min="30" max="30" width="6.42578125" style="36" bestFit="1" customWidth="1"/>
    <col min="31" max="37" width="10.140625" style="36" customWidth="1"/>
    <col min="38" max="38" width="13" style="36" hidden="1" customWidth="1"/>
    <col min="39" max="40" width="6.85546875" style="36" hidden="1" customWidth="1"/>
    <col min="41" max="41" width="5.42578125" style="36" hidden="1" customWidth="1"/>
    <col min="42" max="42" width="5.7109375" style="36" hidden="1" customWidth="1"/>
    <col min="43" max="43" width="8.7109375" style="36" hidden="1" customWidth="1"/>
    <col min="44" max="45" width="6.85546875" style="36" hidden="1" customWidth="1"/>
    <col min="46" max="46" width="5.42578125" style="36" hidden="1" customWidth="1"/>
    <col min="47" max="47" width="6.140625" style="36" hidden="1" customWidth="1"/>
    <col min="48" max="48" width="8" style="36" hidden="1" customWidth="1"/>
    <col min="49" max="49" width="6.140625" style="36" hidden="1" customWidth="1"/>
    <col min="50" max="50" width="7.140625" style="36" hidden="1" customWidth="1"/>
    <col min="51" max="51" width="5.42578125" style="36" hidden="1" customWidth="1"/>
    <col min="52" max="52" width="5.28515625" style="36" hidden="1" customWidth="1"/>
    <col min="53" max="16384" width="0" style="12" hidden="1"/>
  </cols>
  <sheetData>
    <row r="1" spans="1:52" s="90" customFormat="1" ht="26.25">
      <c r="A1" s="88"/>
      <c r="B1" s="89" t="s">
        <v>492</v>
      </c>
      <c r="C1" s="89"/>
      <c r="D1" s="89"/>
      <c r="H1" s="88"/>
      <c r="J1" s="88"/>
    </row>
    <row r="2" spans="1:52" s="14" customFormat="1" ht="21">
      <c r="B2" s="60"/>
      <c r="C2" s="60"/>
      <c r="D2" s="60"/>
    </row>
    <row r="3" spans="1:52" ht="21">
      <c r="G3" s="37" t="str">
        <f>'C5'!F5</f>
        <v>RFR TERM adjust</v>
      </c>
      <c r="H3" s="200">
        <f>'C5'!G5</f>
        <v>0</v>
      </c>
      <c r="I3" s="36" t="s">
        <v>63</v>
      </c>
      <c r="J3" s="201">
        <f>'C5'!G5 + 'C5'!N4  *'C5'!R5</f>
        <v>0</v>
      </c>
      <c r="L3" s="36" t="s">
        <v>64</v>
      </c>
      <c r="M3" s="36" t="s">
        <v>65</v>
      </c>
      <c r="P3" s="37"/>
      <c r="Q3" s="36" t="s">
        <v>66</v>
      </c>
      <c r="W3" s="14"/>
      <c r="X3" s="14"/>
      <c r="AQ3" s="208"/>
    </row>
    <row r="4" spans="1:52" ht="21">
      <c r="G4" s="37" t="str">
        <f>'C5'!Q5</f>
        <v>MRP TERM adjust</v>
      </c>
      <c r="H4" s="200">
        <f>'C5'!R5</f>
        <v>0</v>
      </c>
      <c r="P4" s="37"/>
      <c r="Q4" s="41"/>
      <c r="R4" s="37"/>
      <c r="W4" s="14"/>
      <c r="X4" s="14"/>
    </row>
    <row r="5" spans="1:52" ht="21">
      <c r="G5" s="37"/>
      <c r="H5" s="39"/>
      <c r="P5" s="37"/>
      <c r="Q5" s="41"/>
      <c r="R5" s="37"/>
      <c r="S5" s="40"/>
      <c r="T5" s="38"/>
      <c r="W5" s="14"/>
      <c r="X5" s="14"/>
    </row>
    <row r="6" spans="1:52" s="182" customFormat="1" ht="45">
      <c r="A6" s="180"/>
      <c r="B6" s="180" t="s">
        <v>46</v>
      </c>
      <c r="C6" s="180"/>
      <c r="D6" s="180" t="s">
        <v>28</v>
      </c>
      <c r="E6" s="180" t="s">
        <v>29</v>
      </c>
      <c r="F6" s="180" t="s">
        <v>67</v>
      </c>
      <c r="G6" s="180" t="s">
        <v>68</v>
      </c>
      <c r="H6" s="180" t="s">
        <v>69</v>
      </c>
      <c r="I6" s="180" t="s">
        <v>70</v>
      </c>
      <c r="J6" s="180" t="s">
        <v>71</v>
      </c>
      <c r="K6" s="181"/>
      <c r="L6" s="180" t="s">
        <v>72</v>
      </c>
      <c r="M6" s="180" t="s">
        <v>73</v>
      </c>
      <c r="N6" s="180" t="s">
        <v>74</v>
      </c>
      <c r="O6" s="180"/>
      <c r="P6" s="181"/>
      <c r="Q6" s="180" t="s">
        <v>72</v>
      </c>
      <c r="R6" s="180" t="s">
        <v>73</v>
      </c>
      <c r="S6" s="180" t="s">
        <v>74</v>
      </c>
      <c r="T6" s="180"/>
      <c r="U6" s="181"/>
      <c r="V6" s="180"/>
      <c r="W6" s="14"/>
      <c r="X6" s="14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</row>
    <row r="7" spans="1:52" ht="21" hidden="1" outlineLevel="1">
      <c r="B7" s="203" t="s">
        <v>117</v>
      </c>
      <c r="C7" s="204"/>
      <c r="D7" s="204"/>
      <c r="E7" s="204"/>
      <c r="F7" s="204"/>
      <c r="G7" s="204"/>
      <c r="H7" s="205">
        <f>'C5'!C8  +  'C5'!N8   *'C5'!Q8</f>
        <v>8.2092070574988199E-2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14"/>
      <c r="X7" s="1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</row>
    <row r="8" spans="1:52" ht="21" hidden="1" outlineLevel="1">
      <c r="B8" s="203" t="s">
        <v>119</v>
      </c>
      <c r="C8" s="204"/>
      <c r="D8" s="204"/>
      <c r="E8" s="204"/>
      <c r="F8" s="204"/>
      <c r="G8" s="204"/>
      <c r="H8" s="205">
        <f>'C5'!C9  +  'C5'!N9   *'C5'!Q9</f>
        <v>6.9549185438893699E-2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14"/>
      <c r="X8" s="1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</row>
    <row r="9" spans="1:52" ht="21" hidden="1" outlineLevel="1">
      <c r="B9" s="203" t="s">
        <v>121</v>
      </c>
      <c r="C9" s="204"/>
      <c r="D9" s="204"/>
      <c r="E9" s="204"/>
      <c r="F9" s="204"/>
      <c r="G9" s="204"/>
      <c r="H9" s="205">
        <f>'C5'!C10  +  'C5'!N10   *'C5'!Q10</f>
        <v>5.492970528264008E-2</v>
      </c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14"/>
      <c r="X9" s="1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</row>
    <row r="10" spans="1:52" ht="21" hidden="1" outlineLevel="1">
      <c r="B10" s="203" t="s">
        <v>123</v>
      </c>
      <c r="C10" s="204"/>
      <c r="D10" s="204"/>
      <c r="E10" s="204"/>
      <c r="F10" s="204"/>
      <c r="G10" s="204"/>
      <c r="H10" s="205">
        <f>'C5'!C11  +  'C5'!N11   *'C5'!Q11</f>
        <v>6.0093119429832843E-2</v>
      </c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14"/>
      <c r="X10" s="1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</row>
    <row r="11" spans="1:52" ht="21" hidden="1" outlineLevel="1">
      <c r="B11" s="203" t="s">
        <v>125</v>
      </c>
      <c r="C11" s="204"/>
      <c r="D11" s="204"/>
      <c r="E11" s="204"/>
      <c r="F11" s="204"/>
      <c r="G11" s="204"/>
      <c r="H11" s="205">
        <f>'C5'!C12  +  'C5'!N12   *'C5'!Q12</f>
        <v>6.3145693344080586E-2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14"/>
      <c r="X11" s="1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</row>
    <row r="12" spans="1:52" ht="21" hidden="1" outlineLevel="1">
      <c r="B12" s="203" t="s">
        <v>127</v>
      </c>
      <c r="C12" s="204"/>
      <c r="D12" s="204"/>
      <c r="E12" s="204"/>
      <c r="F12" s="204"/>
      <c r="G12" s="204"/>
      <c r="H12" s="205">
        <f>'C5'!C13  +  'C5'!N13   *'C5'!Q13</f>
        <v>5.6152643284072074E-2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14"/>
      <c r="X12" s="1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</row>
    <row r="13" spans="1:52" ht="21" hidden="1" outlineLevel="1">
      <c r="B13" s="203" t="s">
        <v>129</v>
      </c>
      <c r="C13" s="204"/>
      <c r="D13" s="204"/>
      <c r="E13" s="204"/>
      <c r="F13" s="204"/>
      <c r="G13" s="204"/>
      <c r="H13" s="205">
        <f>'C5'!C14  +  'C5'!N14   *'C5'!Q14</f>
        <v>5.8439577111008757E-2</v>
      </c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14"/>
      <c r="X13" s="1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</row>
    <row r="14" spans="1:52" ht="21" hidden="1" outlineLevel="1">
      <c r="B14" s="203" t="s">
        <v>131</v>
      </c>
      <c r="C14" s="204"/>
      <c r="D14" s="204"/>
      <c r="E14" s="204"/>
      <c r="F14" s="204"/>
      <c r="G14" s="204"/>
      <c r="H14" s="205">
        <f>'C5'!C15  +  'C5'!N15   *'C5'!Q15</f>
        <v>5.3667754977034167E-2</v>
      </c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14"/>
      <c r="X14" s="1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</row>
    <row r="15" spans="1:52" ht="21" hidden="1" outlineLevel="1">
      <c r="B15" s="203" t="s">
        <v>133</v>
      </c>
      <c r="C15" s="204"/>
      <c r="D15" s="204"/>
      <c r="E15" s="204"/>
      <c r="F15" s="204"/>
      <c r="G15" s="204"/>
      <c r="H15" s="205">
        <f>'C5'!C16  +  'C5'!N16   *'C5'!Q16</f>
        <v>5.5907745074973342E-2</v>
      </c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14"/>
      <c r="X15" s="1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</row>
    <row r="16" spans="1:52" ht="21" hidden="1" outlineLevel="1">
      <c r="B16" s="203" t="s">
        <v>135</v>
      </c>
      <c r="C16" s="204"/>
      <c r="D16" s="204"/>
      <c r="E16" s="204"/>
      <c r="F16" s="204"/>
      <c r="G16" s="204"/>
      <c r="H16" s="205">
        <f>'C5'!C17  +  'C5'!N17   *'C5'!Q17</f>
        <v>5.339973113985557E-2</v>
      </c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14"/>
      <c r="X16" s="1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</row>
    <row r="17" spans="2:52" ht="21" hidden="1" outlineLevel="1">
      <c r="B17" s="203" t="s">
        <v>137</v>
      </c>
      <c r="C17" s="204"/>
      <c r="D17" s="204"/>
      <c r="E17" s="204"/>
      <c r="F17" s="204"/>
      <c r="G17" s="204"/>
      <c r="H17" s="205">
        <f>'C5'!C18  +  'C5'!N18   *'C5'!Q18</f>
        <v>5.5878722441857979E-2</v>
      </c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14"/>
      <c r="X17" s="1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</row>
    <row r="18" spans="2:52" ht="21" hidden="1" outlineLevel="1">
      <c r="B18" s="203" t="s">
        <v>139</v>
      </c>
      <c r="C18" s="204"/>
      <c r="D18" s="204"/>
      <c r="E18" s="204"/>
      <c r="F18" s="204"/>
      <c r="G18" s="204"/>
      <c r="H18" s="205">
        <f>'C5'!C19  +  'C5'!N19   *'C5'!Q19</f>
        <v>5.9945208373921179E-2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14"/>
      <c r="X18" s="1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</row>
    <row r="19" spans="2:52" ht="21" hidden="1" outlineLevel="1">
      <c r="B19" s="203" t="s">
        <v>141</v>
      </c>
      <c r="C19" s="204"/>
      <c r="D19" s="204"/>
      <c r="E19" s="204"/>
      <c r="F19" s="204"/>
      <c r="G19" s="204"/>
      <c r="H19" s="205">
        <f>'C5'!C20  +  'C5'!N20   *'C5'!Q20</f>
        <v>5.8179439396415948E-2</v>
      </c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14"/>
      <c r="X19" s="1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</row>
    <row r="20" spans="2:52" ht="21" hidden="1" outlineLevel="1">
      <c r="B20" s="203" t="s">
        <v>143</v>
      </c>
      <c r="C20" s="204"/>
      <c r="D20" s="204"/>
      <c r="E20" s="204"/>
      <c r="F20" s="204"/>
      <c r="G20" s="204"/>
      <c r="H20" s="205">
        <f>'C5'!C21  +  'C5'!N21   *'C5'!Q21</f>
        <v>5.039511842022712E-2</v>
      </c>
      <c r="I20" s="204"/>
      <c r="J20" s="204"/>
      <c r="K20" s="204"/>
      <c r="L20" s="206"/>
      <c r="M20" s="206"/>
      <c r="N20" s="204"/>
      <c r="O20" s="204"/>
      <c r="P20" s="204"/>
      <c r="Q20" s="206"/>
      <c r="R20" s="206"/>
      <c r="S20" s="204"/>
      <c r="T20" s="204"/>
      <c r="U20" s="204"/>
      <c r="V20" s="204"/>
      <c r="W20" s="14"/>
      <c r="X20" s="1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</row>
    <row r="21" spans="2:52" ht="21" hidden="1" outlineLevel="1">
      <c r="B21" s="203" t="s">
        <v>145</v>
      </c>
      <c r="C21" s="204"/>
      <c r="D21" s="204"/>
      <c r="E21" s="204"/>
      <c r="F21" s="204"/>
      <c r="G21" s="204"/>
      <c r="H21" s="205">
        <f>'C5'!C22  +  'C5'!N22   *'C5'!Q22</f>
        <v>5.3660416666666662E-2</v>
      </c>
      <c r="I21" s="204"/>
      <c r="J21" s="204"/>
      <c r="K21" s="204"/>
      <c r="L21" s="206"/>
      <c r="M21" s="206"/>
      <c r="N21" s="204"/>
      <c r="O21" s="204"/>
      <c r="P21" s="204"/>
      <c r="Q21" s="206"/>
      <c r="R21" s="206"/>
      <c r="S21" s="204"/>
      <c r="T21" s="204"/>
      <c r="U21" s="204"/>
      <c r="V21" s="204"/>
      <c r="W21" s="14"/>
      <c r="X21" s="1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</row>
    <row r="22" spans="2:52" ht="21" hidden="1" outlineLevel="1">
      <c r="B22" s="203" t="s">
        <v>147</v>
      </c>
      <c r="C22" s="204"/>
      <c r="D22" s="204"/>
      <c r="E22" s="204"/>
      <c r="F22" s="204"/>
      <c r="G22" s="204"/>
      <c r="H22" s="205">
        <f>'C5'!C23  +  'C5'!N23   *'C5'!Q23</f>
        <v>4.8795833333333337E-2</v>
      </c>
      <c r="I22" s="204"/>
      <c r="J22" s="204"/>
      <c r="K22" s="204"/>
      <c r="L22" s="206"/>
      <c r="M22" s="206"/>
      <c r="N22" s="204"/>
      <c r="O22" s="204"/>
      <c r="P22" s="204"/>
      <c r="Q22" s="206"/>
      <c r="R22" s="206"/>
      <c r="S22" s="204"/>
      <c r="T22" s="204"/>
      <c r="U22" s="204"/>
      <c r="V22" s="204"/>
      <c r="W22" s="14"/>
      <c r="X22" s="1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</row>
    <row r="23" spans="2:52" ht="21" hidden="1" outlineLevel="1">
      <c r="B23" s="203" t="s">
        <v>149</v>
      </c>
      <c r="C23" s="204"/>
      <c r="D23" s="204"/>
      <c r="E23" s="204"/>
      <c r="F23" s="204"/>
      <c r="G23" s="204"/>
      <c r="H23" s="205">
        <f>'C5'!C24  +  'C5'!N24   *'C5'!Q24</f>
        <v>3.3791666666666664E-2</v>
      </c>
      <c r="I23" s="204"/>
      <c r="J23" s="204"/>
      <c r="K23" s="204"/>
      <c r="L23" s="206"/>
      <c r="M23" s="206"/>
      <c r="N23" s="204"/>
      <c r="O23" s="204"/>
      <c r="P23" s="204"/>
      <c r="Q23" s="206"/>
      <c r="R23" s="206"/>
      <c r="S23" s="204"/>
      <c r="T23" s="204"/>
      <c r="U23" s="204"/>
      <c r="V23" s="204"/>
      <c r="W23" s="14"/>
      <c r="X23" s="1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</row>
    <row r="24" spans="2:52" ht="21" collapsed="1">
      <c r="B24" s="203" t="s">
        <v>151</v>
      </c>
      <c r="C24" s="204"/>
      <c r="D24" s="204"/>
      <c r="E24" s="204"/>
      <c r="F24" s="204"/>
      <c r="G24" s="204"/>
      <c r="H24" s="205">
        <f>'C5'!C25  +  'C5'!N25   *'C5'!Q25</f>
        <v>3.6966666666666669E-2</v>
      </c>
      <c r="I24" s="204"/>
      <c r="J24" s="204"/>
      <c r="K24" s="204"/>
      <c r="L24" s="206"/>
      <c r="M24" s="206"/>
      <c r="N24" s="204"/>
      <c r="O24" s="204"/>
      <c r="P24" s="204"/>
      <c r="Q24" s="206"/>
      <c r="R24" s="206"/>
      <c r="S24" s="204"/>
      <c r="T24" s="204"/>
      <c r="U24" s="204"/>
      <c r="V24" s="204"/>
      <c r="W24" s="308"/>
      <c r="X24" s="1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</row>
    <row r="25" spans="2:52" ht="21">
      <c r="B25" s="203" t="s">
        <v>153</v>
      </c>
      <c r="C25" s="204"/>
      <c r="D25" s="204"/>
      <c r="E25" s="204"/>
      <c r="F25" s="204"/>
      <c r="G25" s="205">
        <f>'C5'!J26  +  'C5'!N26   *  'C5'!P26</f>
        <v>7.3566128758795993E-2</v>
      </c>
      <c r="H25" s="205">
        <f>'C5'!C26  +  'C5'!N26   *'C5'!Q26</f>
        <v>7.785473692589942E-2</v>
      </c>
      <c r="I25" s="204"/>
      <c r="J25" s="204"/>
      <c r="K25" s="204"/>
      <c r="L25" s="309"/>
      <c r="M25" s="309"/>
      <c r="N25" s="309"/>
      <c r="O25" s="204"/>
      <c r="P25" s="204"/>
      <c r="Q25" s="309"/>
      <c r="R25" s="309"/>
      <c r="S25" s="309"/>
      <c r="T25" s="204"/>
      <c r="U25" s="204"/>
      <c r="V25" s="204"/>
      <c r="W25" s="308"/>
      <c r="X25" s="1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</row>
    <row r="26" spans="2:52" ht="21">
      <c r="B26" s="203" t="s">
        <v>155</v>
      </c>
      <c r="C26" s="204"/>
      <c r="D26" s="204"/>
      <c r="E26" s="204"/>
      <c r="F26" s="204"/>
      <c r="G26" s="205">
        <f>'C5'!J27  +  'C5'!N27   *  'C5'!P27</f>
        <v>7.4306852069848786E-2</v>
      </c>
      <c r="H26" s="205">
        <f>'C5'!C27  +  'C5'!N27   *'C5'!Q27</f>
        <v>6.7129241673653417E-2</v>
      </c>
      <c r="I26" s="204"/>
      <c r="J26" s="204"/>
      <c r="K26" s="204"/>
      <c r="L26" s="309"/>
      <c r="M26" s="309"/>
      <c r="N26" s="309"/>
      <c r="O26" s="204"/>
      <c r="P26" s="204"/>
      <c r="Q26" s="309"/>
      <c r="R26" s="309"/>
      <c r="S26" s="309"/>
      <c r="T26" s="204"/>
      <c r="U26" s="204"/>
      <c r="V26" s="204"/>
      <c r="W26" s="308"/>
      <c r="X26" s="1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</row>
    <row r="27" spans="2:52" ht="21">
      <c r="B27" s="203" t="s">
        <v>157</v>
      </c>
      <c r="C27" s="204"/>
      <c r="D27" s="204"/>
      <c r="E27" s="204"/>
      <c r="F27" s="204"/>
      <c r="G27" s="205">
        <f>'C5'!J28  +  'C5'!N28   *  'C5'!P28</f>
        <v>7.3119351010996328E-2</v>
      </c>
      <c r="H27" s="205">
        <f>'C5'!C28  +  'C5'!N28   *'C5'!Q28</f>
        <v>6.4677169098227502E-2</v>
      </c>
      <c r="I27" s="204"/>
      <c r="J27" s="204"/>
      <c r="K27" s="204"/>
      <c r="L27" s="309"/>
      <c r="M27" s="309"/>
      <c r="N27" s="309"/>
      <c r="O27" s="204"/>
      <c r="P27" s="204"/>
      <c r="Q27" s="309"/>
      <c r="R27" s="309"/>
      <c r="S27" s="309"/>
      <c r="T27" s="204"/>
      <c r="U27" s="204"/>
      <c r="V27" s="204"/>
      <c r="W27" s="308"/>
      <c r="X27" s="1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</row>
    <row r="28" spans="2:52" ht="21">
      <c r="B28" s="203" t="s">
        <v>159</v>
      </c>
      <c r="C28" s="204"/>
      <c r="D28" s="204"/>
      <c r="E28" s="204"/>
      <c r="F28" s="204"/>
      <c r="G28" s="205">
        <f>'C5'!J29  +  'C5'!N29   *  'C5'!P29</f>
        <v>7.2046961719674299E-2</v>
      </c>
      <c r="H28" s="205">
        <f>'C5'!C29  +  'C5'!N29   *'C5'!Q29</f>
        <v>6.9117008333414789E-2</v>
      </c>
      <c r="I28" s="204"/>
      <c r="J28" s="204"/>
      <c r="K28" s="204"/>
      <c r="L28" s="309"/>
      <c r="M28" s="309"/>
      <c r="N28" s="309"/>
      <c r="O28" s="204"/>
      <c r="P28" s="204"/>
      <c r="Q28" s="309"/>
      <c r="R28" s="309"/>
      <c r="S28" s="309"/>
      <c r="T28" s="204"/>
      <c r="U28" s="204"/>
      <c r="V28" s="204"/>
      <c r="W28" s="308"/>
      <c r="X28" s="1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</row>
    <row r="29" spans="2:52" ht="21">
      <c r="B29" s="203" t="s">
        <v>161</v>
      </c>
      <c r="C29" s="204"/>
      <c r="D29" s="205">
        <f>'D3'!J13</f>
        <v>5.9897379013228703E-2</v>
      </c>
      <c r="E29" s="205">
        <f>'D3'!K13</f>
        <v>6.2390302998840359E-2</v>
      </c>
      <c r="F29" s="207">
        <f>'C5'!K31  +  'C5'!N31   *  'C5'!P31</f>
        <v>6.3600000000000004E-2</v>
      </c>
      <c r="G29" s="205">
        <f>'C5'!J30  +  'C5'!N30   *  'C5'!P30</f>
        <v>6.8797379013228702E-2</v>
      </c>
      <c r="H29" s="205">
        <f>'C5'!C30  +  'C5'!N30   *'C5'!Q30</f>
        <v>6.7188472424062326E-2</v>
      </c>
      <c r="I29" s="205">
        <f>D29+$J$3</f>
        <v>5.9897379013228703E-2</v>
      </c>
      <c r="J29" s="205">
        <f t="shared" ref="I29:J33" si="0">E29+$J$3</f>
        <v>6.2390302998840359E-2</v>
      </c>
      <c r="K29" s="206"/>
      <c r="L29" s="309"/>
      <c r="M29" s="309"/>
      <c r="N29" s="309"/>
      <c r="O29" s="204"/>
      <c r="P29" s="204"/>
      <c r="Q29" s="309"/>
      <c r="R29" s="309"/>
      <c r="S29" s="309"/>
      <c r="T29" s="204"/>
      <c r="U29" s="204"/>
      <c r="V29" s="204"/>
      <c r="W29" s="308"/>
      <c r="X29" s="1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</row>
    <row r="30" spans="2:52" ht="21">
      <c r="B30" s="203" t="s">
        <v>163</v>
      </c>
      <c r="C30" s="204"/>
      <c r="D30" s="205">
        <f>'D3'!J14</f>
        <v>5.038029901781086E-2</v>
      </c>
      <c r="E30" s="205">
        <f>'D3'!K14</f>
        <v>5.5377008913192992E-2</v>
      </c>
      <c r="F30" s="207">
        <f>'C5'!K32  +  'C5'!N32   *  'C5'!P32</f>
        <v>4.5999999999999999E-2</v>
      </c>
      <c r="G30" s="205">
        <f>'C5'!J31  +  'C5'!N31   *  'C5'!P31</f>
        <v>5.038029901781086E-2</v>
      </c>
      <c r="H30" s="205">
        <f>'C5'!C31  +  'C5'!N31   *'C5'!Q31</f>
        <v>5.317159513849519E-2</v>
      </c>
      <c r="I30" s="205">
        <f t="shared" si="0"/>
        <v>5.038029901781086E-2</v>
      </c>
      <c r="J30" s="205">
        <f t="shared" si="0"/>
        <v>5.5377008913192992E-2</v>
      </c>
      <c r="K30" s="206"/>
      <c r="L30" s="309"/>
      <c r="M30" s="309"/>
      <c r="N30" s="309"/>
      <c r="O30" s="204"/>
      <c r="P30" s="204"/>
      <c r="Q30" s="309"/>
      <c r="R30" s="309"/>
      <c r="S30" s="309"/>
      <c r="T30" s="204"/>
      <c r="U30" s="204"/>
      <c r="V30" s="204"/>
      <c r="W30" s="308"/>
      <c r="X30" s="1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</row>
    <row r="31" spans="2:52" ht="21">
      <c r="B31" s="203" t="s">
        <v>165</v>
      </c>
      <c r="C31" s="204"/>
      <c r="D31" s="205">
        <f>'D3'!J15</f>
        <v>4.6342846630917291E-2</v>
      </c>
      <c r="E31" s="205">
        <f>'D3'!K15</f>
        <v>5.7025759111367168E-2</v>
      </c>
      <c r="F31" s="207">
        <f>'C5'!K33  +  'C5'!N33   *  'C5'!P33</f>
        <v>4.5700000000000005E-2</v>
      </c>
      <c r="G31" s="205">
        <f>'C5'!J32  +  'C5'!N32   *  'C5'!P32</f>
        <v>4.6342846630917291E-2</v>
      </c>
      <c r="H31" s="205">
        <f>'C5'!C32  +  'C5'!N32   *'C5'!Q32</f>
        <v>4.6839237554655869E-2</v>
      </c>
      <c r="I31" s="205">
        <f t="shared" si="0"/>
        <v>4.6342846630917291E-2</v>
      </c>
      <c r="J31" s="205">
        <f t="shared" si="0"/>
        <v>5.7025759111367168E-2</v>
      </c>
      <c r="K31" s="206"/>
      <c r="L31" s="309"/>
      <c r="M31" s="309"/>
      <c r="N31" s="309"/>
      <c r="O31" s="204"/>
      <c r="P31" s="204"/>
      <c r="Q31" s="309"/>
      <c r="R31" s="309"/>
      <c r="S31" s="309"/>
      <c r="T31" s="204"/>
      <c r="U31" s="204"/>
      <c r="V31" s="204"/>
      <c r="W31" s="308"/>
      <c r="X31" s="1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</row>
    <row r="32" spans="2:52" ht="21">
      <c r="B32" s="203" t="s">
        <v>167</v>
      </c>
      <c r="C32" s="204"/>
      <c r="D32" s="205">
        <f>'D3'!J16</f>
        <v>5.3402965079398824E-2</v>
      </c>
      <c r="E32" s="205">
        <f>'D3'!K16</f>
        <v>5.6760155289891756E-2</v>
      </c>
      <c r="F32" s="207">
        <f>'C5'!K34  +  'C5'!N34   *  'C5'!P34</f>
        <v>4.8000000000000001E-2</v>
      </c>
      <c r="G32" s="205">
        <f>'C5'!J33  +  'C5'!N33   *  'C5'!P33</f>
        <v>5.3402965079398824E-2</v>
      </c>
      <c r="H32" s="206"/>
      <c r="I32" s="205">
        <f t="shared" si="0"/>
        <v>5.3402965079398824E-2</v>
      </c>
      <c r="J32" s="205">
        <f t="shared" si="0"/>
        <v>5.6760155289891756E-2</v>
      </c>
      <c r="K32" s="206"/>
      <c r="L32" s="309"/>
      <c r="M32" s="309"/>
      <c r="N32" s="309"/>
      <c r="O32" s="204"/>
      <c r="P32" s="204"/>
      <c r="Q32" s="309"/>
      <c r="R32" s="309"/>
      <c r="S32" s="309"/>
      <c r="T32" s="204"/>
      <c r="U32" s="204"/>
      <c r="V32" s="204"/>
      <c r="W32" s="308"/>
      <c r="X32" s="1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</row>
    <row r="33" spans="1:52" s="13" customFormat="1" ht="21">
      <c r="A33" s="36"/>
      <c r="B33" s="203">
        <v>2022</v>
      </c>
      <c r="C33" s="204"/>
      <c r="D33" s="205">
        <f>'D3'!J17</f>
        <v>5.78335223852013E-2</v>
      </c>
      <c r="E33" s="205">
        <f>'D3'!K17</f>
        <v>5.9150112050525512E-2</v>
      </c>
      <c r="F33" s="205">
        <f>'Verified Inputs'!C9</f>
        <v>6.5087110739404874E-2</v>
      </c>
      <c r="G33" s="205">
        <f>'C5'!J34  +  'C5'!N34   *  'C5'!P34</f>
        <v>5.78335223852013E-2</v>
      </c>
      <c r="H33" s="204"/>
      <c r="I33" s="205">
        <f t="shared" si="0"/>
        <v>5.78335223852013E-2</v>
      </c>
      <c r="J33" s="205">
        <f t="shared" si="0"/>
        <v>5.9150112050525512E-2</v>
      </c>
      <c r="K33" s="206"/>
      <c r="L33" s="310">
        <f>'C5'!F34  +  'C5'!$N34   *'C5'!T34</f>
        <v>6.0285788828844222E-2</v>
      </c>
      <c r="M33" s="310">
        <f>'C5'!G34  +  'C5'!$N34   *'C5'!U34</f>
        <v>6.0285788828844222E-2</v>
      </c>
      <c r="N33" s="310">
        <f>'C5'!H34  +  'C5'!$N34   *'C5'!V34</f>
        <v>6.0285788828844222E-2</v>
      </c>
      <c r="O33" s="206"/>
      <c r="P33" s="206"/>
      <c r="Q33" s="310">
        <f>'C5'!F34  +  'C5'!$N34  *'C5'!AD34</f>
        <v>5.9150112050525512E-2</v>
      </c>
      <c r="R33" s="310">
        <f>'C5'!G34  +  'C5'!$N34  *'C5'!AE34</f>
        <v>5.9150112050525512E-2</v>
      </c>
      <c r="S33" s="310">
        <f>'C5'!H34  +  'C5'!$N34  *'C5'!AF34</f>
        <v>5.9150112050525512E-2</v>
      </c>
      <c r="T33" s="249"/>
      <c r="U33" s="204"/>
      <c r="V33" s="204"/>
      <c r="W33" s="308"/>
      <c r="X33" s="1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2"/>
      <c r="AX33" s="202"/>
      <c r="AY33" s="202"/>
      <c r="AZ33" s="204"/>
    </row>
    <row r="34" spans="1:52" ht="21">
      <c r="B34" s="203">
        <v>2023</v>
      </c>
      <c r="C34" s="204"/>
      <c r="D34" s="204"/>
      <c r="E34" s="204"/>
      <c r="F34" s="204"/>
      <c r="G34" s="204"/>
      <c r="H34" s="204"/>
      <c r="I34" s="204"/>
      <c r="J34" s="204"/>
      <c r="K34" s="204"/>
      <c r="L34" s="310">
        <f>'C5'!F35  +  'C5'!$N35   *'C5'!T35</f>
        <v>5.4285788828844217E-2</v>
      </c>
      <c r="M34" s="310">
        <f>'C5'!G35  +  'C5'!$N35   *'C5'!U35</f>
        <v>6.6285788828844228E-2</v>
      </c>
      <c r="N34" s="310">
        <f>'C5'!H35  +  'C5'!$N35   *'C5'!V35</f>
        <v>6.0285788828844222E-2</v>
      </c>
      <c r="O34" s="204"/>
      <c r="P34" s="204"/>
      <c r="Q34" s="310">
        <f>'C5'!F35  +  'C5'!$N35  *'C5'!AD35</f>
        <v>5.4590112050525511E-2</v>
      </c>
      <c r="R34" s="310">
        <f>'C5'!G35  +  'C5'!$N35  *'C5'!AE35</f>
        <v>6.3710112050525514E-2</v>
      </c>
      <c r="S34" s="310">
        <f>'C5'!H35  +  'C5'!$N35  *'C5'!AF35</f>
        <v>5.9150112050525512E-2</v>
      </c>
      <c r="T34" s="204"/>
      <c r="U34" s="204"/>
      <c r="V34" s="204"/>
      <c r="W34" s="308"/>
      <c r="X34" s="1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2"/>
      <c r="AX34" s="202"/>
      <c r="AY34" s="202"/>
      <c r="AZ34" s="204"/>
    </row>
    <row r="35" spans="1:52" ht="21">
      <c r="B35" s="203">
        <v>2024</v>
      </c>
      <c r="C35" s="204"/>
      <c r="D35" s="204"/>
      <c r="E35" s="204"/>
      <c r="F35" s="204"/>
      <c r="G35" s="204"/>
      <c r="H35" s="204"/>
      <c r="I35" s="204"/>
      <c r="J35" s="204"/>
      <c r="K35" s="204"/>
      <c r="L35" s="310">
        <f>'C5'!F36  +  'C5'!$N36   *'C5'!T36</f>
        <v>4.978578882884422E-2</v>
      </c>
      <c r="M35" s="310">
        <f>'C5'!G36  +  'C5'!$N36   *'C5'!U36</f>
        <v>7.0785788828844232E-2</v>
      </c>
      <c r="N35" s="310">
        <f>'C5'!H36  +  'C5'!$N36   *'C5'!V36</f>
        <v>6.0285788828844222E-2</v>
      </c>
      <c r="O35" s="204"/>
      <c r="P35" s="204"/>
      <c r="Q35" s="310">
        <f>'C5'!F36  +  'C5'!$N36  *'C5'!AD36</f>
        <v>5.1170112050525504E-2</v>
      </c>
      <c r="R35" s="310">
        <f>'C5'!G36  +  'C5'!$N36  *'C5'!AE36</f>
        <v>6.713011205052552E-2</v>
      </c>
      <c r="S35" s="310">
        <f>'C5'!H36  +  'C5'!$N36  *'C5'!AF36</f>
        <v>5.9150112050525512E-2</v>
      </c>
      <c r="T35" s="204"/>
      <c r="U35" s="204"/>
      <c r="V35" s="204"/>
      <c r="W35" s="308"/>
      <c r="X35" s="1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2"/>
      <c r="AX35" s="202"/>
      <c r="AY35" s="202"/>
      <c r="AZ35" s="204"/>
    </row>
    <row r="36" spans="1:52" ht="21">
      <c r="B36" s="203">
        <v>2025</v>
      </c>
      <c r="C36" s="204"/>
      <c r="D36" s="204"/>
      <c r="E36" s="204"/>
      <c r="F36" s="204"/>
      <c r="G36" s="204"/>
      <c r="H36" s="204"/>
      <c r="I36" s="204"/>
      <c r="J36" s="204"/>
      <c r="K36" s="204"/>
      <c r="L36" s="310">
        <f>'C5'!F37  +  'C5'!$N37   *'C5'!T37</f>
        <v>4.5785788828844223E-2</v>
      </c>
      <c r="M36" s="310">
        <f>'C5'!G37  +  'C5'!$N37   *'C5'!U37</f>
        <v>7.4785788828844235E-2</v>
      </c>
      <c r="N36" s="310">
        <f>'C5'!H37  +  'C5'!$N37   *'C5'!V37</f>
        <v>6.0285788828844222E-2</v>
      </c>
      <c r="O36" s="204"/>
      <c r="P36" s="204"/>
      <c r="Q36" s="310">
        <f>'C5'!F37  +  'C5'!$N37  *'C5'!AD37</f>
        <v>4.8130112050525503E-2</v>
      </c>
      <c r="R36" s="310">
        <f>'C5'!G37  +  'C5'!$N37  *'C5'!AE37</f>
        <v>7.0170112050525507E-2</v>
      </c>
      <c r="S36" s="310">
        <f>'C5'!H37  +  'C5'!$N37  *'C5'!AF37</f>
        <v>5.9150112050525512E-2</v>
      </c>
      <c r="T36" s="204"/>
      <c r="U36" s="204"/>
      <c r="V36" s="204"/>
      <c r="W36" s="308"/>
      <c r="X36" s="1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2"/>
      <c r="AX36" s="202"/>
      <c r="AY36" s="202"/>
      <c r="AZ36" s="204"/>
    </row>
    <row r="37" spans="1:52" ht="21">
      <c r="B37" s="203">
        <v>2026</v>
      </c>
      <c r="C37" s="204"/>
      <c r="D37" s="204"/>
      <c r="E37" s="204"/>
      <c r="F37" s="204"/>
      <c r="G37" s="204"/>
      <c r="H37" s="204"/>
      <c r="I37" s="204"/>
      <c r="J37" s="204"/>
      <c r="K37" s="204"/>
      <c r="L37" s="310">
        <f>'C5'!F38  +  'C5'!$N38   *'C5'!T38</f>
        <v>4.2185788828844217E-2</v>
      </c>
      <c r="M37" s="310">
        <f>'C5'!G38  +  'C5'!$N38   *'C5'!U38</f>
        <v>7.8385788828844227E-2</v>
      </c>
      <c r="N37" s="310">
        <f>'C5'!H38  +  'C5'!$N38   *'C5'!V38</f>
        <v>6.0285788828844222E-2</v>
      </c>
      <c r="O37" s="204"/>
      <c r="P37" s="204"/>
      <c r="Q37" s="310">
        <f>'C5'!F38  +  'C5'!$N38  *'C5'!AD38</f>
        <v>4.5394112050525501E-2</v>
      </c>
      <c r="R37" s="310">
        <f>'C5'!G38  +  'C5'!$N38  *'C5'!AE38</f>
        <v>7.2906112050525509E-2</v>
      </c>
      <c r="S37" s="310">
        <f>'C5'!H38  +  'C5'!$N38  *'C5'!AF38</f>
        <v>5.9150112050525512E-2</v>
      </c>
      <c r="T37" s="204"/>
      <c r="U37" s="204"/>
      <c r="V37" s="204"/>
      <c r="W37" s="308"/>
      <c r="X37" s="1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2"/>
      <c r="AX37" s="202"/>
      <c r="AY37" s="202"/>
      <c r="AZ37" s="204"/>
    </row>
    <row r="38" spans="1:52" ht="21">
      <c r="B38" s="203">
        <v>2027</v>
      </c>
      <c r="C38" s="204"/>
      <c r="D38" s="204"/>
      <c r="E38" s="204"/>
      <c r="F38" s="204"/>
      <c r="G38" s="204"/>
      <c r="H38" s="204"/>
      <c r="I38" s="204"/>
      <c r="J38" s="204"/>
      <c r="K38" s="204"/>
      <c r="L38" s="310">
        <f>'C5'!F39  +  'C5'!$N39   *'C5'!T39</f>
        <v>3.888578882884422E-2</v>
      </c>
      <c r="M38" s="310">
        <f>'C5'!G39  +  'C5'!$N39   *'C5'!U39</f>
        <v>8.1685788828844225E-2</v>
      </c>
      <c r="N38" s="310">
        <f>'C5'!H39  +  'C5'!$N39   *'C5'!V39</f>
        <v>6.0285788828844222E-2</v>
      </c>
      <c r="O38" s="204"/>
      <c r="P38" s="204"/>
      <c r="Q38" s="310">
        <f>'C5'!F39  +  'C5'!$N39  *'C5'!AD39</f>
        <v>4.2886112050525504E-2</v>
      </c>
      <c r="R38" s="310">
        <f>'C5'!G39  +  'C5'!$N39  *'C5'!AE39</f>
        <v>7.5414112050525506E-2</v>
      </c>
      <c r="S38" s="310">
        <f>'C5'!H39  +  'C5'!$N39  *'C5'!AF39</f>
        <v>5.9150112050525512E-2</v>
      </c>
      <c r="T38" s="204"/>
      <c r="U38" s="204"/>
      <c r="V38" s="204"/>
      <c r="W38" s="308"/>
      <c r="X38" s="1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2"/>
      <c r="AX38" s="202"/>
      <c r="AY38" s="202"/>
      <c r="AZ38" s="204"/>
    </row>
    <row r="39" spans="1:52" ht="21">
      <c r="B39" s="203">
        <v>2028</v>
      </c>
      <c r="C39" s="204"/>
      <c r="D39" s="204"/>
      <c r="E39" s="204"/>
      <c r="F39" s="204"/>
      <c r="G39" s="204"/>
      <c r="H39" s="204"/>
      <c r="I39" s="204"/>
      <c r="J39" s="204"/>
      <c r="K39" s="204"/>
      <c r="L39" s="310">
        <f>'C5'!F40  +  'C5'!$N40   *'C5'!T40</f>
        <v>3.5885788828844217E-2</v>
      </c>
      <c r="M39" s="310">
        <f>'C5'!G40  +  'C5'!$N40   *'C5'!U40</f>
        <v>8.4685788828844227E-2</v>
      </c>
      <c r="N39" s="310">
        <f>'C5'!H40  +  'C5'!$N40   *'C5'!V40</f>
        <v>6.0285788828844222E-2</v>
      </c>
      <c r="O39" s="204"/>
      <c r="P39" s="204"/>
      <c r="Q39" s="310">
        <f>'C5'!F40  +  'C5'!$N40  *'C5'!AD40</f>
        <v>4.06061120505255E-2</v>
      </c>
      <c r="R39" s="310">
        <f>'C5'!G40  +  'C5'!$N40  *'C5'!AE40</f>
        <v>7.769411205052551E-2</v>
      </c>
      <c r="S39" s="310">
        <f>'C5'!H40  +  'C5'!$N40  *'C5'!AF40</f>
        <v>5.9150112050525512E-2</v>
      </c>
      <c r="T39" s="204"/>
      <c r="U39" s="204"/>
      <c r="V39" s="204"/>
      <c r="W39" s="308"/>
      <c r="X39" s="1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2"/>
      <c r="AX39" s="202"/>
      <c r="AY39" s="202"/>
      <c r="AZ39" s="204"/>
    </row>
    <row r="40" spans="1:52" ht="21">
      <c r="B40" s="203">
        <v>2029</v>
      </c>
      <c r="C40" s="204"/>
      <c r="D40" s="204"/>
      <c r="E40" s="204"/>
      <c r="F40" s="204"/>
      <c r="G40" s="204"/>
      <c r="H40" s="204"/>
      <c r="I40" s="204"/>
      <c r="J40" s="204"/>
      <c r="K40" s="204"/>
      <c r="L40" s="310">
        <f>'C5'!F41  +  'C5'!$N41   *'C5'!T41</f>
        <v>3.3685788828844224E-2</v>
      </c>
      <c r="M40" s="310">
        <f>'C5'!G41  +  'C5'!$N41   *'C5'!U41</f>
        <v>8.6885788828844235E-2</v>
      </c>
      <c r="N40" s="310">
        <f>'C5'!H41  +  'C5'!$N41   *'C5'!V41</f>
        <v>6.0285788828844222E-2</v>
      </c>
      <c r="O40" s="204"/>
      <c r="P40" s="204"/>
      <c r="Q40" s="310">
        <f>'C5'!F41  +  'C5'!$N41  *'C5'!AD41</f>
        <v>3.8934112050525507E-2</v>
      </c>
      <c r="R40" s="310">
        <f>'C5'!G41  +  'C5'!$N41  *'C5'!AE41</f>
        <v>7.9366112050525517E-2</v>
      </c>
      <c r="S40" s="310">
        <f>'C5'!H41  +  'C5'!$N41  *'C5'!AF41</f>
        <v>5.9150112050525512E-2</v>
      </c>
      <c r="T40" s="204"/>
      <c r="U40" s="204"/>
      <c r="V40" s="204"/>
      <c r="W40" s="308"/>
      <c r="X40" s="1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2"/>
      <c r="AX40" s="202"/>
      <c r="AY40" s="202"/>
      <c r="AZ40" s="204"/>
    </row>
    <row r="41" spans="1:52" ht="21">
      <c r="B41" s="203">
        <v>2030</v>
      </c>
      <c r="C41" s="204"/>
      <c r="D41" s="204"/>
      <c r="E41" s="204"/>
      <c r="F41" s="204"/>
      <c r="G41" s="204"/>
      <c r="H41" s="204"/>
      <c r="I41" s="204"/>
      <c r="J41" s="204"/>
      <c r="K41" s="204"/>
      <c r="L41" s="310">
        <f>'C5'!F42  +  'C5'!$N42   *'C5'!T42</f>
        <v>3.2185788828844222E-2</v>
      </c>
      <c r="M41" s="310">
        <f>'C5'!G42  +  'C5'!$N42   *'C5'!U42</f>
        <v>8.8385788828844236E-2</v>
      </c>
      <c r="N41" s="310">
        <f>'C5'!H42  +  'C5'!$N42   *'C5'!V42</f>
        <v>6.0285788828844222E-2</v>
      </c>
      <c r="O41" s="204"/>
      <c r="P41" s="204"/>
      <c r="Q41" s="310">
        <f>'C5'!F42  +  'C5'!$N42  *'C5'!AD42</f>
        <v>3.7794112050525512E-2</v>
      </c>
      <c r="R41" s="310">
        <f>'C5'!G42  +  'C5'!$N42  *'C5'!AE42</f>
        <v>8.0506112050525519E-2</v>
      </c>
      <c r="S41" s="310">
        <f>'C5'!H42  +  'C5'!$N42  *'C5'!AF42</f>
        <v>5.9150112050525519E-2</v>
      </c>
      <c r="T41" s="204"/>
      <c r="U41" s="204"/>
      <c r="V41" s="204"/>
      <c r="W41" s="308"/>
      <c r="X41" s="1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2"/>
      <c r="AX41" s="202"/>
      <c r="AY41" s="202"/>
      <c r="AZ41" s="204"/>
    </row>
    <row r="42" spans="1:52" ht="21">
      <c r="B42" s="203">
        <v>2031</v>
      </c>
      <c r="C42" s="204"/>
      <c r="D42" s="204"/>
      <c r="E42" s="204"/>
      <c r="F42" s="204"/>
      <c r="G42" s="204"/>
      <c r="H42" s="204"/>
      <c r="I42" s="204"/>
      <c r="J42" s="204"/>
      <c r="K42" s="204"/>
      <c r="L42" s="310">
        <f>'C5'!F43  +  'C5'!$N43   *'C5'!T43</f>
        <v>3.1185788828844221E-2</v>
      </c>
      <c r="M42" s="310">
        <f>'C5'!G43  +  'C5'!$N43   *'C5'!U43</f>
        <v>8.9385788828844237E-2</v>
      </c>
      <c r="N42" s="310">
        <f>'C5'!H43  +  'C5'!$N43   *'C5'!V43</f>
        <v>6.0285788828844222E-2</v>
      </c>
      <c r="O42" s="204"/>
      <c r="P42" s="204"/>
      <c r="Q42" s="310">
        <f>'C5'!F43  +  'C5'!$N43  *'C5'!AD43</f>
        <v>3.7034112050525508E-2</v>
      </c>
      <c r="R42" s="310">
        <f>'C5'!G43  +  'C5'!$N43  *'C5'!AE43</f>
        <v>8.1266112050525516E-2</v>
      </c>
      <c r="S42" s="310">
        <f>'C5'!H43  +  'C5'!$N43  *'C5'!AF43</f>
        <v>5.9150112050525519E-2</v>
      </c>
      <c r="T42" s="204"/>
      <c r="U42" s="204"/>
      <c r="V42" s="204"/>
      <c r="W42" s="308"/>
      <c r="X42" s="1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2"/>
      <c r="AX42" s="202"/>
      <c r="AY42" s="202"/>
      <c r="AZ42" s="204"/>
    </row>
    <row r="43" spans="1:52" ht="21">
      <c r="B43" s="203">
        <v>2032</v>
      </c>
      <c r="C43" s="204"/>
      <c r="D43" s="204"/>
      <c r="E43" s="204"/>
      <c r="F43" s="204"/>
      <c r="G43" s="204"/>
      <c r="H43" s="204"/>
      <c r="I43" s="204"/>
      <c r="J43" s="204"/>
      <c r="K43" s="204"/>
      <c r="L43" s="310">
        <f>'C5'!F44  +  'C5'!$N44   *'C5'!T44</f>
        <v>3.0285788828844223E-2</v>
      </c>
      <c r="M43" s="310">
        <f>'C5'!G44  +  'C5'!$N44   *'C5'!U44</f>
        <v>9.0285788828844221E-2</v>
      </c>
      <c r="N43" s="310">
        <f>'C5'!H44  +  'C5'!$N44   *'C5'!V44</f>
        <v>6.0285788828844222E-2</v>
      </c>
      <c r="O43" s="204"/>
      <c r="P43" s="204"/>
      <c r="Q43" s="310">
        <f>'C5'!F44  +  'C5'!$N44  *'C5'!AD44</f>
        <v>3.6350112050525511E-2</v>
      </c>
      <c r="R43" s="310">
        <f>'C5'!G44  +  'C5'!$N44  *'C5'!AE44</f>
        <v>8.1950112050525506E-2</v>
      </c>
      <c r="S43" s="310">
        <f>'C5'!H44  +  'C5'!$N44  *'C5'!AF44</f>
        <v>5.9150112050525519E-2</v>
      </c>
      <c r="T43" s="204"/>
      <c r="U43" s="204"/>
      <c r="V43" s="204"/>
      <c r="W43" s="308"/>
      <c r="X43" s="1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2"/>
      <c r="AX43" s="202"/>
      <c r="AY43" s="202"/>
      <c r="AZ43" s="204"/>
    </row>
    <row r="44" spans="1:52" ht="21">
      <c r="L44" s="42"/>
      <c r="M44" s="42"/>
      <c r="N44" s="42"/>
      <c r="Q44" s="42"/>
      <c r="R44" s="42"/>
      <c r="S44" s="42"/>
      <c r="W44" s="14"/>
      <c r="X44" s="14"/>
    </row>
    <row r="45" spans="1:52">
      <c r="F45" s="40" t="s">
        <v>75</v>
      </c>
      <c r="R45" s="40" t="str">
        <f>Q3</f>
        <v>MRP Option 3b</v>
      </c>
      <c r="AF45" s="40"/>
    </row>
    <row r="46" spans="1:52">
      <c r="F46" s="36" t="str">
        <f>M3</f>
        <v>MRP Option 1</v>
      </c>
    </row>
    <row r="47" spans="1:52"/>
    <row r="48" spans="1:5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 spans="2:37"/>
    <row r="66" spans="2:37"/>
    <row r="67" spans="2:37"/>
    <row r="68" spans="2:37"/>
    <row r="69" spans="2:37"/>
    <row r="70" spans="2:37"/>
    <row r="71" spans="2:37"/>
    <row r="72" spans="2:37">
      <c r="B72" s="260" t="s">
        <v>527</v>
      </c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</row>
    <row r="73" spans="2:37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</sheetData>
  <hyperlinks>
    <hyperlink ref="F32" r:id="rId1" location="page=6" display="https://www.aer.gov.au/system/files/Rate of return annual update - December 2021.pdf - page=6" xr:uid="{1469ED9F-ED80-DE40-8279-F764199C4055}"/>
    <hyperlink ref="F31" r:id="rId2" location="page=6" display="https://www.aer.gov.au/system/files/Rate of return annual update - December 2021.pdf - page=6" xr:uid="{1BF29618-E3F5-6A46-9351-6A5D06B9FFA9}"/>
    <hyperlink ref="F30" r:id="rId3" location="page=6" display="https://www.aer.gov.au/system/files/Rate of return annual update - December 2021.pdf - page=6" xr:uid="{DBDC0AC6-2FFA-6646-94E9-AB7B6F703FEC}"/>
    <hyperlink ref="F29" r:id="rId4" location="page=6" display="https://www.aer.gov.au/system/files/Rate of return annual update - December 2021.pdf - page=6" xr:uid="{10282511-C432-3B48-A0FC-E44D28B9456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A783-B895-174F-8293-2796E7CAA71A}">
  <dimension ref="A1:S90"/>
  <sheetViews>
    <sheetView showGridLines="0" showRowColHeaders="0" zoomScale="70" zoomScaleNormal="70" workbookViewId="0">
      <selection activeCell="F72" sqref="F72"/>
    </sheetView>
  </sheetViews>
  <sheetFormatPr defaultColWidth="0" defaultRowHeight="12.75" zeroHeight="1"/>
  <cols>
    <col min="1" max="1" width="4" style="162" customWidth="1"/>
    <col min="2" max="2" width="10.85546875" style="162" customWidth="1"/>
    <col min="3" max="3" width="21" style="162" customWidth="1"/>
    <col min="4" max="19" width="10.85546875" style="162" customWidth="1"/>
    <col min="20" max="22" width="10.85546875" style="162" hidden="1" customWidth="1"/>
    <col min="23" max="16384" width="10.85546875" style="162" hidden="1"/>
  </cols>
  <sheetData>
    <row r="1" spans="1:10" s="86" customFormat="1" ht="26.25">
      <c r="A1" s="84"/>
      <c r="B1" s="85" t="s">
        <v>463</v>
      </c>
      <c r="H1" s="84"/>
      <c r="J1" s="84"/>
    </row>
    <row r="2" spans="1:10" s="83" customFormat="1" ht="21">
      <c r="B2" s="87"/>
    </row>
    <row r="3" spans="1:10" ht="15">
      <c r="B3" s="17" t="s">
        <v>444</v>
      </c>
      <c r="C3" s="74" t="str">
        <f>Cover!E5</f>
        <v>(D) Data Sheet</v>
      </c>
    </row>
    <row r="4" spans="1:10" ht="15">
      <c r="B4" s="7"/>
      <c r="C4" s="76" t="str">
        <f>Cover!E6</f>
        <v>(C) Calculation Sheet</v>
      </c>
    </row>
    <row r="5" spans="1:10" ht="15">
      <c r="B5" s="7"/>
      <c r="C5" s="65" t="str">
        <f>Cover!E7</f>
        <v>(S) Summary Outputs</v>
      </c>
    </row>
    <row r="6" spans="1:10"/>
    <row r="7" spans="1:10"/>
    <row r="8" spans="1:10"/>
    <row r="9" spans="1:10"/>
    <row r="10" spans="1:10"/>
    <row r="11" spans="1:10"/>
    <row r="12" spans="1:10"/>
    <row r="13" spans="1:10" ht="18">
      <c r="A13" s="163"/>
    </row>
    <row r="14" spans="1:10"/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B8CD-A4D9-2343-8901-0D6F3C32E224}">
  <dimension ref="A1:H16"/>
  <sheetViews>
    <sheetView showGridLines="0" workbookViewId="0">
      <selection activeCell="D7" sqref="D7"/>
    </sheetView>
  </sheetViews>
  <sheetFormatPr defaultColWidth="0" defaultRowHeight="12.75" zeroHeight="1"/>
  <cols>
    <col min="1" max="1" width="3" style="162" customWidth="1"/>
    <col min="2" max="2" width="37.7109375" style="162" bestFit="1" customWidth="1"/>
    <col min="3" max="3" width="6.85546875" style="162" customWidth="1"/>
    <col min="4" max="4" width="45.5703125" style="162" bestFit="1" customWidth="1"/>
    <col min="5" max="6" width="10.85546875" style="162" hidden="1"/>
    <col min="7" max="8" width="0" style="162" hidden="1"/>
    <col min="9" max="16384" width="10.85546875" style="162" hidden="1"/>
  </cols>
  <sheetData>
    <row r="1" spans="2:6" ht="26.25">
      <c r="B1" s="85" t="s">
        <v>529</v>
      </c>
    </row>
    <row r="2" spans="2:6"/>
    <row r="3" spans="2:6"/>
    <row r="4" spans="2:6"/>
    <row r="5" spans="2:6">
      <c r="B5" s="274" t="s">
        <v>503</v>
      </c>
      <c r="C5" s="275" t="s">
        <v>502</v>
      </c>
      <c r="D5" s="275" t="s">
        <v>501</v>
      </c>
    </row>
    <row r="6" spans="2:6">
      <c r="B6" s="271" t="s">
        <v>500</v>
      </c>
      <c r="C6" s="311">
        <v>1.8229166636508701E-2</v>
      </c>
      <c r="D6" s="270" t="s">
        <v>499</v>
      </c>
    </row>
    <row r="7" spans="2:6">
      <c r="B7" s="271" t="s">
        <v>498</v>
      </c>
      <c r="C7" s="311">
        <v>2.1233522385201299E-2</v>
      </c>
      <c r="D7" s="270" t="s">
        <v>497</v>
      </c>
    </row>
    <row r="8" spans="2:6">
      <c r="B8" s="271" t="s">
        <v>506</v>
      </c>
      <c r="C8" s="311">
        <f>'C1'!F24</f>
        <v>6.8097420845454115E-2</v>
      </c>
      <c r="D8" s="269" t="s">
        <v>507</v>
      </c>
    </row>
    <row r="9" spans="2:6">
      <c r="B9" s="271" t="s">
        <v>504</v>
      </c>
      <c r="C9" s="311">
        <f>'C1'!E24</f>
        <v>6.5087110739404874E-2</v>
      </c>
      <c r="D9" s="269" t="s">
        <v>505</v>
      </c>
    </row>
    <row r="10" spans="2:6">
      <c r="B10" s="271" t="s">
        <v>508</v>
      </c>
      <c r="C10" s="311">
        <f>'D3'!E17</f>
        <v>6.1301521478342502E-2</v>
      </c>
      <c r="D10" s="269" t="s">
        <v>510</v>
      </c>
    </row>
    <row r="11" spans="2:6">
      <c r="B11" s="271" t="s">
        <v>509</v>
      </c>
      <c r="C11" s="312" t="s">
        <v>544</v>
      </c>
      <c r="D11" s="269" t="s">
        <v>511</v>
      </c>
    </row>
    <row r="12" spans="2:6">
      <c r="B12" s="272" t="s">
        <v>11</v>
      </c>
      <c r="C12" s="313">
        <v>0.6</v>
      </c>
      <c r="D12" s="273"/>
    </row>
    <row r="13" spans="2:6">
      <c r="C13" s="230"/>
    </row>
    <row r="14" spans="2:6"/>
    <row r="15" spans="2:6" ht="15">
      <c r="B15" s="260" t="s">
        <v>527</v>
      </c>
      <c r="C15" s="259"/>
      <c r="D15" s="259"/>
      <c r="E15" s="259"/>
      <c r="F15" s="259"/>
    </row>
    <row r="16" spans="2:6"/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B427-E8E0-514B-9018-8A670911ADBA}">
  <sheetPr>
    <tabColor rgb="FFFFFFCC"/>
  </sheetPr>
  <dimension ref="A1:JA617"/>
  <sheetViews>
    <sheetView showGridLines="0" zoomScale="81" zoomScaleNormal="70" workbookViewId="0">
      <pane ySplit="10" topLeftCell="A11" activePane="bottomLeft" state="frozen"/>
      <selection pane="bottomLeft" activeCell="G9" sqref="G9"/>
    </sheetView>
  </sheetViews>
  <sheetFormatPr defaultColWidth="0" defaultRowHeight="12.75" zeroHeight="1" outlineLevelRow="1"/>
  <cols>
    <col min="1" max="1" width="3" style="4" customWidth="1"/>
    <col min="2" max="2" width="14" style="67" customWidth="1"/>
    <col min="3" max="4" width="33.28515625" style="67" customWidth="1"/>
    <col min="5" max="5" width="37.42578125" style="66" customWidth="1"/>
    <col min="6" max="6" width="38.42578125" style="66" customWidth="1"/>
    <col min="7" max="7" width="26.42578125" style="66" bestFit="1" customWidth="1"/>
    <col min="8" max="8" width="27.7109375" style="66" bestFit="1" customWidth="1"/>
    <col min="9" max="12" width="9" style="67" customWidth="1"/>
    <col min="13" max="13" width="8.85546875" style="43" customWidth="1"/>
    <col min="14" max="261" width="8.85546875" style="4" hidden="1" customWidth="1"/>
    <col min="262" max="16384" width="10.85546875" style="4" hidden="1"/>
  </cols>
  <sheetData>
    <row r="1" spans="2:14" ht="26.25">
      <c r="B1" s="114" t="s">
        <v>77</v>
      </c>
      <c r="C1" s="114"/>
      <c r="D1" s="114"/>
      <c r="E1" s="81"/>
      <c r="F1" s="81"/>
      <c r="G1" s="81"/>
      <c r="H1" s="81"/>
      <c r="I1" s="81"/>
      <c r="J1" s="81"/>
      <c r="K1" s="81"/>
      <c r="L1" s="81"/>
      <c r="N1" s="4" t="s">
        <v>464</v>
      </c>
    </row>
    <row r="2" spans="2:14" ht="20.25">
      <c r="B2" s="115"/>
      <c r="C2" s="115"/>
      <c r="D2" s="115"/>
      <c r="E2" s="82"/>
      <c r="F2" s="80"/>
      <c r="G2" s="80"/>
      <c r="H2" s="80"/>
      <c r="I2" s="80"/>
      <c r="J2" s="80"/>
      <c r="K2" s="80"/>
      <c r="L2" s="80"/>
    </row>
    <row r="3" spans="2:14" ht="23.1" customHeight="1">
      <c r="B3" s="79"/>
      <c r="C3" s="292" t="s">
        <v>76</v>
      </c>
      <c r="D3" s="292" t="s">
        <v>76</v>
      </c>
      <c r="E3" s="293" t="s">
        <v>76</v>
      </c>
      <c r="F3" s="293" t="s">
        <v>76</v>
      </c>
      <c r="G3" s="67"/>
      <c r="H3" s="67"/>
    </row>
    <row r="4" spans="2:14" ht="25.5">
      <c r="B4" s="294" t="s">
        <v>78</v>
      </c>
      <c r="C4" s="294" t="s">
        <v>532</v>
      </c>
      <c r="D4" s="294" t="s">
        <v>533</v>
      </c>
      <c r="E4" s="295" t="s">
        <v>79</v>
      </c>
      <c r="F4" s="295" t="s">
        <v>80</v>
      </c>
      <c r="G4" s="295" t="s">
        <v>534</v>
      </c>
      <c r="H4" s="295" t="s">
        <v>535</v>
      </c>
    </row>
    <row r="5" spans="2:14" ht="25.5">
      <c r="B5" s="294" t="s">
        <v>81</v>
      </c>
      <c r="C5" s="295" t="s">
        <v>537</v>
      </c>
      <c r="D5" s="295" t="s">
        <v>536</v>
      </c>
      <c r="E5" s="295" t="s">
        <v>538</v>
      </c>
      <c r="F5" s="295" t="s">
        <v>82</v>
      </c>
      <c r="G5" s="67"/>
      <c r="H5" s="67"/>
    </row>
    <row r="6" spans="2:14" ht="17.100000000000001" customHeight="1">
      <c r="B6" s="294" t="s">
        <v>83</v>
      </c>
      <c r="C6" s="295" t="s">
        <v>84</v>
      </c>
      <c r="D6" s="295" t="s">
        <v>84</v>
      </c>
      <c r="E6" s="295" t="s">
        <v>84</v>
      </c>
      <c r="F6" s="295" t="s">
        <v>84</v>
      </c>
      <c r="G6" s="295"/>
      <c r="H6" s="295"/>
    </row>
    <row r="7" spans="2:14" ht="15.95" customHeight="1">
      <c r="B7" s="294" t="s">
        <v>85</v>
      </c>
      <c r="C7" s="295" t="s">
        <v>86</v>
      </c>
      <c r="D7" s="295" t="s">
        <v>86</v>
      </c>
      <c r="E7" s="295" t="s">
        <v>86</v>
      </c>
      <c r="F7" s="295" t="s">
        <v>86</v>
      </c>
      <c r="G7" s="295"/>
      <c r="H7" s="295"/>
    </row>
    <row r="8" spans="2:14" ht="17.100000000000001" customHeight="1">
      <c r="B8" s="294" t="s">
        <v>87</v>
      </c>
      <c r="C8" s="294" t="s">
        <v>88</v>
      </c>
      <c r="D8" s="294" t="s">
        <v>88</v>
      </c>
      <c r="E8" s="295" t="s">
        <v>88</v>
      </c>
      <c r="F8" s="295" t="s">
        <v>88</v>
      </c>
      <c r="G8" s="295"/>
      <c r="H8" s="295"/>
    </row>
    <row r="9" spans="2:14" s="5" customFormat="1">
      <c r="B9" s="67" t="s">
        <v>89</v>
      </c>
      <c r="C9" s="291">
        <v>41519</v>
      </c>
      <c r="D9" s="291">
        <v>41519</v>
      </c>
      <c r="E9" s="66" t="s">
        <v>90</v>
      </c>
      <c r="F9" s="66" t="s">
        <v>90</v>
      </c>
      <c r="G9" s="66"/>
      <c r="H9" s="66"/>
      <c r="I9" s="68"/>
      <c r="J9" s="68"/>
      <c r="K9" s="68"/>
      <c r="L9" s="68"/>
      <c r="M9" s="44"/>
    </row>
    <row r="10" spans="2:14" ht="51">
      <c r="B10" s="116" t="s">
        <v>91</v>
      </c>
      <c r="C10" s="117" t="s">
        <v>92</v>
      </c>
      <c r="D10" s="117" t="s">
        <v>93</v>
      </c>
      <c r="E10" s="117" t="s">
        <v>92</v>
      </c>
      <c r="F10" s="117" t="s">
        <v>93</v>
      </c>
      <c r="G10" s="117" t="s">
        <v>92</v>
      </c>
      <c r="H10" s="117" t="s">
        <v>93</v>
      </c>
      <c r="I10" s="118" t="s">
        <v>1</v>
      </c>
      <c r="J10" s="119" t="s">
        <v>94</v>
      </c>
      <c r="K10" s="119" t="s">
        <v>95</v>
      </c>
      <c r="L10" s="119" t="s">
        <v>96</v>
      </c>
    </row>
    <row r="11" spans="2:14" s="162" customFormat="1" outlineLevel="1">
      <c r="B11" s="113">
        <v>26329</v>
      </c>
      <c r="C11" s="69">
        <v>5.65</v>
      </c>
      <c r="D11" s="69">
        <v>6.14</v>
      </c>
      <c r="G11" s="77">
        <f>IF(C11="",E11,C11)</f>
        <v>5.65</v>
      </c>
      <c r="H11" s="77">
        <f>IF(D11="",F11,D11)</f>
        <v>6.14</v>
      </c>
      <c r="I11" s="77">
        <f>H11-G11</f>
        <v>0.48999999999999932</v>
      </c>
      <c r="J11" s="78">
        <f>G11  +  0.6  *  6.9</f>
        <v>9.7899999999999991</v>
      </c>
      <c r="K11" s="78">
        <f>H11  +  0.6  *  6.67</f>
        <v>10.141999999999999</v>
      </c>
      <c r="L11" s="78">
        <f t="shared" ref="L11:L74" si="0">K11-J11</f>
        <v>0.35200000000000031</v>
      </c>
    </row>
    <row r="12" spans="2:14" s="162" customFormat="1" outlineLevel="1">
      <c r="B12" s="113">
        <v>26358</v>
      </c>
      <c r="C12" s="69">
        <v>5.46</v>
      </c>
      <c r="D12" s="69">
        <v>5.84</v>
      </c>
      <c r="G12" s="77">
        <f t="shared" ref="G12:G75" si="1">IF(C12="",E12,C12)</f>
        <v>5.46</v>
      </c>
      <c r="H12" s="77">
        <f t="shared" ref="H12:H75" si="2">IF(D12="",F12,D12)</f>
        <v>5.84</v>
      </c>
      <c r="I12" s="77">
        <f t="shared" ref="I12:I75" si="3">H12-G12</f>
        <v>0.37999999999999989</v>
      </c>
      <c r="J12" s="78">
        <f t="shared" ref="J12:J75" si="4">G12  +  0.6  *  6.9</f>
        <v>9.6</v>
      </c>
      <c r="K12" s="78">
        <f t="shared" ref="K12:K75" si="5">H12  +  0.6  *  6.67</f>
        <v>9.8419999999999987</v>
      </c>
      <c r="L12" s="78">
        <f t="shared" si="0"/>
        <v>0.2419999999999991</v>
      </c>
    </row>
    <row r="13" spans="2:14" s="162" customFormat="1" outlineLevel="1">
      <c r="B13" s="113">
        <v>26389</v>
      </c>
      <c r="C13" s="69">
        <v>5.52</v>
      </c>
      <c r="D13" s="69">
        <v>5.84</v>
      </c>
      <c r="G13" s="77">
        <f t="shared" si="1"/>
        <v>5.52</v>
      </c>
      <c r="H13" s="77">
        <f t="shared" si="2"/>
        <v>5.84</v>
      </c>
      <c r="I13" s="77">
        <f t="shared" si="3"/>
        <v>0.32000000000000028</v>
      </c>
      <c r="J13" s="78">
        <f t="shared" si="4"/>
        <v>9.66</v>
      </c>
      <c r="K13" s="78">
        <f t="shared" si="5"/>
        <v>9.8419999999999987</v>
      </c>
      <c r="L13" s="78">
        <f t="shared" si="0"/>
        <v>0.18199999999999861</v>
      </c>
    </row>
    <row r="14" spans="2:14" s="162" customFormat="1" outlineLevel="1">
      <c r="B14" s="113">
        <v>26419</v>
      </c>
      <c r="C14" s="69">
        <v>5.4</v>
      </c>
      <c r="D14" s="69">
        <v>5.85</v>
      </c>
      <c r="G14" s="77">
        <f t="shared" si="1"/>
        <v>5.4</v>
      </c>
      <c r="H14" s="77">
        <f t="shared" si="2"/>
        <v>5.85</v>
      </c>
      <c r="I14" s="77">
        <f t="shared" si="3"/>
        <v>0.44999999999999929</v>
      </c>
      <c r="J14" s="78">
        <f t="shared" si="4"/>
        <v>9.5399999999999991</v>
      </c>
      <c r="K14" s="78">
        <f t="shared" si="5"/>
        <v>9.8520000000000003</v>
      </c>
      <c r="L14" s="78">
        <f t="shared" si="0"/>
        <v>0.31200000000000117</v>
      </c>
    </row>
    <row r="15" spans="2:14" s="162" customFormat="1" outlineLevel="1">
      <c r="B15" s="113">
        <v>26450</v>
      </c>
      <c r="C15" s="69">
        <v>5.43</v>
      </c>
      <c r="D15" s="69">
        <v>5.85</v>
      </c>
      <c r="G15" s="77">
        <f t="shared" si="1"/>
        <v>5.43</v>
      </c>
      <c r="H15" s="77">
        <f t="shared" si="2"/>
        <v>5.85</v>
      </c>
      <c r="I15" s="77">
        <f t="shared" si="3"/>
        <v>0.41999999999999993</v>
      </c>
      <c r="J15" s="78">
        <f t="shared" si="4"/>
        <v>9.57</v>
      </c>
      <c r="K15" s="78">
        <f t="shared" si="5"/>
        <v>9.8520000000000003</v>
      </c>
      <c r="L15" s="78">
        <f t="shared" si="0"/>
        <v>0.28200000000000003</v>
      </c>
    </row>
    <row r="16" spans="2:14" s="162" customFormat="1" outlineLevel="1">
      <c r="B16" s="113">
        <v>26480</v>
      </c>
      <c r="C16" s="69">
        <v>5.5</v>
      </c>
      <c r="D16" s="69">
        <v>5.85</v>
      </c>
      <c r="G16" s="77">
        <f t="shared" si="1"/>
        <v>5.5</v>
      </c>
      <c r="H16" s="77">
        <f t="shared" si="2"/>
        <v>5.85</v>
      </c>
      <c r="I16" s="77">
        <f t="shared" si="3"/>
        <v>0.34999999999999964</v>
      </c>
      <c r="J16" s="78">
        <f t="shared" si="4"/>
        <v>9.64</v>
      </c>
      <c r="K16" s="78">
        <f t="shared" si="5"/>
        <v>9.8520000000000003</v>
      </c>
      <c r="L16" s="78">
        <f t="shared" si="0"/>
        <v>0.21199999999999974</v>
      </c>
    </row>
    <row r="17" spans="2:12" s="162" customFormat="1" outlineLevel="1">
      <c r="B17" s="113">
        <v>26511</v>
      </c>
      <c r="C17" s="69">
        <v>5.19</v>
      </c>
      <c r="D17" s="69">
        <v>5.8</v>
      </c>
      <c r="G17" s="77">
        <f t="shared" si="1"/>
        <v>5.19</v>
      </c>
      <c r="H17" s="77">
        <f t="shared" si="2"/>
        <v>5.8</v>
      </c>
      <c r="I17" s="77">
        <f t="shared" si="3"/>
        <v>0.60999999999999943</v>
      </c>
      <c r="J17" s="78">
        <f t="shared" si="4"/>
        <v>9.33</v>
      </c>
      <c r="K17" s="78">
        <f t="shared" si="5"/>
        <v>9.8019999999999996</v>
      </c>
      <c r="L17" s="78">
        <f t="shared" si="0"/>
        <v>0.47199999999999953</v>
      </c>
    </row>
    <row r="18" spans="2:12" s="162" customFormat="1" outlineLevel="1">
      <c r="B18" s="113">
        <v>26542</v>
      </c>
      <c r="C18" s="69">
        <v>5.22</v>
      </c>
      <c r="D18" s="69">
        <v>5.75</v>
      </c>
      <c r="G18" s="77">
        <f t="shared" si="1"/>
        <v>5.22</v>
      </c>
      <c r="H18" s="77">
        <f t="shared" si="2"/>
        <v>5.75</v>
      </c>
      <c r="I18" s="77">
        <f t="shared" si="3"/>
        <v>0.53000000000000025</v>
      </c>
      <c r="J18" s="78">
        <f t="shared" si="4"/>
        <v>9.36</v>
      </c>
      <c r="K18" s="78">
        <f t="shared" si="5"/>
        <v>9.7519999999999989</v>
      </c>
      <c r="L18" s="78">
        <f t="shared" si="0"/>
        <v>0.39199999999999946</v>
      </c>
    </row>
    <row r="19" spans="2:12" s="162" customFormat="1" outlineLevel="1">
      <c r="B19" s="113">
        <v>26572</v>
      </c>
      <c r="C19" s="69">
        <v>5.2</v>
      </c>
      <c r="D19" s="69">
        <v>5.75</v>
      </c>
      <c r="G19" s="77">
        <f t="shared" si="1"/>
        <v>5.2</v>
      </c>
      <c r="H19" s="77">
        <f t="shared" si="2"/>
        <v>5.75</v>
      </c>
      <c r="I19" s="77">
        <f t="shared" si="3"/>
        <v>0.54999999999999982</v>
      </c>
      <c r="J19" s="78">
        <f t="shared" si="4"/>
        <v>9.34</v>
      </c>
      <c r="K19" s="78">
        <f t="shared" si="5"/>
        <v>9.7519999999999989</v>
      </c>
      <c r="L19" s="78">
        <f t="shared" si="0"/>
        <v>0.41199999999999903</v>
      </c>
    </row>
    <row r="20" spans="2:12" s="162" customFormat="1" outlineLevel="1">
      <c r="B20" s="113">
        <v>26603</v>
      </c>
      <c r="C20" s="69">
        <v>5.27</v>
      </c>
      <c r="D20" s="69">
        <v>5.77</v>
      </c>
      <c r="G20" s="77">
        <f t="shared" si="1"/>
        <v>5.27</v>
      </c>
      <c r="H20" s="77">
        <f t="shared" si="2"/>
        <v>5.77</v>
      </c>
      <c r="I20" s="77">
        <f t="shared" si="3"/>
        <v>0.5</v>
      </c>
      <c r="J20" s="78">
        <f t="shared" si="4"/>
        <v>9.41</v>
      </c>
      <c r="K20" s="78">
        <f t="shared" si="5"/>
        <v>9.7719999999999985</v>
      </c>
      <c r="L20" s="78">
        <f t="shared" si="0"/>
        <v>0.36199999999999832</v>
      </c>
    </row>
    <row r="21" spans="2:12" s="162" customFormat="1" outlineLevel="1">
      <c r="B21" s="113">
        <v>26633</v>
      </c>
      <c r="C21" s="69">
        <v>5.27</v>
      </c>
      <c r="D21" s="69">
        <v>5.76</v>
      </c>
      <c r="G21" s="77">
        <f t="shared" si="1"/>
        <v>5.27</v>
      </c>
      <c r="H21" s="77">
        <f t="shared" si="2"/>
        <v>5.76</v>
      </c>
      <c r="I21" s="77">
        <f t="shared" si="3"/>
        <v>0.49000000000000021</v>
      </c>
      <c r="J21" s="78">
        <f t="shared" si="4"/>
        <v>9.41</v>
      </c>
      <c r="K21" s="78">
        <f t="shared" si="5"/>
        <v>9.7620000000000005</v>
      </c>
      <c r="L21" s="78">
        <f t="shared" si="0"/>
        <v>0.35200000000000031</v>
      </c>
    </row>
    <row r="22" spans="2:12" s="162" customFormat="1" outlineLevel="1">
      <c r="B22" s="113">
        <v>26664</v>
      </c>
      <c r="C22" s="69">
        <v>5.4</v>
      </c>
      <c r="D22" s="69">
        <v>5.78</v>
      </c>
      <c r="G22" s="77">
        <f t="shared" si="1"/>
        <v>5.4</v>
      </c>
      <c r="H22" s="77">
        <f t="shared" si="2"/>
        <v>5.78</v>
      </c>
      <c r="I22" s="77">
        <f t="shared" si="3"/>
        <v>0.37999999999999989</v>
      </c>
      <c r="J22" s="78">
        <f t="shared" si="4"/>
        <v>9.5399999999999991</v>
      </c>
      <c r="K22" s="78">
        <f t="shared" si="5"/>
        <v>9.782</v>
      </c>
      <c r="L22" s="78">
        <f t="shared" si="0"/>
        <v>0.24200000000000088</v>
      </c>
    </row>
    <row r="23" spans="2:12" s="162" customFormat="1" outlineLevel="1">
      <c r="B23" s="113">
        <v>26695</v>
      </c>
      <c r="C23" s="69">
        <v>5.24</v>
      </c>
      <c r="D23" s="69">
        <v>5.69</v>
      </c>
      <c r="G23" s="77">
        <f t="shared" si="1"/>
        <v>5.24</v>
      </c>
      <c r="H23" s="77">
        <f t="shared" si="2"/>
        <v>5.69</v>
      </c>
      <c r="I23" s="77">
        <f t="shared" si="3"/>
        <v>0.45000000000000018</v>
      </c>
      <c r="J23" s="78">
        <f t="shared" si="4"/>
        <v>9.379999999999999</v>
      </c>
      <c r="K23" s="78">
        <f t="shared" si="5"/>
        <v>9.6920000000000002</v>
      </c>
      <c r="L23" s="78">
        <f t="shared" si="0"/>
        <v>0.31200000000000117</v>
      </c>
    </row>
    <row r="24" spans="2:12" s="162" customFormat="1" outlineLevel="1">
      <c r="B24" s="113">
        <v>26723</v>
      </c>
      <c r="C24" s="69">
        <v>5.31</v>
      </c>
      <c r="D24" s="69">
        <v>5.76</v>
      </c>
      <c r="G24" s="77">
        <f t="shared" si="1"/>
        <v>5.31</v>
      </c>
      <c r="H24" s="77">
        <f t="shared" si="2"/>
        <v>5.76</v>
      </c>
      <c r="I24" s="77">
        <f t="shared" si="3"/>
        <v>0.45000000000000018</v>
      </c>
      <c r="J24" s="78">
        <f t="shared" si="4"/>
        <v>9.4499999999999993</v>
      </c>
      <c r="K24" s="78">
        <f t="shared" si="5"/>
        <v>9.7620000000000005</v>
      </c>
      <c r="L24" s="78">
        <f t="shared" si="0"/>
        <v>0.31200000000000117</v>
      </c>
    </row>
    <row r="25" spans="2:12" s="162" customFormat="1" outlineLevel="1">
      <c r="B25" s="113">
        <v>26754</v>
      </c>
      <c r="C25" s="69">
        <v>5.4</v>
      </c>
      <c r="D25" s="69">
        <v>5.8</v>
      </c>
      <c r="G25" s="77">
        <f t="shared" si="1"/>
        <v>5.4</v>
      </c>
      <c r="H25" s="77">
        <f t="shared" si="2"/>
        <v>5.8</v>
      </c>
      <c r="I25" s="77">
        <f t="shared" si="3"/>
        <v>0.39999999999999947</v>
      </c>
      <c r="J25" s="78">
        <f t="shared" si="4"/>
        <v>9.5399999999999991</v>
      </c>
      <c r="K25" s="78">
        <f t="shared" si="5"/>
        <v>9.8019999999999996</v>
      </c>
      <c r="L25" s="78">
        <f t="shared" si="0"/>
        <v>0.26200000000000045</v>
      </c>
    </row>
    <row r="26" spans="2:12" s="162" customFormat="1" outlineLevel="1">
      <c r="B26" s="113">
        <v>26784</v>
      </c>
      <c r="C26" s="69">
        <v>5.8</v>
      </c>
      <c r="D26" s="69">
        <v>6.12</v>
      </c>
      <c r="G26" s="77">
        <f t="shared" si="1"/>
        <v>5.8</v>
      </c>
      <c r="H26" s="77">
        <f t="shared" si="2"/>
        <v>6.12</v>
      </c>
      <c r="I26" s="77">
        <f t="shared" si="3"/>
        <v>0.32000000000000028</v>
      </c>
      <c r="J26" s="78">
        <f t="shared" si="4"/>
        <v>9.94</v>
      </c>
      <c r="K26" s="78">
        <f t="shared" si="5"/>
        <v>10.122</v>
      </c>
      <c r="L26" s="78">
        <f t="shared" si="0"/>
        <v>0.18200000000000038</v>
      </c>
    </row>
    <row r="27" spans="2:12" s="162" customFormat="1" outlineLevel="1">
      <c r="B27" s="113">
        <v>26815</v>
      </c>
      <c r="C27" s="69">
        <v>5.92</v>
      </c>
      <c r="D27" s="69">
        <v>6.2</v>
      </c>
      <c r="G27" s="77">
        <f t="shared" si="1"/>
        <v>5.92</v>
      </c>
      <c r="H27" s="77">
        <f t="shared" si="2"/>
        <v>6.2</v>
      </c>
      <c r="I27" s="77">
        <f t="shared" si="3"/>
        <v>0.28000000000000025</v>
      </c>
      <c r="J27" s="78">
        <f t="shared" si="4"/>
        <v>10.059999999999999</v>
      </c>
      <c r="K27" s="78">
        <f t="shared" si="5"/>
        <v>10.202</v>
      </c>
      <c r="L27" s="78">
        <f t="shared" si="0"/>
        <v>0.14200000000000124</v>
      </c>
    </row>
    <row r="28" spans="2:12" s="162" customFormat="1" outlineLevel="1">
      <c r="B28" s="113">
        <v>26845</v>
      </c>
      <c r="C28" s="69">
        <v>6.42</v>
      </c>
      <c r="D28" s="69">
        <v>6.72</v>
      </c>
      <c r="G28" s="77">
        <f t="shared" si="1"/>
        <v>6.42</v>
      </c>
      <c r="H28" s="77">
        <f t="shared" si="2"/>
        <v>6.72</v>
      </c>
      <c r="I28" s="77">
        <f t="shared" si="3"/>
        <v>0.29999999999999982</v>
      </c>
      <c r="J28" s="78">
        <f t="shared" si="4"/>
        <v>10.559999999999999</v>
      </c>
      <c r="K28" s="78">
        <f t="shared" si="5"/>
        <v>10.722</v>
      </c>
      <c r="L28" s="78">
        <f t="shared" si="0"/>
        <v>0.16200000000000081</v>
      </c>
    </row>
    <row r="29" spans="2:12" s="162" customFormat="1" outlineLevel="1">
      <c r="B29" s="113">
        <v>26876</v>
      </c>
      <c r="C29" s="69">
        <v>6.44</v>
      </c>
      <c r="D29" s="69">
        <v>6.74</v>
      </c>
      <c r="G29" s="77">
        <f t="shared" si="1"/>
        <v>6.44</v>
      </c>
      <c r="H29" s="77">
        <f t="shared" si="2"/>
        <v>6.74</v>
      </c>
      <c r="I29" s="77">
        <f t="shared" si="3"/>
        <v>0.29999999999999982</v>
      </c>
      <c r="J29" s="78">
        <f t="shared" si="4"/>
        <v>10.58</v>
      </c>
      <c r="K29" s="78">
        <f t="shared" si="5"/>
        <v>10.742000000000001</v>
      </c>
      <c r="L29" s="78">
        <f t="shared" si="0"/>
        <v>0.16200000000000081</v>
      </c>
    </row>
    <row r="30" spans="2:12" s="162" customFormat="1" outlineLevel="1">
      <c r="B30" s="113">
        <v>26907</v>
      </c>
      <c r="C30" s="69">
        <v>6.42</v>
      </c>
      <c r="D30" s="69">
        <v>6.73</v>
      </c>
      <c r="G30" s="77">
        <f t="shared" si="1"/>
        <v>6.42</v>
      </c>
      <c r="H30" s="77">
        <f t="shared" si="2"/>
        <v>6.73</v>
      </c>
      <c r="I30" s="77">
        <f t="shared" si="3"/>
        <v>0.3100000000000005</v>
      </c>
      <c r="J30" s="78">
        <f t="shared" si="4"/>
        <v>10.559999999999999</v>
      </c>
      <c r="K30" s="78">
        <f t="shared" si="5"/>
        <v>10.731999999999999</v>
      </c>
      <c r="L30" s="78">
        <f t="shared" si="0"/>
        <v>0.1720000000000006</v>
      </c>
    </row>
    <row r="31" spans="2:12" s="162" customFormat="1" outlineLevel="1">
      <c r="B31" s="113">
        <v>26937</v>
      </c>
      <c r="C31" s="69">
        <v>8.25</v>
      </c>
      <c r="D31" s="69">
        <v>8.3800000000000008</v>
      </c>
      <c r="G31" s="77">
        <f t="shared" si="1"/>
        <v>8.25</v>
      </c>
      <c r="H31" s="77">
        <f t="shared" si="2"/>
        <v>8.3800000000000008</v>
      </c>
      <c r="I31" s="77">
        <f t="shared" si="3"/>
        <v>0.13000000000000078</v>
      </c>
      <c r="J31" s="78">
        <f t="shared" si="4"/>
        <v>12.39</v>
      </c>
      <c r="K31" s="78">
        <f t="shared" si="5"/>
        <v>12.382000000000001</v>
      </c>
      <c r="L31" s="78">
        <f t="shared" si="0"/>
        <v>-7.9999999999991189E-3</v>
      </c>
    </row>
    <row r="32" spans="2:12" s="162" customFormat="1" outlineLevel="1">
      <c r="B32" s="113">
        <v>26968</v>
      </c>
      <c r="C32" s="69">
        <v>8.24</v>
      </c>
      <c r="D32" s="69">
        <v>8.35</v>
      </c>
      <c r="G32" s="77">
        <f t="shared" si="1"/>
        <v>8.24</v>
      </c>
      <c r="H32" s="77">
        <f t="shared" si="2"/>
        <v>8.35</v>
      </c>
      <c r="I32" s="77">
        <f t="shared" si="3"/>
        <v>0.10999999999999943</v>
      </c>
      <c r="J32" s="78">
        <f t="shared" si="4"/>
        <v>12.379999999999999</v>
      </c>
      <c r="K32" s="78">
        <f t="shared" si="5"/>
        <v>12.352</v>
      </c>
      <c r="L32" s="78">
        <f t="shared" si="0"/>
        <v>-2.7999999999998693E-2</v>
      </c>
    </row>
    <row r="33" spans="2:12" s="162" customFormat="1" outlineLevel="1">
      <c r="B33" s="113">
        <v>26998</v>
      </c>
      <c r="C33" s="69">
        <v>8.24</v>
      </c>
      <c r="D33" s="69">
        <v>8.35</v>
      </c>
      <c r="G33" s="77">
        <f t="shared" si="1"/>
        <v>8.24</v>
      </c>
      <c r="H33" s="77">
        <f t="shared" si="2"/>
        <v>8.35</v>
      </c>
      <c r="I33" s="77">
        <f t="shared" si="3"/>
        <v>0.10999999999999943</v>
      </c>
      <c r="J33" s="78">
        <f t="shared" si="4"/>
        <v>12.379999999999999</v>
      </c>
      <c r="K33" s="78">
        <f t="shared" si="5"/>
        <v>12.352</v>
      </c>
      <c r="L33" s="78">
        <f t="shared" si="0"/>
        <v>-2.7999999999998693E-2</v>
      </c>
    </row>
    <row r="34" spans="2:12" s="162" customFormat="1" outlineLevel="1">
      <c r="B34" s="113">
        <v>27029</v>
      </c>
      <c r="C34" s="69">
        <v>8.24</v>
      </c>
      <c r="D34" s="69">
        <v>8.36</v>
      </c>
      <c r="G34" s="77">
        <f t="shared" si="1"/>
        <v>8.24</v>
      </c>
      <c r="H34" s="77">
        <f t="shared" si="2"/>
        <v>8.36</v>
      </c>
      <c r="I34" s="77">
        <f t="shared" si="3"/>
        <v>0.11999999999999922</v>
      </c>
      <c r="J34" s="78">
        <f t="shared" si="4"/>
        <v>12.379999999999999</v>
      </c>
      <c r="K34" s="78">
        <f t="shared" si="5"/>
        <v>12.361999999999998</v>
      </c>
      <c r="L34" s="78">
        <f t="shared" si="0"/>
        <v>-1.8000000000000682E-2</v>
      </c>
    </row>
    <row r="35" spans="2:12" s="162" customFormat="1" outlineLevel="1">
      <c r="B35" s="113">
        <v>27060</v>
      </c>
      <c r="C35" s="69">
        <v>8.24</v>
      </c>
      <c r="D35" s="69">
        <v>8.36</v>
      </c>
      <c r="G35" s="77">
        <f t="shared" si="1"/>
        <v>8.24</v>
      </c>
      <c r="H35" s="77">
        <f t="shared" si="2"/>
        <v>8.36</v>
      </c>
      <c r="I35" s="77">
        <f t="shared" si="3"/>
        <v>0.11999999999999922</v>
      </c>
      <c r="J35" s="78">
        <f t="shared" si="4"/>
        <v>12.379999999999999</v>
      </c>
      <c r="K35" s="78">
        <f t="shared" si="5"/>
        <v>12.361999999999998</v>
      </c>
      <c r="L35" s="78">
        <f t="shared" si="0"/>
        <v>-1.8000000000000682E-2</v>
      </c>
    </row>
    <row r="36" spans="2:12" s="162" customFormat="1" outlineLevel="1">
      <c r="B36" s="113">
        <v>27088</v>
      </c>
      <c r="C36" s="69">
        <v>8.25</v>
      </c>
      <c r="D36" s="69">
        <v>8.36</v>
      </c>
      <c r="G36" s="77">
        <f t="shared" si="1"/>
        <v>8.25</v>
      </c>
      <c r="H36" s="77">
        <f t="shared" si="2"/>
        <v>8.36</v>
      </c>
      <c r="I36" s="77">
        <f t="shared" si="3"/>
        <v>0.10999999999999943</v>
      </c>
      <c r="J36" s="78">
        <f t="shared" si="4"/>
        <v>12.39</v>
      </c>
      <c r="K36" s="78">
        <f t="shared" si="5"/>
        <v>12.361999999999998</v>
      </c>
      <c r="L36" s="78">
        <f t="shared" si="0"/>
        <v>-2.8000000000002245E-2</v>
      </c>
    </row>
    <row r="37" spans="2:12" s="162" customFormat="1" outlineLevel="1">
      <c r="B37" s="113">
        <v>27119</v>
      </c>
      <c r="C37" s="69">
        <v>8.25</v>
      </c>
      <c r="D37" s="69">
        <v>8.3699999999999992</v>
      </c>
      <c r="G37" s="77">
        <f t="shared" si="1"/>
        <v>8.25</v>
      </c>
      <c r="H37" s="77">
        <f t="shared" si="2"/>
        <v>8.3699999999999992</v>
      </c>
      <c r="I37" s="77">
        <f t="shared" si="3"/>
        <v>0.11999999999999922</v>
      </c>
      <c r="J37" s="78">
        <f t="shared" si="4"/>
        <v>12.39</v>
      </c>
      <c r="K37" s="78">
        <f t="shared" si="5"/>
        <v>12.372</v>
      </c>
      <c r="L37" s="78">
        <f t="shared" si="0"/>
        <v>-1.8000000000000682E-2</v>
      </c>
    </row>
    <row r="38" spans="2:12" s="162" customFormat="1" outlineLevel="1">
      <c r="B38" s="113">
        <v>27149</v>
      </c>
      <c r="C38" s="69">
        <v>8.25</v>
      </c>
      <c r="D38" s="69">
        <v>8.3800000000000008</v>
      </c>
      <c r="G38" s="77">
        <f t="shared" si="1"/>
        <v>8.25</v>
      </c>
      <c r="H38" s="77">
        <f t="shared" si="2"/>
        <v>8.3800000000000008</v>
      </c>
      <c r="I38" s="77">
        <f t="shared" si="3"/>
        <v>0.13000000000000078</v>
      </c>
      <c r="J38" s="78">
        <f t="shared" si="4"/>
        <v>12.39</v>
      </c>
      <c r="K38" s="78">
        <f t="shared" si="5"/>
        <v>12.382000000000001</v>
      </c>
      <c r="L38" s="78">
        <f t="shared" si="0"/>
        <v>-7.9999999999991189E-3</v>
      </c>
    </row>
    <row r="39" spans="2:12" s="162" customFormat="1" outlineLevel="1">
      <c r="B39" s="113">
        <v>27180</v>
      </c>
      <c r="C39" s="69">
        <v>8.6</v>
      </c>
      <c r="D39" s="69">
        <v>8.4499999999999993</v>
      </c>
      <c r="G39" s="77">
        <f t="shared" si="1"/>
        <v>8.6</v>
      </c>
      <c r="H39" s="77">
        <f t="shared" si="2"/>
        <v>8.4499999999999993</v>
      </c>
      <c r="I39" s="77">
        <f t="shared" si="3"/>
        <v>-0.15000000000000036</v>
      </c>
      <c r="J39" s="78">
        <f t="shared" si="4"/>
        <v>12.739999999999998</v>
      </c>
      <c r="K39" s="78">
        <f t="shared" si="5"/>
        <v>12.451999999999998</v>
      </c>
      <c r="L39" s="78">
        <f t="shared" si="0"/>
        <v>-0.28800000000000026</v>
      </c>
    </row>
    <row r="40" spans="2:12" s="162" customFormat="1" outlineLevel="1">
      <c r="B40" s="113">
        <v>27210</v>
      </c>
      <c r="C40" s="69">
        <v>9.92</v>
      </c>
      <c r="D40" s="69">
        <v>9.52</v>
      </c>
      <c r="G40" s="77">
        <f t="shared" si="1"/>
        <v>9.92</v>
      </c>
      <c r="H40" s="77">
        <f t="shared" si="2"/>
        <v>9.52</v>
      </c>
      <c r="I40" s="77">
        <f t="shared" si="3"/>
        <v>-0.40000000000000036</v>
      </c>
      <c r="J40" s="78">
        <f t="shared" si="4"/>
        <v>14.059999999999999</v>
      </c>
      <c r="K40" s="78">
        <f t="shared" si="5"/>
        <v>13.521999999999998</v>
      </c>
      <c r="L40" s="78">
        <f t="shared" si="0"/>
        <v>-0.53800000000000026</v>
      </c>
    </row>
    <row r="41" spans="2:12" s="162" customFormat="1" outlineLevel="1">
      <c r="B41" s="113">
        <v>27241</v>
      </c>
      <c r="C41" s="69">
        <v>9.91</v>
      </c>
      <c r="D41" s="69">
        <v>9.5</v>
      </c>
      <c r="G41" s="77">
        <f t="shared" si="1"/>
        <v>9.91</v>
      </c>
      <c r="H41" s="77">
        <f t="shared" si="2"/>
        <v>9.5</v>
      </c>
      <c r="I41" s="77">
        <f t="shared" si="3"/>
        <v>-0.41000000000000014</v>
      </c>
      <c r="J41" s="78">
        <f t="shared" si="4"/>
        <v>14.05</v>
      </c>
      <c r="K41" s="78">
        <f t="shared" si="5"/>
        <v>13.501999999999999</v>
      </c>
      <c r="L41" s="78">
        <f t="shared" si="0"/>
        <v>-0.54800000000000182</v>
      </c>
    </row>
    <row r="42" spans="2:12" s="162" customFormat="1" outlineLevel="1">
      <c r="B42" s="113">
        <v>27272</v>
      </c>
      <c r="C42" s="69">
        <v>9.93</v>
      </c>
      <c r="D42" s="69">
        <v>9.5</v>
      </c>
      <c r="G42" s="77">
        <f t="shared" si="1"/>
        <v>9.93</v>
      </c>
      <c r="H42" s="77">
        <f t="shared" si="2"/>
        <v>9.5</v>
      </c>
      <c r="I42" s="77">
        <f t="shared" si="3"/>
        <v>-0.42999999999999972</v>
      </c>
      <c r="J42" s="78">
        <f t="shared" si="4"/>
        <v>14.07</v>
      </c>
      <c r="K42" s="78">
        <f t="shared" si="5"/>
        <v>13.501999999999999</v>
      </c>
      <c r="L42" s="78">
        <f t="shared" si="0"/>
        <v>-0.56800000000000139</v>
      </c>
    </row>
    <row r="43" spans="2:12" s="162" customFormat="1" outlineLevel="1">
      <c r="B43" s="113">
        <v>27302</v>
      </c>
      <c r="C43" s="69">
        <v>9.94</v>
      </c>
      <c r="D43" s="69">
        <v>9.5</v>
      </c>
      <c r="G43" s="77">
        <f t="shared" si="1"/>
        <v>9.94</v>
      </c>
      <c r="H43" s="77">
        <f t="shared" si="2"/>
        <v>9.5</v>
      </c>
      <c r="I43" s="77">
        <f t="shared" si="3"/>
        <v>-0.4399999999999995</v>
      </c>
      <c r="J43" s="78">
        <f t="shared" si="4"/>
        <v>14.079999999999998</v>
      </c>
      <c r="K43" s="78">
        <f t="shared" si="5"/>
        <v>13.501999999999999</v>
      </c>
      <c r="L43" s="78">
        <f t="shared" si="0"/>
        <v>-0.5779999999999994</v>
      </c>
    </row>
    <row r="44" spans="2:12" s="162" customFormat="1" outlineLevel="1">
      <c r="B44" s="113">
        <v>27333</v>
      </c>
      <c r="C44" s="69">
        <v>9.5</v>
      </c>
      <c r="D44" s="69">
        <v>9.5</v>
      </c>
      <c r="G44" s="77">
        <f t="shared" si="1"/>
        <v>9.5</v>
      </c>
      <c r="H44" s="77">
        <f t="shared" si="2"/>
        <v>9.5</v>
      </c>
      <c r="I44" s="77">
        <f t="shared" si="3"/>
        <v>0</v>
      </c>
      <c r="J44" s="78">
        <f t="shared" si="4"/>
        <v>13.64</v>
      </c>
      <c r="K44" s="78">
        <f t="shared" si="5"/>
        <v>13.501999999999999</v>
      </c>
      <c r="L44" s="78">
        <f t="shared" si="0"/>
        <v>-0.13800000000000168</v>
      </c>
    </row>
    <row r="45" spans="2:12" s="162" customFormat="1" outlineLevel="1">
      <c r="B45" s="113">
        <v>27363</v>
      </c>
      <c r="C45" s="69">
        <v>9.43</v>
      </c>
      <c r="D45" s="69">
        <v>9.5</v>
      </c>
      <c r="G45" s="77">
        <f t="shared" si="1"/>
        <v>9.43</v>
      </c>
      <c r="H45" s="77">
        <f t="shared" si="2"/>
        <v>9.5</v>
      </c>
      <c r="I45" s="77">
        <f t="shared" si="3"/>
        <v>7.0000000000000284E-2</v>
      </c>
      <c r="J45" s="78">
        <f t="shared" si="4"/>
        <v>13.57</v>
      </c>
      <c r="K45" s="78">
        <f t="shared" si="5"/>
        <v>13.501999999999999</v>
      </c>
      <c r="L45" s="78">
        <f t="shared" si="0"/>
        <v>-6.8000000000001393E-2</v>
      </c>
    </row>
    <row r="46" spans="2:12" s="162" customFormat="1" outlineLevel="1">
      <c r="B46" s="113">
        <v>27394</v>
      </c>
      <c r="C46" s="69">
        <v>9.15</v>
      </c>
      <c r="D46" s="69">
        <v>9.5</v>
      </c>
      <c r="G46" s="77">
        <f t="shared" si="1"/>
        <v>9.15</v>
      </c>
      <c r="H46" s="77">
        <f t="shared" si="2"/>
        <v>9.5</v>
      </c>
      <c r="I46" s="77">
        <f t="shared" si="3"/>
        <v>0.34999999999999964</v>
      </c>
      <c r="J46" s="78">
        <f t="shared" si="4"/>
        <v>13.29</v>
      </c>
      <c r="K46" s="78">
        <f t="shared" si="5"/>
        <v>13.501999999999999</v>
      </c>
      <c r="L46" s="78">
        <f t="shared" si="0"/>
        <v>0.21199999999999974</v>
      </c>
    </row>
    <row r="47" spans="2:12" s="162" customFormat="1" outlineLevel="1">
      <c r="B47" s="113">
        <v>27425</v>
      </c>
      <c r="C47" s="69">
        <v>8.93</v>
      </c>
      <c r="D47" s="69">
        <v>9.4</v>
      </c>
      <c r="G47" s="77">
        <f t="shared" si="1"/>
        <v>8.93</v>
      </c>
      <c r="H47" s="77">
        <f t="shared" si="2"/>
        <v>9.4</v>
      </c>
      <c r="I47" s="77">
        <f t="shared" si="3"/>
        <v>0.47000000000000064</v>
      </c>
      <c r="J47" s="78">
        <f t="shared" si="4"/>
        <v>13.07</v>
      </c>
      <c r="K47" s="78">
        <f t="shared" si="5"/>
        <v>13.402000000000001</v>
      </c>
      <c r="L47" s="78">
        <f t="shared" si="0"/>
        <v>0.33200000000000074</v>
      </c>
    </row>
    <row r="48" spans="2:12" s="162" customFormat="1" outlineLevel="1">
      <c r="B48" s="113">
        <v>27453</v>
      </c>
      <c r="C48" s="69">
        <v>9</v>
      </c>
      <c r="D48" s="69">
        <v>9.5</v>
      </c>
      <c r="G48" s="77">
        <f t="shared" si="1"/>
        <v>9</v>
      </c>
      <c r="H48" s="77">
        <f t="shared" si="2"/>
        <v>9.5</v>
      </c>
      <c r="I48" s="77">
        <f t="shared" si="3"/>
        <v>0.5</v>
      </c>
      <c r="J48" s="78">
        <f t="shared" si="4"/>
        <v>13.14</v>
      </c>
      <c r="K48" s="78">
        <f t="shared" si="5"/>
        <v>13.501999999999999</v>
      </c>
      <c r="L48" s="78">
        <f t="shared" si="0"/>
        <v>0.36199999999999832</v>
      </c>
    </row>
    <row r="49" spans="2:12" s="162" customFormat="1" outlineLevel="1">
      <c r="B49" s="113">
        <v>27484</v>
      </c>
      <c r="C49" s="69">
        <v>9</v>
      </c>
      <c r="D49" s="69">
        <v>9.5</v>
      </c>
      <c r="G49" s="77">
        <f t="shared" si="1"/>
        <v>9</v>
      </c>
      <c r="H49" s="77">
        <f t="shared" si="2"/>
        <v>9.5</v>
      </c>
      <c r="I49" s="77">
        <f t="shared" si="3"/>
        <v>0.5</v>
      </c>
      <c r="J49" s="78">
        <f t="shared" si="4"/>
        <v>13.14</v>
      </c>
      <c r="K49" s="78">
        <f t="shared" si="5"/>
        <v>13.501999999999999</v>
      </c>
      <c r="L49" s="78">
        <f t="shared" si="0"/>
        <v>0.36199999999999832</v>
      </c>
    </row>
    <row r="50" spans="2:12" s="162" customFormat="1" outlineLevel="1">
      <c r="B50" s="113">
        <v>27514</v>
      </c>
      <c r="C50" s="69">
        <v>9.0299999999999994</v>
      </c>
      <c r="D50" s="69">
        <v>9.5</v>
      </c>
      <c r="G50" s="77">
        <f t="shared" si="1"/>
        <v>9.0299999999999994</v>
      </c>
      <c r="H50" s="77">
        <f t="shared" si="2"/>
        <v>9.5</v>
      </c>
      <c r="I50" s="77">
        <f t="shared" si="3"/>
        <v>0.47000000000000064</v>
      </c>
      <c r="J50" s="78">
        <f t="shared" si="4"/>
        <v>13.169999999999998</v>
      </c>
      <c r="K50" s="78">
        <f t="shared" si="5"/>
        <v>13.501999999999999</v>
      </c>
      <c r="L50" s="78">
        <f t="shared" si="0"/>
        <v>0.33200000000000074</v>
      </c>
    </row>
    <row r="51" spans="2:12" s="162" customFormat="1" outlineLevel="1">
      <c r="B51" s="113">
        <v>27545</v>
      </c>
      <c r="C51" s="69">
        <v>9.02</v>
      </c>
      <c r="D51" s="69">
        <v>9.5</v>
      </c>
      <c r="G51" s="77">
        <f t="shared" si="1"/>
        <v>9.02</v>
      </c>
      <c r="H51" s="77">
        <f t="shared" si="2"/>
        <v>9.5</v>
      </c>
      <c r="I51" s="77">
        <f t="shared" si="3"/>
        <v>0.48000000000000043</v>
      </c>
      <c r="J51" s="78">
        <f t="shared" si="4"/>
        <v>13.16</v>
      </c>
      <c r="K51" s="78">
        <f t="shared" si="5"/>
        <v>13.501999999999999</v>
      </c>
      <c r="L51" s="78">
        <f t="shared" si="0"/>
        <v>0.34199999999999875</v>
      </c>
    </row>
    <row r="52" spans="2:12" s="162" customFormat="1" outlineLevel="1">
      <c r="B52" s="113">
        <v>27575</v>
      </c>
      <c r="C52" s="69">
        <v>9.0299999999999994</v>
      </c>
      <c r="D52" s="69">
        <v>9.5</v>
      </c>
      <c r="G52" s="77">
        <f t="shared" si="1"/>
        <v>9.0299999999999994</v>
      </c>
      <c r="H52" s="77">
        <f t="shared" si="2"/>
        <v>9.5</v>
      </c>
      <c r="I52" s="77">
        <f t="shared" si="3"/>
        <v>0.47000000000000064</v>
      </c>
      <c r="J52" s="78">
        <f t="shared" si="4"/>
        <v>13.169999999999998</v>
      </c>
      <c r="K52" s="78">
        <f t="shared" si="5"/>
        <v>13.501999999999999</v>
      </c>
      <c r="L52" s="78">
        <f t="shared" si="0"/>
        <v>0.33200000000000074</v>
      </c>
    </row>
    <row r="53" spans="2:12" s="162" customFormat="1" outlineLevel="1">
      <c r="B53" s="113">
        <v>27606</v>
      </c>
      <c r="C53" s="69">
        <v>9.4</v>
      </c>
      <c r="D53" s="69">
        <v>10</v>
      </c>
      <c r="G53" s="77">
        <f t="shared" si="1"/>
        <v>9.4</v>
      </c>
      <c r="H53" s="77">
        <f t="shared" si="2"/>
        <v>10</v>
      </c>
      <c r="I53" s="77">
        <f t="shared" si="3"/>
        <v>0.59999999999999964</v>
      </c>
      <c r="J53" s="78">
        <f t="shared" si="4"/>
        <v>13.54</v>
      </c>
      <c r="K53" s="78">
        <f t="shared" si="5"/>
        <v>14.001999999999999</v>
      </c>
      <c r="L53" s="78">
        <f t="shared" si="0"/>
        <v>0.46199999999999974</v>
      </c>
    </row>
    <row r="54" spans="2:12" s="162" customFormat="1" outlineLevel="1">
      <c r="B54" s="113">
        <v>27637</v>
      </c>
      <c r="C54" s="69">
        <v>9.41</v>
      </c>
      <c r="D54" s="69">
        <v>10</v>
      </c>
      <c r="G54" s="77">
        <f t="shared" si="1"/>
        <v>9.41</v>
      </c>
      <c r="H54" s="77">
        <f t="shared" si="2"/>
        <v>10</v>
      </c>
      <c r="I54" s="77">
        <f t="shared" si="3"/>
        <v>0.58999999999999986</v>
      </c>
      <c r="J54" s="78">
        <f t="shared" si="4"/>
        <v>13.55</v>
      </c>
      <c r="K54" s="78">
        <f t="shared" si="5"/>
        <v>14.001999999999999</v>
      </c>
      <c r="L54" s="78">
        <f t="shared" si="0"/>
        <v>0.45199999999999818</v>
      </c>
    </row>
    <row r="55" spans="2:12" s="162" customFormat="1" outlineLevel="1">
      <c r="B55" s="113">
        <v>27667</v>
      </c>
      <c r="C55" s="69">
        <v>9.44</v>
      </c>
      <c r="D55" s="69">
        <v>10</v>
      </c>
      <c r="G55" s="77">
        <f t="shared" si="1"/>
        <v>9.44</v>
      </c>
      <c r="H55" s="77">
        <f t="shared" si="2"/>
        <v>10</v>
      </c>
      <c r="I55" s="77">
        <f t="shared" si="3"/>
        <v>0.5600000000000005</v>
      </c>
      <c r="J55" s="78">
        <f t="shared" si="4"/>
        <v>13.579999999999998</v>
      </c>
      <c r="K55" s="78">
        <f t="shared" si="5"/>
        <v>14.001999999999999</v>
      </c>
      <c r="L55" s="78">
        <f t="shared" si="0"/>
        <v>0.4220000000000006</v>
      </c>
    </row>
    <row r="56" spans="2:12" s="162" customFormat="1" outlineLevel="1">
      <c r="B56" s="113">
        <v>27698</v>
      </c>
      <c r="C56" s="69">
        <v>9.4</v>
      </c>
      <c r="D56" s="69">
        <v>10</v>
      </c>
      <c r="G56" s="77">
        <f t="shared" si="1"/>
        <v>9.4</v>
      </c>
      <c r="H56" s="77">
        <f t="shared" si="2"/>
        <v>10</v>
      </c>
      <c r="I56" s="77">
        <f t="shared" si="3"/>
        <v>0.59999999999999964</v>
      </c>
      <c r="J56" s="78">
        <f t="shared" si="4"/>
        <v>13.54</v>
      </c>
      <c r="K56" s="78">
        <f t="shared" si="5"/>
        <v>14.001999999999999</v>
      </c>
      <c r="L56" s="78">
        <f t="shared" si="0"/>
        <v>0.46199999999999974</v>
      </c>
    </row>
    <row r="57" spans="2:12" s="162" customFormat="1" outlineLevel="1">
      <c r="B57" s="113">
        <v>27728</v>
      </c>
      <c r="C57" s="69">
        <v>9.41</v>
      </c>
      <c r="D57" s="69">
        <v>10</v>
      </c>
      <c r="G57" s="77">
        <f t="shared" si="1"/>
        <v>9.41</v>
      </c>
      <c r="H57" s="77">
        <f t="shared" si="2"/>
        <v>10</v>
      </c>
      <c r="I57" s="77">
        <f t="shared" si="3"/>
        <v>0.58999999999999986</v>
      </c>
      <c r="J57" s="78">
        <f t="shared" si="4"/>
        <v>13.55</v>
      </c>
      <c r="K57" s="78">
        <f t="shared" si="5"/>
        <v>14.001999999999999</v>
      </c>
      <c r="L57" s="78">
        <f t="shared" si="0"/>
        <v>0.45199999999999818</v>
      </c>
    </row>
    <row r="58" spans="2:12" s="162" customFormat="1" outlineLevel="1">
      <c r="B58" s="113">
        <v>27759</v>
      </c>
      <c r="C58" s="69">
        <v>9.39</v>
      </c>
      <c r="D58" s="69">
        <v>10</v>
      </c>
      <c r="G58" s="77">
        <f t="shared" si="1"/>
        <v>9.39</v>
      </c>
      <c r="H58" s="77">
        <f t="shared" si="2"/>
        <v>10</v>
      </c>
      <c r="I58" s="77">
        <f t="shared" si="3"/>
        <v>0.60999999999999943</v>
      </c>
      <c r="J58" s="78">
        <f t="shared" si="4"/>
        <v>13.530000000000001</v>
      </c>
      <c r="K58" s="78">
        <f t="shared" si="5"/>
        <v>14.001999999999999</v>
      </c>
      <c r="L58" s="78">
        <f t="shared" si="0"/>
        <v>0.47199999999999775</v>
      </c>
    </row>
    <row r="59" spans="2:12" s="162" customFormat="1" outlineLevel="1">
      <c r="B59" s="113">
        <v>27790</v>
      </c>
      <c r="C59" s="69">
        <v>9.42</v>
      </c>
      <c r="D59" s="69">
        <v>10.02</v>
      </c>
      <c r="G59" s="77">
        <f t="shared" si="1"/>
        <v>9.42</v>
      </c>
      <c r="H59" s="77">
        <f t="shared" si="2"/>
        <v>10.02</v>
      </c>
      <c r="I59" s="77">
        <f t="shared" si="3"/>
        <v>0.59999999999999964</v>
      </c>
      <c r="J59" s="78">
        <f t="shared" si="4"/>
        <v>13.559999999999999</v>
      </c>
      <c r="K59" s="78">
        <f t="shared" si="5"/>
        <v>14.021999999999998</v>
      </c>
      <c r="L59" s="78">
        <f t="shared" si="0"/>
        <v>0.46199999999999974</v>
      </c>
    </row>
    <row r="60" spans="2:12" s="162" customFormat="1" outlineLevel="1">
      <c r="B60" s="113">
        <v>27819</v>
      </c>
      <c r="C60" s="69">
        <v>9.39</v>
      </c>
      <c r="D60" s="69">
        <v>10</v>
      </c>
      <c r="G60" s="77">
        <f t="shared" si="1"/>
        <v>9.39</v>
      </c>
      <c r="H60" s="77">
        <f t="shared" si="2"/>
        <v>10</v>
      </c>
      <c r="I60" s="77">
        <f t="shared" si="3"/>
        <v>0.60999999999999943</v>
      </c>
      <c r="J60" s="78">
        <f t="shared" si="4"/>
        <v>13.530000000000001</v>
      </c>
      <c r="K60" s="78">
        <f t="shared" si="5"/>
        <v>14.001999999999999</v>
      </c>
      <c r="L60" s="78">
        <f t="shared" si="0"/>
        <v>0.47199999999999775</v>
      </c>
    </row>
    <row r="61" spans="2:12" s="162" customFormat="1" outlineLevel="1">
      <c r="B61" s="113">
        <v>27850</v>
      </c>
      <c r="C61" s="69">
        <v>9.43</v>
      </c>
      <c r="D61" s="69">
        <v>9.99</v>
      </c>
      <c r="G61" s="77">
        <f t="shared" si="1"/>
        <v>9.43</v>
      </c>
      <c r="H61" s="77">
        <f t="shared" si="2"/>
        <v>9.99</v>
      </c>
      <c r="I61" s="77">
        <f t="shared" si="3"/>
        <v>0.5600000000000005</v>
      </c>
      <c r="J61" s="78">
        <f t="shared" si="4"/>
        <v>13.57</v>
      </c>
      <c r="K61" s="78">
        <f t="shared" si="5"/>
        <v>13.992000000000001</v>
      </c>
      <c r="L61" s="78">
        <f t="shared" si="0"/>
        <v>0.4220000000000006</v>
      </c>
    </row>
    <row r="62" spans="2:12" s="162" customFormat="1" outlineLevel="1">
      <c r="B62" s="113">
        <v>27880</v>
      </c>
      <c r="C62" s="69">
        <v>9.42</v>
      </c>
      <c r="D62" s="69">
        <v>10</v>
      </c>
      <c r="G62" s="77">
        <f t="shared" si="1"/>
        <v>9.42</v>
      </c>
      <c r="H62" s="77">
        <f t="shared" si="2"/>
        <v>10</v>
      </c>
      <c r="I62" s="77">
        <f t="shared" si="3"/>
        <v>0.58000000000000007</v>
      </c>
      <c r="J62" s="78">
        <f t="shared" si="4"/>
        <v>13.559999999999999</v>
      </c>
      <c r="K62" s="78">
        <f t="shared" si="5"/>
        <v>14.001999999999999</v>
      </c>
      <c r="L62" s="78">
        <f t="shared" si="0"/>
        <v>0.44200000000000017</v>
      </c>
    </row>
    <row r="63" spans="2:12" s="162" customFormat="1" outlineLevel="1">
      <c r="B63" s="113">
        <v>27911</v>
      </c>
      <c r="C63" s="69">
        <v>9.42</v>
      </c>
      <c r="D63" s="69">
        <v>10</v>
      </c>
      <c r="G63" s="77">
        <f t="shared" si="1"/>
        <v>9.42</v>
      </c>
      <c r="H63" s="77">
        <f t="shared" si="2"/>
        <v>10</v>
      </c>
      <c r="I63" s="77">
        <f t="shared" si="3"/>
        <v>0.58000000000000007</v>
      </c>
      <c r="J63" s="78">
        <f t="shared" si="4"/>
        <v>13.559999999999999</v>
      </c>
      <c r="K63" s="78">
        <f t="shared" si="5"/>
        <v>14.001999999999999</v>
      </c>
      <c r="L63" s="78">
        <f t="shared" si="0"/>
        <v>0.44200000000000017</v>
      </c>
    </row>
    <row r="64" spans="2:12" s="162" customFormat="1" outlineLevel="1">
      <c r="B64" s="113">
        <v>27941</v>
      </c>
      <c r="C64" s="69">
        <v>9.41</v>
      </c>
      <c r="D64" s="69">
        <v>9.99</v>
      </c>
      <c r="G64" s="77">
        <f t="shared" si="1"/>
        <v>9.41</v>
      </c>
      <c r="H64" s="77">
        <f t="shared" si="2"/>
        <v>9.99</v>
      </c>
      <c r="I64" s="77">
        <f t="shared" si="3"/>
        <v>0.58000000000000007</v>
      </c>
      <c r="J64" s="78">
        <f t="shared" si="4"/>
        <v>13.55</v>
      </c>
      <c r="K64" s="78">
        <f t="shared" si="5"/>
        <v>13.992000000000001</v>
      </c>
      <c r="L64" s="78">
        <f t="shared" si="0"/>
        <v>0.44200000000000017</v>
      </c>
    </row>
    <row r="65" spans="2:12" s="162" customFormat="1" outlineLevel="1">
      <c r="B65" s="113">
        <v>27972</v>
      </c>
      <c r="C65" s="69">
        <v>9.42</v>
      </c>
      <c r="D65" s="69">
        <v>10</v>
      </c>
      <c r="G65" s="77">
        <f t="shared" si="1"/>
        <v>9.42</v>
      </c>
      <c r="H65" s="77">
        <f t="shared" si="2"/>
        <v>10</v>
      </c>
      <c r="I65" s="77">
        <f t="shared" si="3"/>
        <v>0.58000000000000007</v>
      </c>
      <c r="J65" s="78">
        <f t="shared" si="4"/>
        <v>13.559999999999999</v>
      </c>
      <c r="K65" s="78">
        <f t="shared" si="5"/>
        <v>14.001999999999999</v>
      </c>
      <c r="L65" s="78">
        <f t="shared" si="0"/>
        <v>0.44200000000000017</v>
      </c>
    </row>
    <row r="66" spans="2:12" s="162" customFormat="1" outlineLevel="1">
      <c r="B66" s="113">
        <v>28003</v>
      </c>
      <c r="C66" s="69">
        <v>9.41</v>
      </c>
      <c r="D66" s="69">
        <v>9.99</v>
      </c>
      <c r="G66" s="77">
        <f t="shared" si="1"/>
        <v>9.41</v>
      </c>
      <c r="H66" s="77">
        <f t="shared" si="2"/>
        <v>9.99</v>
      </c>
      <c r="I66" s="77">
        <f t="shared" si="3"/>
        <v>0.58000000000000007</v>
      </c>
      <c r="J66" s="78">
        <f t="shared" si="4"/>
        <v>13.55</v>
      </c>
      <c r="K66" s="78">
        <f t="shared" si="5"/>
        <v>13.992000000000001</v>
      </c>
      <c r="L66" s="78">
        <f t="shared" si="0"/>
        <v>0.44200000000000017</v>
      </c>
    </row>
    <row r="67" spans="2:12" s="162" customFormat="1" outlineLevel="1">
      <c r="B67" s="113">
        <v>28033</v>
      </c>
      <c r="C67" s="69">
        <v>9.41</v>
      </c>
      <c r="D67" s="69">
        <v>9.99</v>
      </c>
      <c r="G67" s="77">
        <f t="shared" si="1"/>
        <v>9.41</v>
      </c>
      <c r="H67" s="77">
        <f t="shared" si="2"/>
        <v>9.99</v>
      </c>
      <c r="I67" s="77">
        <f t="shared" si="3"/>
        <v>0.58000000000000007</v>
      </c>
      <c r="J67" s="78">
        <f t="shared" si="4"/>
        <v>13.55</v>
      </c>
      <c r="K67" s="78">
        <f t="shared" si="5"/>
        <v>13.992000000000001</v>
      </c>
      <c r="L67" s="78">
        <f t="shared" si="0"/>
        <v>0.44200000000000017</v>
      </c>
    </row>
    <row r="68" spans="2:12" s="162" customFormat="1" outlineLevel="1">
      <c r="B68" s="113">
        <v>28064</v>
      </c>
      <c r="C68" s="69">
        <v>9.41</v>
      </c>
      <c r="D68" s="69">
        <v>9.98</v>
      </c>
      <c r="G68" s="77">
        <f t="shared" si="1"/>
        <v>9.41</v>
      </c>
      <c r="H68" s="77">
        <f t="shared" si="2"/>
        <v>9.98</v>
      </c>
      <c r="I68" s="77">
        <f t="shared" si="3"/>
        <v>0.57000000000000028</v>
      </c>
      <c r="J68" s="78">
        <f t="shared" si="4"/>
        <v>13.55</v>
      </c>
      <c r="K68" s="78">
        <f t="shared" si="5"/>
        <v>13.981999999999999</v>
      </c>
      <c r="L68" s="78">
        <f t="shared" si="0"/>
        <v>0.43199999999999861</v>
      </c>
    </row>
    <row r="69" spans="2:12" s="162" customFormat="1" outlineLevel="1">
      <c r="B69" s="113">
        <v>28094</v>
      </c>
      <c r="C69" s="69">
        <v>9.74</v>
      </c>
      <c r="D69" s="69">
        <v>10</v>
      </c>
      <c r="G69" s="77">
        <f t="shared" si="1"/>
        <v>9.74</v>
      </c>
      <c r="H69" s="77">
        <f t="shared" si="2"/>
        <v>10</v>
      </c>
      <c r="I69" s="77">
        <f t="shared" si="3"/>
        <v>0.25999999999999979</v>
      </c>
      <c r="J69" s="78">
        <f t="shared" si="4"/>
        <v>13.879999999999999</v>
      </c>
      <c r="K69" s="78">
        <f t="shared" si="5"/>
        <v>14.001999999999999</v>
      </c>
      <c r="L69" s="78">
        <f t="shared" si="0"/>
        <v>0.12199999999999989</v>
      </c>
    </row>
    <row r="70" spans="2:12" s="162" customFormat="1" outlineLevel="1">
      <c r="B70" s="113">
        <v>28125</v>
      </c>
      <c r="C70" s="69">
        <v>10.210000000000001</v>
      </c>
      <c r="D70" s="69">
        <v>10.41</v>
      </c>
      <c r="G70" s="77">
        <f t="shared" si="1"/>
        <v>10.210000000000001</v>
      </c>
      <c r="H70" s="77">
        <f t="shared" si="2"/>
        <v>10.41</v>
      </c>
      <c r="I70" s="77">
        <f t="shared" si="3"/>
        <v>0.19999999999999929</v>
      </c>
      <c r="J70" s="78">
        <f t="shared" si="4"/>
        <v>14.350000000000001</v>
      </c>
      <c r="K70" s="78">
        <f t="shared" si="5"/>
        <v>14.411999999999999</v>
      </c>
      <c r="L70" s="78">
        <f t="shared" si="0"/>
        <v>6.1999999999997613E-2</v>
      </c>
    </row>
    <row r="71" spans="2:12" s="162" customFormat="1" outlineLevel="1">
      <c r="B71" s="113">
        <v>28156</v>
      </c>
      <c r="C71" s="69">
        <v>10.220000000000001</v>
      </c>
      <c r="D71" s="69">
        <v>10.4</v>
      </c>
      <c r="G71" s="77">
        <f t="shared" si="1"/>
        <v>10.220000000000001</v>
      </c>
      <c r="H71" s="77">
        <f t="shared" si="2"/>
        <v>10.4</v>
      </c>
      <c r="I71" s="77">
        <f t="shared" si="3"/>
        <v>0.17999999999999972</v>
      </c>
      <c r="J71" s="78">
        <f t="shared" si="4"/>
        <v>14.36</v>
      </c>
      <c r="K71" s="78">
        <f t="shared" si="5"/>
        <v>14.402000000000001</v>
      </c>
      <c r="L71" s="78">
        <f t="shared" si="0"/>
        <v>4.2000000000001592E-2</v>
      </c>
    </row>
    <row r="72" spans="2:12" s="162" customFormat="1" outlineLevel="1">
      <c r="B72" s="113">
        <v>28184</v>
      </c>
      <c r="C72" s="69">
        <v>10.210000000000001</v>
      </c>
      <c r="D72" s="69">
        <v>10.4</v>
      </c>
      <c r="G72" s="77">
        <f t="shared" si="1"/>
        <v>10.210000000000001</v>
      </c>
      <c r="H72" s="77">
        <f t="shared" si="2"/>
        <v>10.4</v>
      </c>
      <c r="I72" s="77">
        <f t="shared" si="3"/>
        <v>0.1899999999999995</v>
      </c>
      <c r="J72" s="78">
        <f t="shared" si="4"/>
        <v>14.350000000000001</v>
      </c>
      <c r="K72" s="78">
        <f t="shared" si="5"/>
        <v>14.402000000000001</v>
      </c>
      <c r="L72" s="78">
        <f t="shared" si="0"/>
        <v>5.1999999999999602E-2</v>
      </c>
    </row>
    <row r="73" spans="2:12" s="162" customFormat="1" outlineLevel="1">
      <c r="B73" s="113">
        <v>28215</v>
      </c>
      <c r="C73" s="69">
        <v>10.210000000000001</v>
      </c>
      <c r="D73" s="69">
        <v>10.4</v>
      </c>
      <c r="G73" s="77">
        <f t="shared" si="1"/>
        <v>10.210000000000001</v>
      </c>
      <c r="H73" s="77">
        <f t="shared" si="2"/>
        <v>10.4</v>
      </c>
      <c r="I73" s="77">
        <f t="shared" si="3"/>
        <v>0.1899999999999995</v>
      </c>
      <c r="J73" s="78">
        <f t="shared" si="4"/>
        <v>14.350000000000001</v>
      </c>
      <c r="K73" s="78">
        <f t="shared" si="5"/>
        <v>14.402000000000001</v>
      </c>
      <c r="L73" s="78">
        <f t="shared" si="0"/>
        <v>5.1999999999999602E-2</v>
      </c>
    </row>
    <row r="74" spans="2:12" s="162" customFormat="1" outlineLevel="1">
      <c r="B74" s="113">
        <v>28245</v>
      </c>
      <c r="C74" s="69">
        <v>10.220000000000001</v>
      </c>
      <c r="D74" s="69">
        <v>10.4</v>
      </c>
      <c r="G74" s="77">
        <f t="shared" si="1"/>
        <v>10.220000000000001</v>
      </c>
      <c r="H74" s="77">
        <f t="shared" si="2"/>
        <v>10.4</v>
      </c>
      <c r="I74" s="77">
        <f t="shared" si="3"/>
        <v>0.17999999999999972</v>
      </c>
      <c r="J74" s="78">
        <f t="shared" si="4"/>
        <v>14.36</v>
      </c>
      <c r="K74" s="78">
        <f t="shared" si="5"/>
        <v>14.402000000000001</v>
      </c>
      <c r="L74" s="78">
        <f t="shared" si="0"/>
        <v>4.2000000000001592E-2</v>
      </c>
    </row>
    <row r="75" spans="2:12" s="162" customFormat="1" outlineLevel="1">
      <c r="B75" s="113">
        <v>28276</v>
      </c>
      <c r="C75" s="69">
        <v>10.220000000000001</v>
      </c>
      <c r="D75" s="69">
        <v>10.41</v>
      </c>
      <c r="G75" s="77">
        <f t="shared" si="1"/>
        <v>10.220000000000001</v>
      </c>
      <c r="H75" s="77">
        <f t="shared" si="2"/>
        <v>10.41</v>
      </c>
      <c r="I75" s="77">
        <f t="shared" si="3"/>
        <v>0.1899999999999995</v>
      </c>
      <c r="J75" s="78">
        <f t="shared" si="4"/>
        <v>14.36</v>
      </c>
      <c r="K75" s="78">
        <f t="shared" si="5"/>
        <v>14.411999999999999</v>
      </c>
      <c r="L75" s="78">
        <f t="shared" ref="L75:L138" si="6">K75-J75</f>
        <v>5.1999999999999602E-2</v>
      </c>
    </row>
    <row r="76" spans="2:12" s="162" customFormat="1" outlineLevel="1">
      <c r="B76" s="113">
        <v>28306</v>
      </c>
      <c r="C76" s="69">
        <v>10.210000000000001</v>
      </c>
      <c r="D76" s="69">
        <v>10.41</v>
      </c>
      <c r="G76" s="77">
        <f t="shared" ref="G76:G139" si="7">IF(C76="",E76,C76)</f>
        <v>10.210000000000001</v>
      </c>
      <c r="H76" s="77">
        <f t="shared" ref="H76:H139" si="8">IF(D76="",F76,D76)</f>
        <v>10.41</v>
      </c>
      <c r="I76" s="77">
        <f t="shared" ref="I76:I139" si="9">H76-G76</f>
        <v>0.19999999999999929</v>
      </c>
      <c r="J76" s="78">
        <f t="shared" ref="J76:J139" si="10">G76  +  0.6  *  6.9</f>
        <v>14.350000000000001</v>
      </c>
      <c r="K76" s="78">
        <f t="shared" ref="K76:K139" si="11">H76  +  0.6  *  6.67</f>
        <v>14.411999999999999</v>
      </c>
      <c r="L76" s="78">
        <f t="shared" si="6"/>
        <v>6.1999999999997613E-2</v>
      </c>
    </row>
    <row r="77" spans="2:12" s="162" customFormat="1" outlineLevel="1">
      <c r="B77" s="113">
        <v>28337</v>
      </c>
      <c r="C77" s="69">
        <v>10.210000000000001</v>
      </c>
      <c r="D77" s="69">
        <v>10.41</v>
      </c>
      <c r="G77" s="77">
        <f t="shared" si="7"/>
        <v>10.210000000000001</v>
      </c>
      <c r="H77" s="77">
        <f t="shared" si="8"/>
        <v>10.41</v>
      </c>
      <c r="I77" s="77">
        <f t="shared" si="9"/>
        <v>0.19999999999999929</v>
      </c>
      <c r="J77" s="78">
        <f t="shared" si="10"/>
        <v>14.350000000000001</v>
      </c>
      <c r="K77" s="78">
        <f t="shared" si="11"/>
        <v>14.411999999999999</v>
      </c>
      <c r="L77" s="78">
        <f t="shared" si="6"/>
        <v>6.1999999999997613E-2</v>
      </c>
    </row>
    <row r="78" spans="2:12" s="162" customFormat="1" outlineLevel="1">
      <c r="B78" s="113">
        <v>28368</v>
      </c>
      <c r="C78" s="69">
        <v>10.199999999999999</v>
      </c>
      <c r="D78" s="69">
        <v>10.41</v>
      </c>
      <c r="G78" s="77">
        <f t="shared" si="7"/>
        <v>10.199999999999999</v>
      </c>
      <c r="H78" s="77">
        <f t="shared" si="8"/>
        <v>10.41</v>
      </c>
      <c r="I78" s="77">
        <f t="shared" si="9"/>
        <v>0.21000000000000085</v>
      </c>
      <c r="J78" s="78">
        <f t="shared" si="10"/>
        <v>14.34</v>
      </c>
      <c r="K78" s="78">
        <f t="shared" si="11"/>
        <v>14.411999999999999</v>
      </c>
      <c r="L78" s="78">
        <f t="shared" si="6"/>
        <v>7.1999999999999176E-2</v>
      </c>
    </row>
    <row r="79" spans="2:12" s="162" customFormat="1" outlineLevel="1">
      <c r="B79" s="113">
        <v>28398</v>
      </c>
      <c r="C79" s="69">
        <v>10.029999999999999</v>
      </c>
      <c r="D79" s="69">
        <v>10.18</v>
      </c>
      <c r="G79" s="77">
        <f t="shared" si="7"/>
        <v>10.029999999999999</v>
      </c>
      <c r="H79" s="77">
        <f t="shared" si="8"/>
        <v>10.18</v>
      </c>
      <c r="I79" s="77">
        <f t="shared" si="9"/>
        <v>0.15000000000000036</v>
      </c>
      <c r="J79" s="78">
        <f t="shared" si="10"/>
        <v>14.169999999999998</v>
      </c>
      <c r="K79" s="78">
        <f t="shared" si="11"/>
        <v>14.181999999999999</v>
      </c>
      <c r="L79" s="78">
        <f t="shared" si="6"/>
        <v>1.2000000000000455E-2</v>
      </c>
    </row>
    <row r="80" spans="2:12" s="162" customFormat="1" outlineLevel="1">
      <c r="B80" s="113">
        <v>28429</v>
      </c>
      <c r="C80" s="69">
        <v>9.84</v>
      </c>
      <c r="D80" s="69">
        <v>10.01</v>
      </c>
      <c r="G80" s="77">
        <f t="shared" si="7"/>
        <v>9.84</v>
      </c>
      <c r="H80" s="77">
        <f t="shared" si="8"/>
        <v>10.01</v>
      </c>
      <c r="I80" s="77">
        <f t="shared" si="9"/>
        <v>0.16999999999999993</v>
      </c>
      <c r="J80" s="78">
        <f t="shared" si="10"/>
        <v>13.98</v>
      </c>
      <c r="K80" s="78">
        <f t="shared" si="11"/>
        <v>14.012</v>
      </c>
      <c r="L80" s="78">
        <f t="shared" si="6"/>
        <v>3.2000000000000028E-2</v>
      </c>
    </row>
    <row r="81" spans="2:12" s="162" customFormat="1" outlineLevel="1">
      <c r="B81" s="113">
        <v>28459</v>
      </c>
      <c r="C81" s="69">
        <v>9.7200000000000006</v>
      </c>
      <c r="D81" s="69">
        <v>9.7899999999999991</v>
      </c>
      <c r="G81" s="77">
        <f t="shared" si="7"/>
        <v>9.7200000000000006</v>
      </c>
      <c r="H81" s="77">
        <f t="shared" si="8"/>
        <v>9.7899999999999991</v>
      </c>
      <c r="I81" s="77">
        <f t="shared" si="9"/>
        <v>6.9999999999998508E-2</v>
      </c>
      <c r="J81" s="78">
        <f t="shared" si="10"/>
        <v>13.86</v>
      </c>
      <c r="K81" s="78">
        <f t="shared" si="11"/>
        <v>13.791999999999998</v>
      </c>
      <c r="L81" s="78">
        <f t="shared" si="6"/>
        <v>-6.8000000000001393E-2</v>
      </c>
    </row>
    <row r="82" spans="2:12" s="162" customFormat="1" outlineLevel="1">
      <c r="B82" s="113">
        <v>28490</v>
      </c>
      <c r="C82" s="69">
        <v>9.5</v>
      </c>
      <c r="D82" s="69">
        <v>9.5</v>
      </c>
      <c r="G82" s="77">
        <f t="shared" si="7"/>
        <v>9.5</v>
      </c>
      <c r="H82" s="77">
        <f t="shared" si="8"/>
        <v>9.5</v>
      </c>
      <c r="I82" s="77">
        <f t="shared" si="9"/>
        <v>0</v>
      </c>
      <c r="J82" s="78">
        <f t="shared" si="10"/>
        <v>13.64</v>
      </c>
      <c r="K82" s="78">
        <f t="shared" si="11"/>
        <v>13.501999999999999</v>
      </c>
      <c r="L82" s="78">
        <f t="shared" si="6"/>
        <v>-0.13800000000000168</v>
      </c>
    </row>
    <row r="83" spans="2:12" s="162" customFormat="1" outlineLevel="1">
      <c r="B83" s="113">
        <v>28521</v>
      </c>
      <c r="C83" s="69">
        <v>9.32</v>
      </c>
      <c r="D83" s="69">
        <v>9.36</v>
      </c>
      <c r="G83" s="77">
        <f t="shared" si="7"/>
        <v>9.32</v>
      </c>
      <c r="H83" s="77">
        <f t="shared" si="8"/>
        <v>9.36</v>
      </c>
      <c r="I83" s="77">
        <f t="shared" si="9"/>
        <v>3.9999999999999147E-2</v>
      </c>
      <c r="J83" s="78">
        <f t="shared" si="10"/>
        <v>13.46</v>
      </c>
      <c r="K83" s="78">
        <f t="shared" si="11"/>
        <v>13.361999999999998</v>
      </c>
      <c r="L83" s="78">
        <f t="shared" si="6"/>
        <v>-9.800000000000253E-2</v>
      </c>
    </row>
    <row r="84" spans="2:12" s="162" customFormat="1" outlineLevel="1">
      <c r="B84" s="113">
        <v>28549</v>
      </c>
      <c r="C84" s="69">
        <v>9.09</v>
      </c>
      <c r="D84" s="69">
        <v>9.1999999999999993</v>
      </c>
      <c r="G84" s="77">
        <f t="shared" si="7"/>
        <v>9.09</v>
      </c>
      <c r="H84" s="77">
        <f t="shared" si="8"/>
        <v>9.1999999999999993</v>
      </c>
      <c r="I84" s="77">
        <f t="shared" si="9"/>
        <v>0.10999999999999943</v>
      </c>
      <c r="J84" s="78">
        <f t="shared" si="10"/>
        <v>13.23</v>
      </c>
      <c r="K84" s="78">
        <f t="shared" si="11"/>
        <v>13.201999999999998</v>
      </c>
      <c r="L84" s="78">
        <f t="shared" si="6"/>
        <v>-2.8000000000002245E-2</v>
      </c>
    </row>
    <row r="85" spans="2:12" s="162" customFormat="1" outlineLevel="1">
      <c r="B85" s="113">
        <v>28580</v>
      </c>
      <c r="C85" s="69">
        <v>9.08</v>
      </c>
      <c r="D85" s="69">
        <v>9.1999999999999993</v>
      </c>
      <c r="G85" s="77">
        <f t="shared" si="7"/>
        <v>9.08</v>
      </c>
      <c r="H85" s="77">
        <f t="shared" si="8"/>
        <v>9.1999999999999993</v>
      </c>
      <c r="I85" s="77">
        <f t="shared" si="9"/>
        <v>0.11999999999999922</v>
      </c>
      <c r="J85" s="78">
        <f t="shared" si="10"/>
        <v>13.219999999999999</v>
      </c>
      <c r="K85" s="78">
        <f t="shared" si="11"/>
        <v>13.201999999999998</v>
      </c>
      <c r="L85" s="78">
        <f t="shared" si="6"/>
        <v>-1.8000000000000682E-2</v>
      </c>
    </row>
    <row r="86" spans="2:12" s="162" customFormat="1" outlineLevel="1">
      <c r="B86" s="113">
        <v>28610</v>
      </c>
      <c r="C86" s="69">
        <v>9.09</v>
      </c>
      <c r="D86" s="69">
        <v>9.17</v>
      </c>
      <c r="G86" s="77">
        <f t="shared" si="7"/>
        <v>9.09</v>
      </c>
      <c r="H86" s="77">
        <f t="shared" si="8"/>
        <v>9.17</v>
      </c>
      <c r="I86" s="77">
        <f t="shared" si="9"/>
        <v>8.0000000000000071E-2</v>
      </c>
      <c r="J86" s="78">
        <f t="shared" si="10"/>
        <v>13.23</v>
      </c>
      <c r="K86" s="78">
        <f t="shared" si="11"/>
        <v>13.172000000000001</v>
      </c>
      <c r="L86" s="78">
        <f t="shared" si="6"/>
        <v>-5.7999999999999829E-2</v>
      </c>
    </row>
    <row r="87" spans="2:12" s="162" customFormat="1" outlineLevel="1">
      <c r="B87" s="113">
        <v>28641</v>
      </c>
      <c r="C87" s="69">
        <v>9.09</v>
      </c>
      <c r="D87" s="69">
        <v>9.1</v>
      </c>
      <c r="G87" s="77">
        <f t="shared" si="7"/>
        <v>9.09</v>
      </c>
      <c r="H87" s="77">
        <f t="shared" si="8"/>
        <v>9.1</v>
      </c>
      <c r="I87" s="77">
        <f t="shared" si="9"/>
        <v>9.9999999999997868E-3</v>
      </c>
      <c r="J87" s="78">
        <f t="shared" si="10"/>
        <v>13.23</v>
      </c>
      <c r="K87" s="78">
        <f t="shared" si="11"/>
        <v>13.102</v>
      </c>
      <c r="L87" s="78">
        <f t="shared" si="6"/>
        <v>-0.12800000000000011</v>
      </c>
    </row>
    <row r="88" spans="2:12" s="162" customFormat="1" outlineLevel="1">
      <c r="B88" s="113">
        <v>28671</v>
      </c>
      <c r="C88" s="69">
        <v>9.09</v>
      </c>
      <c r="D88" s="69">
        <v>9.1</v>
      </c>
      <c r="G88" s="77">
        <f t="shared" si="7"/>
        <v>9.09</v>
      </c>
      <c r="H88" s="77">
        <f t="shared" si="8"/>
        <v>9.1</v>
      </c>
      <c r="I88" s="77">
        <f t="shared" si="9"/>
        <v>9.9999999999997868E-3</v>
      </c>
      <c r="J88" s="78">
        <f t="shared" si="10"/>
        <v>13.23</v>
      </c>
      <c r="K88" s="78">
        <f t="shared" si="11"/>
        <v>13.102</v>
      </c>
      <c r="L88" s="78">
        <f t="shared" si="6"/>
        <v>-0.12800000000000011</v>
      </c>
    </row>
    <row r="89" spans="2:12" s="162" customFormat="1" outlineLevel="1">
      <c r="B89" s="113">
        <v>28702</v>
      </c>
      <c r="C89" s="69">
        <v>9.09</v>
      </c>
      <c r="D89" s="69">
        <v>9.1</v>
      </c>
      <c r="G89" s="77">
        <f t="shared" si="7"/>
        <v>9.09</v>
      </c>
      <c r="H89" s="77">
        <f t="shared" si="8"/>
        <v>9.1</v>
      </c>
      <c r="I89" s="77">
        <f t="shared" si="9"/>
        <v>9.9999999999997868E-3</v>
      </c>
      <c r="J89" s="78">
        <f t="shared" si="10"/>
        <v>13.23</v>
      </c>
      <c r="K89" s="78">
        <f t="shared" si="11"/>
        <v>13.102</v>
      </c>
      <c r="L89" s="78">
        <f t="shared" si="6"/>
        <v>-0.12800000000000011</v>
      </c>
    </row>
    <row r="90" spans="2:12" s="162" customFormat="1" outlineLevel="1">
      <c r="B90" s="113">
        <v>28733</v>
      </c>
      <c r="C90" s="69">
        <v>8.99</v>
      </c>
      <c r="D90" s="69">
        <v>9</v>
      </c>
      <c r="G90" s="77">
        <f t="shared" si="7"/>
        <v>8.99</v>
      </c>
      <c r="H90" s="77">
        <f t="shared" si="8"/>
        <v>9</v>
      </c>
      <c r="I90" s="77">
        <f t="shared" si="9"/>
        <v>9.9999999999997868E-3</v>
      </c>
      <c r="J90" s="78">
        <f t="shared" si="10"/>
        <v>13.129999999999999</v>
      </c>
      <c r="K90" s="78">
        <f t="shared" si="11"/>
        <v>13.001999999999999</v>
      </c>
      <c r="L90" s="78">
        <f t="shared" si="6"/>
        <v>-0.12800000000000011</v>
      </c>
    </row>
    <row r="91" spans="2:12" s="162" customFormat="1" outlineLevel="1">
      <c r="B91" s="113">
        <v>28763</v>
      </c>
      <c r="C91" s="69">
        <v>9</v>
      </c>
      <c r="D91" s="69">
        <v>9</v>
      </c>
      <c r="G91" s="77">
        <f t="shared" si="7"/>
        <v>9</v>
      </c>
      <c r="H91" s="77">
        <f t="shared" si="8"/>
        <v>9</v>
      </c>
      <c r="I91" s="77">
        <f t="shared" si="9"/>
        <v>0</v>
      </c>
      <c r="J91" s="78">
        <f t="shared" si="10"/>
        <v>13.14</v>
      </c>
      <c r="K91" s="78">
        <f t="shared" si="11"/>
        <v>13.001999999999999</v>
      </c>
      <c r="L91" s="78">
        <f t="shared" si="6"/>
        <v>-0.13800000000000168</v>
      </c>
    </row>
    <row r="92" spans="2:12" s="162" customFormat="1" outlineLevel="1">
      <c r="B92" s="113">
        <v>28794</v>
      </c>
      <c r="C92" s="69">
        <v>8.86</v>
      </c>
      <c r="D92" s="69">
        <v>8.89</v>
      </c>
      <c r="G92" s="77">
        <f t="shared" si="7"/>
        <v>8.86</v>
      </c>
      <c r="H92" s="77">
        <f t="shared" si="8"/>
        <v>8.89</v>
      </c>
      <c r="I92" s="77">
        <f t="shared" si="9"/>
        <v>3.0000000000001137E-2</v>
      </c>
      <c r="J92" s="78">
        <f t="shared" si="10"/>
        <v>13</v>
      </c>
      <c r="K92" s="78">
        <f t="shared" si="11"/>
        <v>12.891999999999999</v>
      </c>
      <c r="L92" s="78">
        <f t="shared" si="6"/>
        <v>-0.10800000000000054</v>
      </c>
    </row>
    <row r="93" spans="2:12" s="162" customFormat="1" outlineLevel="1">
      <c r="B93" s="113">
        <v>28824</v>
      </c>
      <c r="C93" s="69">
        <v>8.8000000000000007</v>
      </c>
      <c r="D93" s="69">
        <v>8.8000000000000007</v>
      </c>
      <c r="G93" s="77">
        <f t="shared" si="7"/>
        <v>8.8000000000000007</v>
      </c>
      <c r="H93" s="77">
        <f t="shared" si="8"/>
        <v>8.8000000000000007</v>
      </c>
      <c r="I93" s="77">
        <f t="shared" si="9"/>
        <v>0</v>
      </c>
      <c r="J93" s="78">
        <f t="shared" si="10"/>
        <v>12.940000000000001</v>
      </c>
      <c r="K93" s="78">
        <f t="shared" si="11"/>
        <v>12.802</v>
      </c>
      <c r="L93" s="78">
        <f t="shared" si="6"/>
        <v>-0.13800000000000168</v>
      </c>
    </row>
    <row r="94" spans="2:12" s="162" customFormat="1" outlineLevel="1">
      <c r="B94" s="113">
        <v>28855</v>
      </c>
      <c r="C94" s="69">
        <v>8.8000000000000007</v>
      </c>
      <c r="D94" s="69">
        <v>8.8000000000000007</v>
      </c>
      <c r="G94" s="77">
        <f t="shared" si="7"/>
        <v>8.8000000000000007</v>
      </c>
      <c r="H94" s="77">
        <f t="shared" si="8"/>
        <v>8.8000000000000007</v>
      </c>
      <c r="I94" s="77">
        <f t="shared" si="9"/>
        <v>0</v>
      </c>
      <c r="J94" s="78">
        <f t="shared" si="10"/>
        <v>12.940000000000001</v>
      </c>
      <c r="K94" s="78">
        <f t="shared" si="11"/>
        <v>12.802</v>
      </c>
      <c r="L94" s="78">
        <f t="shared" si="6"/>
        <v>-0.13800000000000168</v>
      </c>
    </row>
    <row r="95" spans="2:12" s="162" customFormat="1" outlineLevel="1">
      <c r="B95" s="113">
        <v>28886</v>
      </c>
      <c r="C95" s="69">
        <v>8.85</v>
      </c>
      <c r="D95" s="69">
        <v>8.85</v>
      </c>
      <c r="G95" s="77">
        <f t="shared" si="7"/>
        <v>8.85</v>
      </c>
      <c r="H95" s="77">
        <f t="shared" si="8"/>
        <v>8.85</v>
      </c>
      <c r="I95" s="77">
        <f t="shared" si="9"/>
        <v>0</v>
      </c>
      <c r="J95" s="78">
        <f t="shared" si="10"/>
        <v>12.989999999999998</v>
      </c>
      <c r="K95" s="78">
        <f t="shared" si="11"/>
        <v>12.852</v>
      </c>
      <c r="L95" s="78">
        <f t="shared" si="6"/>
        <v>-0.13799999999999812</v>
      </c>
    </row>
    <row r="96" spans="2:12" s="162" customFormat="1" outlineLevel="1">
      <c r="B96" s="113">
        <v>28914</v>
      </c>
      <c r="C96" s="69">
        <v>8.99</v>
      </c>
      <c r="D96" s="69">
        <v>9</v>
      </c>
      <c r="G96" s="77">
        <f t="shared" si="7"/>
        <v>8.99</v>
      </c>
      <c r="H96" s="77">
        <f t="shared" si="8"/>
        <v>9</v>
      </c>
      <c r="I96" s="77">
        <f t="shared" si="9"/>
        <v>9.9999999999997868E-3</v>
      </c>
      <c r="J96" s="78">
        <f t="shared" si="10"/>
        <v>13.129999999999999</v>
      </c>
      <c r="K96" s="78">
        <f t="shared" si="11"/>
        <v>13.001999999999999</v>
      </c>
      <c r="L96" s="78">
        <f t="shared" si="6"/>
        <v>-0.12800000000000011</v>
      </c>
    </row>
    <row r="97" spans="2:12" s="162" customFormat="1" outlineLevel="1">
      <c r="B97" s="113">
        <v>28945</v>
      </c>
      <c r="C97" s="69">
        <v>9.2799999999999994</v>
      </c>
      <c r="D97" s="69">
        <v>9.35</v>
      </c>
      <c r="G97" s="77">
        <f t="shared" si="7"/>
        <v>9.2799999999999994</v>
      </c>
      <c r="H97" s="77">
        <f t="shared" si="8"/>
        <v>9.35</v>
      </c>
      <c r="I97" s="77">
        <f t="shared" si="9"/>
        <v>7.0000000000000284E-2</v>
      </c>
      <c r="J97" s="78">
        <f t="shared" si="10"/>
        <v>13.419999999999998</v>
      </c>
      <c r="K97" s="78">
        <f t="shared" si="11"/>
        <v>13.352</v>
      </c>
      <c r="L97" s="78">
        <f t="shared" si="6"/>
        <v>-6.799999999999784E-2</v>
      </c>
    </row>
    <row r="98" spans="2:12" s="162" customFormat="1" outlineLevel="1">
      <c r="B98" s="113">
        <v>28975</v>
      </c>
      <c r="C98" s="69">
        <v>9.65</v>
      </c>
      <c r="D98" s="69">
        <v>9.65</v>
      </c>
      <c r="G98" s="77">
        <f t="shared" si="7"/>
        <v>9.65</v>
      </c>
      <c r="H98" s="77">
        <f t="shared" si="8"/>
        <v>9.65</v>
      </c>
      <c r="I98" s="77">
        <f t="shared" si="9"/>
        <v>0</v>
      </c>
      <c r="J98" s="78">
        <f t="shared" si="10"/>
        <v>13.79</v>
      </c>
      <c r="K98" s="78">
        <f t="shared" si="11"/>
        <v>13.652000000000001</v>
      </c>
      <c r="L98" s="78">
        <f t="shared" si="6"/>
        <v>-0.13799999999999812</v>
      </c>
    </row>
    <row r="99" spans="2:12" s="162" customFormat="1" outlineLevel="1">
      <c r="B99" s="113">
        <v>29006</v>
      </c>
      <c r="C99" s="69">
        <v>9.6999999999999993</v>
      </c>
      <c r="D99" s="69">
        <v>9.6999999999999993</v>
      </c>
      <c r="G99" s="77">
        <f t="shared" si="7"/>
        <v>9.6999999999999993</v>
      </c>
      <c r="H99" s="77">
        <f t="shared" si="8"/>
        <v>9.6999999999999993</v>
      </c>
      <c r="I99" s="77">
        <f t="shared" si="9"/>
        <v>0</v>
      </c>
      <c r="J99" s="78">
        <f t="shared" si="10"/>
        <v>13.84</v>
      </c>
      <c r="K99" s="78">
        <f t="shared" si="11"/>
        <v>13.701999999999998</v>
      </c>
      <c r="L99" s="78">
        <f t="shared" si="6"/>
        <v>-0.13800000000000168</v>
      </c>
    </row>
    <row r="100" spans="2:12" s="162" customFormat="1" outlineLevel="1">
      <c r="B100" s="113">
        <v>29036</v>
      </c>
      <c r="C100" s="69">
        <v>10</v>
      </c>
      <c r="D100" s="69">
        <v>10</v>
      </c>
      <c r="G100" s="77">
        <f t="shared" si="7"/>
        <v>10</v>
      </c>
      <c r="H100" s="77">
        <f t="shared" si="8"/>
        <v>10</v>
      </c>
      <c r="I100" s="77">
        <f t="shared" si="9"/>
        <v>0</v>
      </c>
      <c r="J100" s="78">
        <f t="shared" si="10"/>
        <v>14.14</v>
      </c>
      <c r="K100" s="78">
        <f t="shared" si="11"/>
        <v>14.001999999999999</v>
      </c>
      <c r="L100" s="78">
        <f t="shared" si="6"/>
        <v>-0.13800000000000168</v>
      </c>
    </row>
    <row r="101" spans="2:12" s="162" customFormat="1" outlineLevel="1">
      <c r="B101" s="113">
        <v>29067</v>
      </c>
      <c r="C101" s="69">
        <v>10</v>
      </c>
      <c r="D101" s="69">
        <v>10.07</v>
      </c>
      <c r="G101" s="77">
        <f t="shared" si="7"/>
        <v>10</v>
      </c>
      <c r="H101" s="77">
        <f t="shared" si="8"/>
        <v>10.07</v>
      </c>
      <c r="I101" s="77">
        <f t="shared" si="9"/>
        <v>7.0000000000000284E-2</v>
      </c>
      <c r="J101" s="78">
        <f t="shared" si="10"/>
        <v>14.14</v>
      </c>
      <c r="K101" s="78">
        <f t="shared" si="11"/>
        <v>14.071999999999999</v>
      </c>
      <c r="L101" s="78">
        <f t="shared" si="6"/>
        <v>-6.8000000000001393E-2</v>
      </c>
    </row>
    <row r="102" spans="2:12" s="162" customFormat="1" outlineLevel="1">
      <c r="B102" s="113">
        <v>29098</v>
      </c>
      <c r="C102" s="69">
        <v>10</v>
      </c>
      <c r="D102" s="69">
        <v>10.07</v>
      </c>
      <c r="G102" s="77">
        <f t="shared" si="7"/>
        <v>10</v>
      </c>
      <c r="H102" s="77">
        <f t="shared" si="8"/>
        <v>10.07</v>
      </c>
      <c r="I102" s="77">
        <f t="shared" si="9"/>
        <v>7.0000000000000284E-2</v>
      </c>
      <c r="J102" s="78">
        <f t="shared" si="10"/>
        <v>14.14</v>
      </c>
      <c r="K102" s="78">
        <f t="shared" si="11"/>
        <v>14.071999999999999</v>
      </c>
      <c r="L102" s="78">
        <f t="shared" si="6"/>
        <v>-6.8000000000001393E-2</v>
      </c>
    </row>
    <row r="103" spans="2:12" s="162" customFormat="1" outlineLevel="1">
      <c r="B103" s="113">
        <v>29128</v>
      </c>
      <c r="C103" s="69">
        <v>10.01</v>
      </c>
      <c r="D103" s="69">
        <v>10.07</v>
      </c>
      <c r="G103" s="77">
        <f t="shared" si="7"/>
        <v>10.01</v>
      </c>
      <c r="H103" s="77">
        <f t="shared" si="8"/>
        <v>10.07</v>
      </c>
      <c r="I103" s="77">
        <f t="shared" si="9"/>
        <v>6.0000000000000497E-2</v>
      </c>
      <c r="J103" s="78">
        <f t="shared" si="10"/>
        <v>14.149999999999999</v>
      </c>
      <c r="K103" s="78">
        <f t="shared" si="11"/>
        <v>14.071999999999999</v>
      </c>
      <c r="L103" s="78">
        <f t="shared" si="6"/>
        <v>-7.7999999999999403E-2</v>
      </c>
    </row>
    <row r="104" spans="2:12" s="162" customFormat="1" outlineLevel="1">
      <c r="B104" s="113">
        <v>29159</v>
      </c>
      <c r="C104" s="69">
        <v>10</v>
      </c>
      <c r="D104" s="69">
        <v>10.07</v>
      </c>
      <c r="G104" s="77">
        <f t="shared" si="7"/>
        <v>10</v>
      </c>
      <c r="H104" s="77">
        <f t="shared" si="8"/>
        <v>10.07</v>
      </c>
      <c r="I104" s="77">
        <f t="shared" si="9"/>
        <v>7.0000000000000284E-2</v>
      </c>
      <c r="J104" s="78">
        <f t="shared" si="10"/>
        <v>14.14</v>
      </c>
      <c r="K104" s="78">
        <f t="shared" si="11"/>
        <v>14.071999999999999</v>
      </c>
      <c r="L104" s="78">
        <f t="shared" si="6"/>
        <v>-6.8000000000001393E-2</v>
      </c>
    </row>
    <row r="105" spans="2:12" s="162" customFormat="1" outlineLevel="1">
      <c r="B105" s="113">
        <v>29189</v>
      </c>
      <c r="C105" s="69">
        <v>10</v>
      </c>
      <c r="D105" s="69">
        <v>10.08</v>
      </c>
      <c r="G105" s="77">
        <f t="shared" si="7"/>
        <v>10</v>
      </c>
      <c r="H105" s="77">
        <f t="shared" si="8"/>
        <v>10.08</v>
      </c>
      <c r="I105" s="77">
        <f t="shared" si="9"/>
        <v>8.0000000000000071E-2</v>
      </c>
      <c r="J105" s="78">
        <f t="shared" si="10"/>
        <v>14.14</v>
      </c>
      <c r="K105" s="78">
        <f t="shared" si="11"/>
        <v>14.082000000000001</v>
      </c>
      <c r="L105" s="78">
        <f t="shared" si="6"/>
        <v>-5.7999999999999829E-2</v>
      </c>
    </row>
    <row r="106" spans="2:12" s="162" customFormat="1" outlineLevel="1">
      <c r="B106" s="113">
        <v>29220</v>
      </c>
      <c r="C106" s="69">
        <v>10.02</v>
      </c>
      <c r="D106" s="69">
        <v>10.08</v>
      </c>
      <c r="G106" s="77">
        <f t="shared" si="7"/>
        <v>10.02</v>
      </c>
      <c r="H106" s="77">
        <f t="shared" si="8"/>
        <v>10.08</v>
      </c>
      <c r="I106" s="77">
        <f t="shared" si="9"/>
        <v>6.0000000000000497E-2</v>
      </c>
      <c r="J106" s="78">
        <f t="shared" si="10"/>
        <v>14.16</v>
      </c>
      <c r="K106" s="78">
        <f t="shared" si="11"/>
        <v>14.082000000000001</v>
      </c>
      <c r="L106" s="78">
        <f t="shared" si="6"/>
        <v>-7.7999999999999403E-2</v>
      </c>
    </row>
    <row r="107" spans="2:12" s="162" customFormat="1" outlineLevel="1">
      <c r="B107" s="113">
        <v>29251</v>
      </c>
      <c r="C107" s="69">
        <v>10.42</v>
      </c>
      <c r="D107" s="69">
        <v>10.45</v>
      </c>
      <c r="G107" s="77">
        <f t="shared" si="7"/>
        <v>10.42</v>
      </c>
      <c r="H107" s="77">
        <f t="shared" si="8"/>
        <v>10.45</v>
      </c>
      <c r="I107" s="77">
        <f t="shared" si="9"/>
        <v>2.9999999999999361E-2</v>
      </c>
      <c r="J107" s="78">
        <f t="shared" si="10"/>
        <v>14.559999999999999</v>
      </c>
      <c r="K107" s="78">
        <f t="shared" si="11"/>
        <v>14.451999999999998</v>
      </c>
      <c r="L107" s="78">
        <f t="shared" si="6"/>
        <v>-0.10800000000000054</v>
      </c>
    </row>
    <row r="108" spans="2:12" s="162" customFormat="1" outlineLevel="1">
      <c r="B108" s="113">
        <v>29280</v>
      </c>
      <c r="C108" s="69">
        <v>10.9</v>
      </c>
      <c r="D108" s="69">
        <v>10.55</v>
      </c>
      <c r="G108" s="77">
        <f t="shared" si="7"/>
        <v>10.9</v>
      </c>
      <c r="H108" s="77">
        <f t="shared" si="8"/>
        <v>10.55</v>
      </c>
      <c r="I108" s="77">
        <f t="shared" si="9"/>
        <v>-0.34999999999999964</v>
      </c>
      <c r="J108" s="78">
        <f t="shared" si="10"/>
        <v>15.04</v>
      </c>
      <c r="K108" s="78">
        <f t="shared" si="11"/>
        <v>14.552</v>
      </c>
      <c r="L108" s="78">
        <f t="shared" si="6"/>
        <v>-0.48799999999999955</v>
      </c>
    </row>
    <row r="109" spans="2:12" s="162" customFormat="1" outlineLevel="1">
      <c r="B109" s="113">
        <v>29311</v>
      </c>
      <c r="C109" s="69">
        <v>11.2</v>
      </c>
      <c r="D109" s="69">
        <v>11.2</v>
      </c>
      <c r="G109" s="77">
        <f t="shared" si="7"/>
        <v>11.2</v>
      </c>
      <c r="H109" s="77">
        <f t="shared" si="8"/>
        <v>11.2</v>
      </c>
      <c r="I109" s="77">
        <f t="shared" si="9"/>
        <v>0</v>
      </c>
      <c r="J109" s="78">
        <f t="shared" si="10"/>
        <v>15.34</v>
      </c>
      <c r="K109" s="78">
        <f t="shared" si="11"/>
        <v>15.201999999999998</v>
      </c>
      <c r="L109" s="78">
        <f t="shared" si="6"/>
        <v>-0.13800000000000168</v>
      </c>
    </row>
    <row r="110" spans="2:12" s="162" customFormat="1" outlineLevel="1">
      <c r="B110" s="113">
        <v>29341</v>
      </c>
      <c r="C110" s="69">
        <v>11.45</v>
      </c>
      <c r="D110" s="69">
        <v>11.73</v>
      </c>
      <c r="G110" s="77">
        <f t="shared" si="7"/>
        <v>11.45</v>
      </c>
      <c r="H110" s="77">
        <f t="shared" si="8"/>
        <v>11.73</v>
      </c>
      <c r="I110" s="77">
        <f t="shared" si="9"/>
        <v>0.28000000000000114</v>
      </c>
      <c r="J110" s="78">
        <f t="shared" si="10"/>
        <v>15.59</v>
      </c>
      <c r="K110" s="78">
        <f t="shared" si="11"/>
        <v>15.731999999999999</v>
      </c>
      <c r="L110" s="78">
        <f t="shared" si="6"/>
        <v>0.14199999999999946</v>
      </c>
    </row>
    <row r="111" spans="2:12" s="162" customFormat="1" outlineLevel="1">
      <c r="B111" s="113">
        <v>29372</v>
      </c>
      <c r="C111" s="69">
        <v>11.8</v>
      </c>
      <c r="D111" s="69">
        <v>11.78</v>
      </c>
      <c r="G111" s="77">
        <f t="shared" si="7"/>
        <v>11.8</v>
      </c>
      <c r="H111" s="77">
        <f t="shared" si="8"/>
        <v>11.78</v>
      </c>
      <c r="I111" s="77">
        <f t="shared" si="9"/>
        <v>-2.000000000000135E-2</v>
      </c>
      <c r="J111" s="78">
        <f t="shared" si="10"/>
        <v>15.940000000000001</v>
      </c>
      <c r="K111" s="78">
        <f t="shared" si="11"/>
        <v>15.782</v>
      </c>
      <c r="L111" s="78">
        <f t="shared" si="6"/>
        <v>-0.15800000000000125</v>
      </c>
    </row>
    <row r="112" spans="2:12" s="162" customFormat="1" outlineLevel="1">
      <c r="B112" s="113">
        <v>29402</v>
      </c>
      <c r="C112" s="69">
        <v>11.78</v>
      </c>
      <c r="D112" s="69">
        <v>11.76</v>
      </c>
      <c r="G112" s="77">
        <f t="shared" si="7"/>
        <v>11.78</v>
      </c>
      <c r="H112" s="77">
        <f t="shared" si="8"/>
        <v>11.76</v>
      </c>
      <c r="I112" s="77">
        <f t="shared" si="9"/>
        <v>-1.9999999999999574E-2</v>
      </c>
      <c r="J112" s="78">
        <f t="shared" si="10"/>
        <v>15.919999999999998</v>
      </c>
      <c r="K112" s="78">
        <f t="shared" si="11"/>
        <v>15.762</v>
      </c>
      <c r="L112" s="78">
        <f t="shared" si="6"/>
        <v>-0.1579999999999977</v>
      </c>
    </row>
    <row r="113" spans="2:12" s="162" customFormat="1" outlineLevel="1">
      <c r="B113" s="113">
        <v>29433</v>
      </c>
      <c r="C113" s="69">
        <v>11.78</v>
      </c>
      <c r="D113" s="69">
        <v>11.78</v>
      </c>
      <c r="G113" s="77">
        <f t="shared" si="7"/>
        <v>11.78</v>
      </c>
      <c r="H113" s="77">
        <f t="shared" si="8"/>
        <v>11.78</v>
      </c>
      <c r="I113" s="77">
        <f t="shared" si="9"/>
        <v>0</v>
      </c>
      <c r="J113" s="78">
        <f t="shared" si="10"/>
        <v>15.919999999999998</v>
      </c>
      <c r="K113" s="78">
        <f t="shared" si="11"/>
        <v>15.782</v>
      </c>
      <c r="L113" s="78">
        <f t="shared" si="6"/>
        <v>-0.13799999999999812</v>
      </c>
    </row>
    <row r="114" spans="2:12" s="162" customFormat="1" outlineLevel="1">
      <c r="B114" s="113">
        <v>29464</v>
      </c>
      <c r="C114" s="69">
        <v>11.78</v>
      </c>
      <c r="D114" s="69">
        <v>11.82</v>
      </c>
      <c r="G114" s="77">
        <f t="shared" si="7"/>
        <v>11.78</v>
      </c>
      <c r="H114" s="77">
        <f t="shared" si="8"/>
        <v>11.82</v>
      </c>
      <c r="I114" s="77">
        <f t="shared" si="9"/>
        <v>4.0000000000000924E-2</v>
      </c>
      <c r="J114" s="78">
        <f t="shared" si="10"/>
        <v>15.919999999999998</v>
      </c>
      <c r="K114" s="78">
        <f t="shared" si="11"/>
        <v>15.821999999999999</v>
      </c>
      <c r="L114" s="78">
        <f t="shared" si="6"/>
        <v>-9.7999999999998977E-2</v>
      </c>
    </row>
    <row r="115" spans="2:12" s="162" customFormat="1" outlineLevel="1">
      <c r="B115" s="113">
        <v>29494</v>
      </c>
      <c r="C115" s="69">
        <v>11.79</v>
      </c>
      <c r="D115" s="69">
        <v>11.78</v>
      </c>
      <c r="G115" s="77">
        <f t="shared" si="7"/>
        <v>11.79</v>
      </c>
      <c r="H115" s="77">
        <f t="shared" si="8"/>
        <v>11.78</v>
      </c>
      <c r="I115" s="77">
        <f t="shared" si="9"/>
        <v>-9.9999999999997868E-3</v>
      </c>
      <c r="J115" s="78">
        <f t="shared" si="10"/>
        <v>15.93</v>
      </c>
      <c r="K115" s="78">
        <f t="shared" si="11"/>
        <v>15.782</v>
      </c>
      <c r="L115" s="78">
        <f t="shared" si="6"/>
        <v>-0.14799999999999969</v>
      </c>
    </row>
    <row r="116" spans="2:12" s="162" customFormat="1" outlineLevel="1">
      <c r="B116" s="113">
        <v>29525</v>
      </c>
      <c r="C116" s="69">
        <v>11.88</v>
      </c>
      <c r="D116" s="69">
        <v>11.9</v>
      </c>
      <c r="G116" s="77">
        <f t="shared" si="7"/>
        <v>11.88</v>
      </c>
      <c r="H116" s="77">
        <f t="shared" si="8"/>
        <v>11.9</v>
      </c>
      <c r="I116" s="77">
        <f t="shared" si="9"/>
        <v>1.9999999999999574E-2</v>
      </c>
      <c r="J116" s="78">
        <f t="shared" si="10"/>
        <v>16.02</v>
      </c>
      <c r="K116" s="78">
        <f t="shared" si="11"/>
        <v>15.902000000000001</v>
      </c>
      <c r="L116" s="78">
        <f t="shared" si="6"/>
        <v>-0.11799999999999855</v>
      </c>
    </row>
    <row r="117" spans="2:12" s="162" customFormat="1" outlineLevel="1">
      <c r="B117" s="113">
        <v>29555</v>
      </c>
      <c r="C117" s="69">
        <v>12.42</v>
      </c>
      <c r="D117" s="69">
        <v>12.42</v>
      </c>
      <c r="G117" s="77">
        <f t="shared" si="7"/>
        <v>12.42</v>
      </c>
      <c r="H117" s="77">
        <f t="shared" si="8"/>
        <v>12.42</v>
      </c>
      <c r="I117" s="77">
        <f t="shared" si="9"/>
        <v>0</v>
      </c>
      <c r="J117" s="78">
        <f t="shared" si="10"/>
        <v>16.559999999999999</v>
      </c>
      <c r="K117" s="78">
        <f t="shared" si="11"/>
        <v>16.422000000000001</v>
      </c>
      <c r="L117" s="78">
        <f t="shared" si="6"/>
        <v>-0.13799999999999812</v>
      </c>
    </row>
    <row r="118" spans="2:12" s="162" customFormat="1" outlineLevel="1">
      <c r="B118" s="113">
        <v>29586</v>
      </c>
      <c r="C118" s="69">
        <v>12.72</v>
      </c>
      <c r="D118" s="69">
        <v>12.6</v>
      </c>
      <c r="G118" s="77">
        <f t="shared" si="7"/>
        <v>12.72</v>
      </c>
      <c r="H118" s="77">
        <f t="shared" si="8"/>
        <v>12.6</v>
      </c>
      <c r="I118" s="77">
        <f t="shared" si="9"/>
        <v>-0.12000000000000099</v>
      </c>
      <c r="J118" s="78">
        <f t="shared" si="10"/>
        <v>16.86</v>
      </c>
      <c r="K118" s="78">
        <f t="shared" si="11"/>
        <v>16.602</v>
      </c>
      <c r="L118" s="78">
        <f t="shared" si="6"/>
        <v>-0.25799999999999912</v>
      </c>
    </row>
    <row r="119" spans="2:12" s="162" customFormat="1" outlineLevel="1">
      <c r="B119" s="113">
        <v>29617</v>
      </c>
      <c r="C119" s="69">
        <v>13.1</v>
      </c>
      <c r="D119" s="69">
        <v>13.1</v>
      </c>
      <c r="G119" s="77">
        <f t="shared" si="7"/>
        <v>13.1</v>
      </c>
      <c r="H119" s="77">
        <f t="shared" si="8"/>
        <v>13.1</v>
      </c>
      <c r="I119" s="77">
        <f t="shared" si="9"/>
        <v>0</v>
      </c>
      <c r="J119" s="78">
        <f t="shared" si="10"/>
        <v>17.239999999999998</v>
      </c>
      <c r="K119" s="78">
        <f t="shared" si="11"/>
        <v>17.102</v>
      </c>
      <c r="L119" s="78">
        <f t="shared" si="6"/>
        <v>-0.13799999999999812</v>
      </c>
    </row>
    <row r="120" spans="2:12" s="162" customFormat="1" outlineLevel="1">
      <c r="B120" s="113">
        <v>29645</v>
      </c>
      <c r="C120" s="69">
        <v>13.1</v>
      </c>
      <c r="D120" s="69">
        <v>13.1</v>
      </c>
      <c r="G120" s="77">
        <f t="shared" si="7"/>
        <v>13.1</v>
      </c>
      <c r="H120" s="77">
        <f t="shared" si="8"/>
        <v>13.1</v>
      </c>
      <c r="I120" s="77">
        <f t="shared" si="9"/>
        <v>0</v>
      </c>
      <c r="J120" s="78">
        <f t="shared" si="10"/>
        <v>17.239999999999998</v>
      </c>
      <c r="K120" s="78">
        <f t="shared" si="11"/>
        <v>17.102</v>
      </c>
      <c r="L120" s="78">
        <f t="shared" si="6"/>
        <v>-0.13799999999999812</v>
      </c>
    </row>
    <row r="121" spans="2:12" s="162" customFormat="1" outlineLevel="1">
      <c r="B121" s="113">
        <v>29676</v>
      </c>
      <c r="C121" s="69">
        <v>13.1</v>
      </c>
      <c r="D121" s="69">
        <v>13.1</v>
      </c>
      <c r="G121" s="77">
        <f t="shared" si="7"/>
        <v>13.1</v>
      </c>
      <c r="H121" s="77">
        <f t="shared" si="8"/>
        <v>13.1</v>
      </c>
      <c r="I121" s="77">
        <f t="shared" si="9"/>
        <v>0</v>
      </c>
      <c r="J121" s="78">
        <f t="shared" si="10"/>
        <v>17.239999999999998</v>
      </c>
      <c r="K121" s="78">
        <f t="shared" si="11"/>
        <v>17.102</v>
      </c>
      <c r="L121" s="78">
        <f t="shared" si="6"/>
        <v>-0.13799999999999812</v>
      </c>
    </row>
    <row r="122" spans="2:12" s="162" customFormat="1" outlineLevel="1">
      <c r="B122" s="113">
        <v>29706</v>
      </c>
      <c r="C122" s="69">
        <v>13.1</v>
      </c>
      <c r="D122" s="69">
        <v>13.1</v>
      </c>
      <c r="G122" s="77">
        <f t="shared" si="7"/>
        <v>13.1</v>
      </c>
      <c r="H122" s="77">
        <f t="shared" si="8"/>
        <v>13.1</v>
      </c>
      <c r="I122" s="77">
        <f t="shared" si="9"/>
        <v>0</v>
      </c>
      <c r="J122" s="78">
        <f t="shared" si="10"/>
        <v>17.239999999999998</v>
      </c>
      <c r="K122" s="78">
        <f t="shared" si="11"/>
        <v>17.102</v>
      </c>
      <c r="L122" s="78">
        <f t="shared" si="6"/>
        <v>-0.13799999999999812</v>
      </c>
    </row>
    <row r="123" spans="2:12" s="162" customFormat="1" outlineLevel="1">
      <c r="B123" s="113">
        <v>29737</v>
      </c>
      <c r="C123" s="69">
        <v>13.1</v>
      </c>
      <c r="D123" s="69">
        <v>13.1</v>
      </c>
      <c r="G123" s="77">
        <f t="shared" si="7"/>
        <v>13.1</v>
      </c>
      <c r="H123" s="77">
        <f t="shared" si="8"/>
        <v>13.1</v>
      </c>
      <c r="I123" s="77">
        <f t="shared" si="9"/>
        <v>0</v>
      </c>
      <c r="J123" s="78">
        <f t="shared" si="10"/>
        <v>17.239999999999998</v>
      </c>
      <c r="K123" s="78">
        <f t="shared" si="11"/>
        <v>17.102</v>
      </c>
      <c r="L123" s="78">
        <f t="shared" si="6"/>
        <v>-0.13799999999999812</v>
      </c>
    </row>
    <row r="124" spans="2:12" s="162" customFormat="1" outlineLevel="1">
      <c r="B124" s="113">
        <v>29767</v>
      </c>
      <c r="C124" s="69">
        <v>13.1</v>
      </c>
      <c r="D124" s="69">
        <v>13.1</v>
      </c>
      <c r="G124" s="77">
        <f t="shared" si="7"/>
        <v>13.1</v>
      </c>
      <c r="H124" s="77">
        <f t="shared" si="8"/>
        <v>13.1</v>
      </c>
      <c r="I124" s="77">
        <f t="shared" si="9"/>
        <v>0</v>
      </c>
      <c r="J124" s="78">
        <f t="shared" si="10"/>
        <v>17.239999999999998</v>
      </c>
      <c r="K124" s="78">
        <f t="shared" si="11"/>
        <v>17.102</v>
      </c>
      <c r="L124" s="78">
        <f t="shared" si="6"/>
        <v>-0.13799999999999812</v>
      </c>
    </row>
    <row r="125" spans="2:12" s="162" customFormat="1" outlineLevel="1">
      <c r="B125" s="113">
        <v>29798</v>
      </c>
      <c r="C125" s="69">
        <v>13.75</v>
      </c>
      <c r="D125" s="69">
        <v>13.9</v>
      </c>
      <c r="G125" s="77">
        <f t="shared" si="7"/>
        <v>13.75</v>
      </c>
      <c r="H125" s="77">
        <f t="shared" si="8"/>
        <v>13.9</v>
      </c>
      <c r="I125" s="77">
        <f t="shared" si="9"/>
        <v>0.15000000000000036</v>
      </c>
      <c r="J125" s="78">
        <f t="shared" si="10"/>
        <v>17.89</v>
      </c>
      <c r="K125" s="78">
        <f t="shared" si="11"/>
        <v>17.902000000000001</v>
      </c>
      <c r="L125" s="78">
        <f t="shared" si="6"/>
        <v>1.2000000000000455E-2</v>
      </c>
    </row>
    <row r="126" spans="2:12" s="162" customFormat="1" outlineLevel="1">
      <c r="B126" s="113">
        <v>29829</v>
      </c>
      <c r="C126" s="69">
        <v>15</v>
      </c>
      <c r="D126" s="69">
        <v>15</v>
      </c>
      <c r="G126" s="77">
        <f t="shared" si="7"/>
        <v>15</v>
      </c>
      <c r="H126" s="77">
        <f t="shared" si="8"/>
        <v>15</v>
      </c>
      <c r="I126" s="77">
        <f t="shared" si="9"/>
        <v>0</v>
      </c>
      <c r="J126" s="78">
        <f t="shared" si="10"/>
        <v>19.14</v>
      </c>
      <c r="K126" s="78">
        <f t="shared" si="11"/>
        <v>19.001999999999999</v>
      </c>
      <c r="L126" s="78">
        <f t="shared" si="6"/>
        <v>-0.13800000000000168</v>
      </c>
    </row>
    <row r="127" spans="2:12" s="162" customFormat="1" outlineLevel="1">
      <c r="B127" s="113">
        <v>29859</v>
      </c>
      <c r="C127" s="69">
        <v>15</v>
      </c>
      <c r="D127" s="69">
        <v>15</v>
      </c>
      <c r="G127" s="77">
        <f t="shared" si="7"/>
        <v>15</v>
      </c>
      <c r="H127" s="77">
        <f t="shared" si="8"/>
        <v>15</v>
      </c>
      <c r="I127" s="77">
        <f t="shared" si="9"/>
        <v>0</v>
      </c>
      <c r="J127" s="78">
        <f t="shared" si="10"/>
        <v>19.14</v>
      </c>
      <c r="K127" s="78">
        <f t="shared" si="11"/>
        <v>19.001999999999999</v>
      </c>
      <c r="L127" s="78">
        <f t="shared" si="6"/>
        <v>-0.13800000000000168</v>
      </c>
    </row>
    <row r="128" spans="2:12" s="162" customFormat="1" outlineLevel="1">
      <c r="B128" s="113">
        <v>29890</v>
      </c>
      <c r="C128" s="69">
        <v>15</v>
      </c>
      <c r="D128" s="69">
        <v>15</v>
      </c>
      <c r="G128" s="77">
        <f t="shared" si="7"/>
        <v>15</v>
      </c>
      <c r="H128" s="77">
        <f t="shared" si="8"/>
        <v>15</v>
      </c>
      <c r="I128" s="77">
        <f t="shared" si="9"/>
        <v>0</v>
      </c>
      <c r="J128" s="78">
        <f t="shared" si="10"/>
        <v>19.14</v>
      </c>
      <c r="K128" s="78">
        <f t="shared" si="11"/>
        <v>19.001999999999999</v>
      </c>
      <c r="L128" s="78">
        <f t="shared" si="6"/>
        <v>-0.13800000000000168</v>
      </c>
    </row>
    <row r="129" spans="2:12" s="162" customFormat="1" outlineLevel="1">
      <c r="B129" s="113">
        <v>29920</v>
      </c>
      <c r="C129" s="69">
        <v>15</v>
      </c>
      <c r="D129" s="69">
        <v>15</v>
      </c>
      <c r="G129" s="77">
        <f t="shared" si="7"/>
        <v>15</v>
      </c>
      <c r="H129" s="77">
        <f t="shared" si="8"/>
        <v>15</v>
      </c>
      <c r="I129" s="77">
        <f t="shared" si="9"/>
        <v>0</v>
      </c>
      <c r="J129" s="78">
        <f t="shared" si="10"/>
        <v>19.14</v>
      </c>
      <c r="K129" s="78">
        <f t="shared" si="11"/>
        <v>19.001999999999999</v>
      </c>
      <c r="L129" s="78">
        <f t="shared" si="6"/>
        <v>-0.13800000000000168</v>
      </c>
    </row>
    <row r="130" spans="2:12" s="162" customFormat="1" outlineLevel="1">
      <c r="B130" s="113">
        <v>29951</v>
      </c>
      <c r="C130" s="69">
        <v>14.9</v>
      </c>
      <c r="D130" s="69">
        <v>15</v>
      </c>
      <c r="G130" s="77">
        <f t="shared" si="7"/>
        <v>14.9</v>
      </c>
      <c r="H130" s="77">
        <f t="shared" si="8"/>
        <v>15</v>
      </c>
      <c r="I130" s="77">
        <f t="shared" si="9"/>
        <v>9.9999999999999645E-2</v>
      </c>
      <c r="J130" s="78">
        <f t="shared" si="10"/>
        <v>19.04</v>
      </c>
      <c r="K130" s="78">
        <f t="shared" si="11"/>
        <v>19.001999999999999</v>
      </c>
      <c r="L130" s="78">
        <f t="shared" si="6"/>
        <v>-3.8000000000000256E-2</v>
      </c>
    </row>
    <row r="131" spans="2:12" s="162" customFormat="1" outlineLevel="1">
      <c r="B131" s="113">
        <v>29982</v>
      </c>
      <c r="C131" s="69">
        <v>15</v>
      </c>
      <c r="D131" s="69">
        <v>15</v>
      </c>
      <c r="G131" s="77">
        <f t="shared" si="7"/>
        <v>15</v>
      </c>
      <c r="H131" s="77">
        <f t="shared" si="8"/>
        <v>15</v>
      </c>
      <c r="I131" s="77">
        <f t="shared" si="9"/>
        <v>0</v>
      </c>
      <c r="J131" s="78">
        <f t="shared" si="10"/>
        <v>19.14</v>
      </c>
      <c r="K131" s="78">
        <f t="shared" si="11"/>
        <v>19.001999999999999</v>
      </c>
      <c r="L131" s="78">
        <f t="shared" si="6"/>
        <v>-0.13800000000000168</v>
      </c>
    </row>
    <row r="132" spans="2:12" s="162" customFormat="1" outlineLevel="1">
      <c r="B132" s="113">
        <v>30010</v>
      </c>
      <c r="C132" s="69">
        <v>15.1</v>
      </c>
      <c r="D132" s="69">
        <v>15.1</v>
      </c>
      <c r="G132" s="77">
        <f t="shared" si="7"/>
        <v>15.1</v>
      </c>
      <c r="H132" s="77">
        <f t="shared" si="8"/>
        <v>15.1</v>
      </c>
      <c r="I132" s="77">
        <f t="shared" si="9"/>
        <v>0</v>
      </c>
      <c r="J132" s="78">
        <f t="shared" si="10"/>
        <v>19.239999999999998</v>
      </c>
      <c r="K132" s="78">
        <f t="shared" si="11"/>
        <v>19.102</v>
      </c>
      <c r="L132" s="78">
        <f t="shared" si="6"/>
        <v>-0.13799999999999812</v>
      </c>
    </row>
    <row r="133" spans="2:12" s="162" customFormat="1" outlineLevel="1">
      <c r="B133" s="113">
        <v>30041</v>
      </c>
      <c r="C133" s="69">
        <v>15.2</v>
      </c>
      <c r="D133" s="69">
        <v>15.15</v>
      </c>
      <c r="G133" s="77">
        <f t="shared" si="7"/>
        <v>15.2</v>
      </c>
      <c r="H133" s="77">
        <f t="shared" si="8"/>
        <v>15.15</v>
      </c>
      <c r="I133" s="77">
        <f t="shared" si="9"/>
        <v>-4.9999999999998934E-2</v>
      </c>
      <c r="J133" s="78">
        <f t="shared" si="10"/>
        <v>19.34</v>
      </c>
      <c r="K133" s="78">
        <f t="shared" si="11"/>
        <v>19.152000000000001</v>
      </c>
      <c r="L133" s="78">
        <f t="shared" si="6"/>
        <v>-0.18799999999999883</v>
      </c>
    </row>
    <row r="134" spans="2:12" s="162" customFormat="1" outlineLevel="1">
      <c r="B134" s="113">
        <v>30071</v>
      </c>
      <c r="C134" s="69">
        <v>15.3</v>
      </c>
      <c r="D134" s="69">
        <v>15.2</v>
      </c>
      <c r="G134" s="77">
        <f t="shared" si="7"/>
        <v>15.3</v>
      </c>
      <c r="H134" s="77">
        <f t="shared" si="8"/>
        <v>15.2</v>
      </c>
      <c r="I134" s="77">
        <f t="shared" si="9"/>
        <v>-0.10000000000000142</v>
      </c>
      <c r="J134" s="78">
        <f t="shared" si="10"/>
        <v>19.440000000000001</v>
      </c>
      <c r="K134" s="78">
        <f t="shared" si="11"/>
        <v>19.201999999999998</v>
      </c>
      <c r="L134" s="78">
        <f t="shared" si="6"/>
        <v>-0.2380000000000031</v>
      </c>
    </row>
    <row r="135" spans="2:12" s="162" customFormat="1" outlineLevel="1">
      <c r="B135" s="113">
        <v>30102</v>
      </c>
      <c r="C135" s="69">
        <v>16.399999999999999</v>
      </c>
      <c r="D135" s="69">
        <v>16.399999999999999</v>
      </c>
      <c r="G135" s="77">
        <f t="shared" si="7"/>
        <v>16.399999999999999</v>
      </c>
      <c r="H135" s="77">
        <f t="shared" si="8"/>
        <v>16.399999999999999</v>
      </c>
      <c r="I135" s="77">
        <f t="shared" si="9"/>
        <v>0</v>
      </c>
      <c r="J135" s="78">
        <f t="shared" si="10"/>
        <v>20.54</v>
      </c>
      <c r="K135" s="78">
        <f t="shared" si="11"/>
        <v>20.401999999999997</v>
      </c>
      <c r="L135" s="78">
        <f t="shared" si="6"/>
        <v>-0.13800000000000168</v>
      </c>
    </row>
    <row r="136" spans="2:12" s="162" customFormat="1" outlineLevel="1">
      <c r="B136" s="113">
        <v>30132</v>
      </c>
      <c r="C136" s="69">
        <v>16.399999999999999</v>
      </c>
      <c r="D136" s="69">
        <v>16.399999999999999</v>
      </c>
      <c r="G136" s="77">
        <f t="shared" si="7"/>
        <v>16.399999999999999</v>
      </c>
      <c r="H136" s="77">
        <f t="shared" si="8"/>
        <v>16.399999999999999</v>
      </c>
      <c r="I136" s="77">
        <f t="shared" si="9"/>
        <v>0</v>
      </c>
      <c r="J136" s="78">
        <f t="shared" si="10"/>
        <v>20.54</v>
      </c>
      <c r="K136" s="78">
        <f t="shared" si="11"/>
        <v>20.401999999999997</v>
      </c>
      <c r="L136" s="78">
        <f t="shared" si="6"/>
        <v>-0.13800000000000168</v>
      </c>
    </row>
    <row r="137" spans="2:12" s="162" customFormat="1" outlineLevel="1">
      <c r="B137" s="113">
        <v>30163</v>
      </c>
      <c r="C137" s="69">
        <v>16.399999999999999</v>
      </c>
      <c r="D137" s="69">
        <v>16.399999999999999</v>
      </c>
      <c r="G137" s="77">
        <f t="shared" si="7"/>
        <v>16.399999999999999</v>
      </c>
      <c r="H137" s="77">
        <f t="shared" si="8"/>
        <v>16.399999999999999</v>
      </c>
      <c r="I137" s="77">
        <f t="shared" si="9"/>
        <v>0</v>
      </c>
      <c r="J137" s="78">
        <f t="shared" si="10"/>
        <v>20.54</v>
      </c>
      <c r="K137" s="78">
        <f t="shared" si="11"/>
        <v>20.401999999999997</v>
      </c>
      <c r="L137" s="78">
        <f t="shared" si="6"/>
        <v>-0.13800000000000168</v>
      </c>
    </row>
    <row r="138" spans="2:12" s="162" customFormat="1" outlineLevel="1">
      <c r="B138" s="113">
        <v>30194</v>
      </c>
      <c r="C138" s="69">
        <v>16.600000000000001</v>
      </c>
      <c r="D138" s="69">
        <v>16.5</v>
      </c>
      <c r="G138" s="77">
        <f t="shared" si="7"/>
        <v>16.600000000000001</v>
      </c>
      <c r="H138" s="77">
        <f t="shared" si="8"/>
        <v>16.5</v>
      </c>
      <c r="I138" s="77">
        <f t="shared" si="9"/>
        <v>-0.10000000000000142</v>
      </c>
      <c r="J138" s="78">
        <f t="shared" si="10"/>
        <v>20.740000000000002</v>
      </c>
      <c r="K138" s="78">
        <f t="shared" si="11"/>
        <v>20.501999999999999</v>
      </c>
      <c r="L138" s="78">
        <f t="shared" si="6"/>
        <v>-0.2380000000000031</v>
      </c>
    </row>
    <row r="139" spans="2:12" s="162" customFormat="1" outlineLevel="1">
      <c r="B139" s="113">
        <v>30224</v>
      </c>
      <c r="C139" s="69">
        <v>15.2</v>
      </c>
      <c r="D139" s="69">
        <v>15.2</v>
      </c>
      <c r="G139" s="77">
        <f t="shared" si="7"/>
        <v>15.2</v>
      </c>
      <c r="H139" s="77">
        <f t="shared" si="8"/>
        <v>15.2</v>
      </c>
      <c r="I139" s="77">
        <f t="shared" si="9"/>
        <v>0</v>
      </c>
      <c r="J139" s="78">
        <f t="shared" si="10"/>
        <v>19.34</v>
      </c>
      <c r="K139" s="78">
        <f t="shared" si="11"/>
        <v>19.201999999999998</v>
      </c>
      <c r="L139" s="78">
        <f t="shared" ref="L139:L202" si="12">K139-J139</f>
        <v>-0.13800000000000168</v>
      </c>
    </row>
    <row r="140" spans="2:12" s="162" customFormat="1" outlineLevel="1">
      <c r="B140" s="113">
        <v>30255</v>
      </c>
      <c r="C140" s="69">
        <v>14.55</v>
      </c>
      <c r="D140" s="69">
        <v>14.55</v>
      </c>
      <c r="G140" s="77">
        <f t="shared" ref="G140:G203" si="13">IF(C140="",E140,C140)</f>
        <v>14.55</v>
      </c>
      <c r="H140" s="77">
        <f t="shared" ref="H140:H203" si="14">IF(D140="",F140,D140)</f>
        <v>14.55</v>
      </c>
      <c r="I140" s="77">
        <f t="shared" ref="I140:I203" si="15">H140-G140</f>
        <v>0</v>
      </c>
      <c r="J140" s="78">
        <f t="shared" ref="J140:J203" si="16">G140  +  0.6  *  6.9</f>
        <v>18.690000000000001</v>
      </c>
      <c r="K140" s="78">
        <f t="shared" ref="K140:K203" si="17">H140  +  0.6  *  6.67</f>
        <v>18.552</v>
      </c>
      <c r="L140" s="78">
        <f t="shared" si="12"/>
        <v>-0.13800000000000168</v>
      </c>
    </row>
    <row r="141" spans="2:12" s="162" customFormat="1" outlineLevel="1">
      <c r="B141" s="113">
        <v>30285</v>
      </c>
      <c r="C141" s="69">
        <v>14.6</v>
      </c>
      <c r="D141" s="69">
        <v>14.6</v>
      </c>
      <c r="G141" s="77">
        <f t="shared" si="13"/>
        <v>14.6</v>
      </c>
      <c r="H141" s="77">
        <f t="shared" si="14"/>
        <v>14.6</v>
      </c>
      <c r="I141" s="77">
        <f t="shared" si="15"/>
        <v>0</v>
      </c>
      <c r="J141" s="78">
        <f t="shared" si="16"/>
        <v>18.739999999999998</v>
      </c>
      <c r="K141" s="78">
        <f t="shared" si="17"/>
        <v>18.602</v>
      </c>
      <c r="L141" s="78">
        <f t="shared" si="12"/>
        <v>-0.13799999999999812</v>
      </c>
    </row>
    <row r="142" spans="2:12" s="162" customFormat="1" outlineLevel="1">
      <c r="B142" s="113">
        <v>30316</v>
      </c>
      <c r="C142" s="69">
        <v>14</v>
      </c>
      <c r="D142" s="69">
        <v>14</v>
      </c>
      <c r="G142" s="77">
        <f t="shared" si="13"/>
        <v>14</v>
      </c>
      <c r="H142" s="77">
        <f t="shared" si="14"/>
        <v>14</v>
      </c>
      <c r="I142" s="77">
        <f t="shared" si="15"/>
        <v>0</v>
      </c>
      <c r="J142" s="78">
        <f t="shared" si="16"/>
        <v>18.14</v>
      </c>
      <c r="K142" s="78">
        <f t="shared" si="17"/>
        <v>18.001999999999999</v>
      </c>
      <c r="L142" s="78">
        <f t="shared" si="12"/>
        <v>-0.13800000000000168</v>
      </c>
    </row>
    <row r="143" spans="2:12" s="162" customFormat="1" outlineLevel="1">
      <c r="B143" s="113">
        <v>30347</v>
      </c>
      <c r="C143" s="69">
        <v>12.6</v>
      </c>
      <c r="D143" s="69">
        <v>13</v>
      </c>
      <c r="G143" s="77">
        <f t="shared" si="13"/>
        <v>12.6</v>
      </c>
      <c r="H143" s="77">
        <f t="shared" si="14"/>
        <v>13</v>
      </c>
      <c r="I143" s="77">
        <f t="shared" si="15"/>
        <v>0.40000000000000036</v>
      </c>
      <c r="J143" s="78">
        <f t="shared" si="16"/>
        <v>16.739999999999998</v>
      </c>
      <c r="K143" s="78">
        <f t="shared" si="17"/>
        <v>17.001999999999999</v>
      </c>
      <c r="L143" s="78">
        <f t="shared" si="12"/>
        <v>0.26200000000000045</v>
      </c>
    </row>
    <row r="144" spans="2:12" s="162" customFormat="1" outlineLevel="1">
      <c r="B144" s="113">
        <v>30375</v>
      </c>
      <c r="C144" s="69">
        <v>13.4</v>
      </c>
      <c r="D144" s="69">
        <v>13.6</v>
      </c>
      <c r="G144" s="77">
        <f t="shared" si="13"/>
        <v>13.4</v>
      </c>
      <c r="H144" s="77">
        <f t="shared" si="14"/>
        <v>13.6</v>
      </c>
      <c r="I144" s="77">
        <f t="shared" si="15"/>
        <v>0.19999999999999929</v>
      </c>
      <c r="J144" s="78">
        <f t="shared" si="16"/>
        <v>17.54</v>
      </c>
      <c r="K144" s="78">
        <f t="shared" si="17"/>
        <v>17.602</v>
      </c>
      <c r="L144" s="78">
        <f t="shared" si="12"/>
        <v>6.2000000000001165E-2</v>
      </c>
    </row>
    <row r="145" spans="2:12" s="162" customFormat="1" outlineLevel="1">
      <c r="B145" s="113">
        <v>30406</v>
      </c>
      <c r="C145" s="69">
        <v>14.4</v>
      </c>
      <c r="D145" s="69">
        <v>14.4</v>
      </c>
      <c r="G145" s="77">
        <f t="shared" si="13"/>
        <v>14.4</v>
      </c>
      <c r="H145" s="77">
        <f t="shared" si="14"/>
        <v>14.4</v>
      </c>
      <c r="I145" s="77">
        <f t="shared" si="15"/>
        <v>0</v>
      </c>
      <c r="J145" s="78">
        <f t="shared" si="16"/>
        <v>18.54</v>
      </c>
      <c r="K145" s="78">
        <f t="shared" si="17"/>
        <v>18.402000000000001</v>
      </c>
      <c r="L145" s="78">
        <f t="shared" si="12"/>
        <v>-0.13799999999999812</v>
      </c>
    </row>
    <row r="146" spans="2:12" s="162" customFormat="1" outlineLevel="1">
      <c r="B146" s="113">
        <v>30436</v>
      </c>
      <c r="C146" s="69">
        <v>13.5</v>
      </c>
      <c r="D146" s="69">
        <v>14.1</v>
      </c>
      <c r="G146" s="77">
        <f t="shared" si="13"/>
        <v>13.5</v>
      </c>
      <c r="H146" s="77">
        <f t="shared" si="14"/>
        <v>14.1</v>
      </c>
      <c r="I146" s="77">
        <f t="shared" si="15"/>
        <v>0.59999999999999964</v>
      </c>
      <c r="J146" s="78">
        <f t="shared" si="16"/>
        <v>17.64</v>
      </c>
      <c r="K146" s="78">
        <f t="shared" si="17"/>
        <v>18.102</v>
      </c>
      <c r="L146" s="78">
        <f t="shared" si="12"/>
        <v>0.46199999999999974</v>
      </c>
    </row>
    <row r="147" spans="2:12" s="162" customFormat="1" outlineLevel="1">
      <c r="B147" s="113">
        <v>30467</v>
      </c>
      <c r="C147" s="69">
        <v>12.8</v>
      </c>
      <c r="D147" s="69">
        <v>13.1</v>
      </c>
      <c r="G147" s="77">
        <f t="shared" si="13"/>
        <v>12.8</v>
      </c>
      <c r="H147" s="77">
        <f t="shared" si="14"/>
        <v>13.1</v>
      </c>
      <c r="I147" s="77">
        <f t="shared" si="15"/>
        <v>0.29999999999999893</v>
      </c>
      <c r="J147" s="78">
        <f t="shared" si="16"/>
        <v>16.940000000000001</v>
      </c>
      <c r="K147" s="78">
        <f t="shared" si="17"/>
        <v>17.102</v>
      </c>
      <c r="L147" s="78">
        <f t="shared" si="12"/>
        <v>0.16199999999999903</v>
      </c>
    </row>
    <row r="148" spans="2:12" s="162" customFormat="1" outlineLevel="1">
      <c r="B148" s="113">
        <v>30497</v>
      </c>
      <c r="C148" s="69">
        <v>14.3</v>
      </c>
      <c r="D148" s="69">
        <v>14.7</v>
      </c>
      <c r="G148" s="77">
        <f t="shared" si="13"/>
        <v>14.3</v>
      </c>
      <c r="H148" s="77">
        <f t="shared" si="14"/>
        <v>14.7</v>
      </c>
      <c r="I148" s="77">
        <f t="shared" si="15"/>
        <v>0.39999999999999858</v>
      </c>
      <c r="J148" s="78">
        <f t="shared" si="16"/>
        <v>18.440000000000001</v>
      </c>
      <c r="K148" s="78">
        <f t="shared" si="17"/>
        <v>18.701999999999998</v>
      </c>
      <c r="L148" s="78">
        <f t="shared" si="12"/>
        <v>0.2619999999999969</v>
      </c>
    </row>
    <row r="149" spans="2:12" s="162" customFormat="1" outlineLevel="1">
      <c r="B149" s="113">
        <v>30528</v>
      </c>
      <c r="C149" s="69">
        <v>14.3</v>
      </c>
      <c r="D149" s="69">
        <v>14.8</v>
      </c>
      <c r="G149" s="77">
        <f t="shared" si="13"/>
        <v>14.3</v>
      </c>
      <c r="H149" s="77">
        <f t="shared" si="14"/>
        <v>14.8</v>
      </c>
      <c r="I149" s="77">
        <f t="shared" si="15"/>
        <v>0.5</v>
      </c>
      <c r="J149" s="78">
        <f t="shared" si="16"/>
        <v>18.440000000000001</v>
      </c>
      <c r="K149" s="78">
        <f t="shared" si="17"/>
        <v>18.802</v>
      </c>
      <c r="L149" s="78">
        <f t="shared" si="12"/>
        <v>0.36199999999999832</v>
      </c>
    </row>
    <row r="150" spans="2:12" s="162" customFormat="1" outlineLevel="1">
      <c r="B150" s="113">
        <v>30559</v>
      </c>
      <c r="C150" s="69">
        <v>14.4</v>
      </c>
      <c r="D150" s="69">
        <v>14.7</v>
      </c>
      <c r="G150" s="77">
        <f t="shared" si="13"/>
        <v>14.4</v>
      </c>
      <c r="H150" s="77">
        <f t="shared" si="14"/>
        <v>14.7</v>
      </c>
      <c r="I150" s="77">
        <f t="shared" si="15"/>
        <v>0.29999999999999893</v>
      </c>
      <c r="J150" s="78">
        <f t="shared" si="16"/>
        <v>18.54</v>
      </c>
      <c r="K150" s="78">
        <f t="shared" si="17"/>
        <v>18.701999999999998</v>
      </c>
      <c r="L150" s="78">
        <f t="shared" si="12"/>
        <v>0.16199999999999903</v>
      </c>
    </row>
    <row r="151" spans="2:12" s="162" customFormat="1" outlineLevel="1">
      <c r="B151" s="113">
        <v>30589</v>
      </c>
      <c r="C151" s="69">
        <v>13.5</v>
      </c>
      <c r="D151" s="69">
        <v>14.15</v>
      </c>
      <c r="G151" s="77">
        <f t="shared" si="13"/>
        <v>13.5</v>
      </c>
      <c r="H151" s="77">
        <f t="shared" si="14"/>
        <v>14.15</v>
      </c>
      <c r="I151" s="77">
        <f t="shared" si="15"/>
        <v>0.65000000000000036</v>
      </c>
      <c r="J151" s="78">
        <f t="shared" si="16"/>
        <v>17.64</v>
      </c>
      <c r="K151" s="78">
        <f t="shared" si="17"/>
        <v>18.152000000000001</v>
      </c>
      <c r="L151" s="78">
        <f t="shared" si="12"/>
        <v>0.51200000000000045</v>
      </c>
    </row>
    <row r="152" spans="2:12" s="162" customFormat="1" outlineLevel="1">
      <c r="B152" s="113">
        <v>30620</v>
      </c>
      <c r="C152" s="69">
        <v>12.35</v>
      </c>
      <c r="D152" s="69">
        <v>13.4</v>
      </c>
      <c r="G152" s="77">
        <f t="shared" si="13"/>
        <v>12.35</v>
      </c>
      <c r="H152" s="77">
        <f t="shared" si="14"/>
        <v>13.4</v>
      </c>
      <c r="I152" s="77">
        <f t="shared" si="15"/>
        <v>1.0500000000000007</v>
      </c>
      <c r="J152" s="78">
        <f t="shared" si="16"/>
        <v>16.489999999999998</v>
      </c>
      <c r="K152" s="78">
        <f t="shared" si="17"/>
        <v>17.402000000000001</v>
      </c>
      <c r="L152" s="78">
        <f t="shared" si="12"/>
        <v>0.91200000000000259</v>
      </c>
    </row>
    <row r="153" spans="2:12" s="162" customFormat="1" outlineLevel="1">
      <c r="B153" s="113">
        <v>30650</v>
      </c>
      <c r="C153" s="69">
        <v>11.9</v>
      </c>
      <c r="D153" s="69">
        <v>13.2</v>
      </c>
      <c r="G153" s="77">
        <f t="shared" si="13"/>
        <v>11.9</v>
      </c>
      <c r="H153" s="77">
        <f t="shared" si="14"/>
        <v>13.2</v>
      </c>
      <c r="I153" s="77">
        <f t="shared" si="15"/>
        <v>1.2999999999999989</v>
      </c>
      <c r="J153" s="78">
        <f t="shared" si="16"/>
        <v>16.04</v>
      </c>
      <c r="K153" s="78">
        <f t="shared" si="17"/>
        <v>17.201999999999998</v>
      </c>
      <c r="L153" s="78">
        <f t="shared" si="12"/>
        <v>1.161999999999999</v>
      </c>
    </row>
    <row r="154" spans="2:12" s="162" customFormat="1" outlineLevel="1">
      <c r="B154" s="113">
        <v>30681</v>
      </c>
      <c r="C154" s="69">
        <v>12.8</v>
      </c>
      <c r="D154" s="69">
        <v>13.5</v>
      </c>
      <c r="G154" s="77">
        <f t="shared" si="13"/>
        <v>12.8</v>
      </c>
      <c r="H154" s="77">
        <f t="shared" si="14"/>
        <v>13.5</v>
      </c>
      <c r="I154" s="77">
        <f t="shared" si="15"/>
        <v>0.69999999999999929</v>
      </c>
      <c r="J154" s="78">
        <f t="shared" si="16"/>
        <v>16.940000000000001</v>
      </c>
      <c r="K154" s="78">
        <f t="shared" si="17"/>
        <v>17.501999999999999</v>
      </c>
      <c r="L154" s="78">
        <f t="shared" si="12"/>
        <v>0.56199999999999761</v>
      </c>
    </row>
    <row r="155" spans="2:12" s="162" customFormat="1" outlineLevel="1">
      <c r="B155" s="113">
        <v>30712</v>
      </c>
      <c r="C155" s="69">
        <v>12.9</v>
      </c>
      <c r="D155" s="69">
        <v>13.5</v>
      </c>
      <c r="G155" s="77">
        <f t="shared" si="13"/>
        <v>12.9</v>
      </c>
      <c r="H155" s="77">
        <f t="shared" si="14"/>
        <v>13.5</v>
      </c>
      <c r="I155" s="77">
        <f t="shared" si="15"/>
        <v>0.59999999999999964</v>
      </c>
      <c r="J155" s="78">
        <f t="shared" si="16"/>
        <v>17.04</v>
      </c>
      <c r="K155" s="78">
        <f t="shared" si="17"/>
        <v>17.501999999999999</v>
      </c>
      <c r="L155" s="78">
        <f t="shared" si="12"/>
        <v>0.46199999999999974</v>
      </c>
    </row>
    <row r="156" spans="2:12" s="162" customFormat="1" outlineLevel="1">
      <c r="B156" s="113">
        <v>30741</v>
      </c>
      <c r="C156" s="69">
        <v>13.15</v>
      </c>
      <c r="D156" s="69">
        <v>14</v>
      </c>
      <c r="G156" s="77">
        <f t="shared" si="13"/>
        <v>13.15</v>
      </c>
      <c r="H156" s="77">
        <f t="shared" si="14"/>
        <v>14</v>
      </c>
      <c r="I156" s="77">
        <f t="shared" si="15"/>
        <v>0.84999999999999964</v>
      </c>
      <c r="J156" s="78">
        <f t="shared" si="16"/>
        <v>17.29</v>
      </c>
      <c r="K156" s="78">
        <f t="shared" si="17"/>
        <v>18.001999999999999</v>
      </c>
      <c r="L156" s="78">
        <f t="shared" si="12"/>
        <v>0.71199999999999974</v>
      </c>
    </row>
    <row r="157" spans="2:12" s="162" customFormat="1" outlineLevel="1">
      <c r="B157" s="113">
        <v>30772</v>
      </c>
      <c r="C157" s="69">
        <v>13.25</v>
      </c>
      <c r="D157" s="69">
        <v>14.1</v>
      </c>
      <c r="G157" s="77">
        <f t="shared" si="13"/>
        <v>13.25</v>
      </c>
      <c r="H157" s="77">
        <f t="shared" si="14"/>
        <v>14.1</v>
      </c>
      <c r="I157" s="77">
        <f t="shared" si="15"/>
        <v>0.84999999999999964</v>
      </c>
      <c r="J157" s="78">
        <f t="shared" si="16"/>
        <v>17.39</v>
      </c>
      <c r="K157" s="78">
        <f t="shared" si="17"/>
        <v>18.102</v>
      </c>
      <c r="L157" s="78">
        <f t="shared" si="12"/>
        <v>0.71199999999999974</v>
      </c>
    </row>
    <row r="158" spans="2:12" s="162" customFormat="1" outlineLevel="1">
      <c r="B158" s="113">
        <v>30802</v>
      </c>
      <c r="C158" s="69">
        <v>13</v>
      </c>
      <c r="D158" s="69">
        <v>13.9</v>
      </c>
      <c r="G158" s="77">
        <f t="shared" si="13"/>
        <v>13</v>
      </c>
      <c r="H158" s="77">
        <f t="shared" si="14"/>
        <v>13.9</v>
      </c>
      <c r="I158" s="77">
        <f t="shared" si="15"/>
        <v>0.90000000000000036</v>
      </c>
      <c r="J158" s="78">
        <f t="shared" si="16"/>
        <v>17.14</v>
      </c>
      <c r="K158" s="78">
        <f t="shared" si="17"/>
        <v>17.902000000000001</v>
      </c>
      <c r="L158" s="78">
        <f t="shared" si="12"/>
        <v>0.76200000000000045</v>
      </c>
    </row>
    <row r="159" spans="2:12" s="162" customFormat="1" outlineLevel="1">
      <c r="B159" s="113">
        <v>30833</v>
      </c>
      <c r="C159" s="69">
        <v>13.2</v>
      </c>
      <c r="D159" s="69">
        <v>14.15</v>
      </c>
      <c r="G159" s="77">
        <f t="shared" si="13"/>
        <v>13.2</v>
      </c>
      <c r="H159" s="77">
        <f t="shared" si="14"/>
        <v>14.15</v>
      </c>
      <c r="I159" s="77">
        <f t="shared" si="15"/>
        <v>0.95000000000000107</v>
      </c>
      <c r="J159" s="78">
        <f t="shared" si="16"/>
        <v>17.34</v>
      </c>
      <c r="K159" s="78">
        <f t="shared" si="17"/>
        <v>18.152000000000001</v>
      </c>
      <c r="L159" s="78">
        <f t="shared" si="12"/>
        <v>0.81200000000000117</v>
      </c>
    </row>
    <row r="160" spans="2:12" s="162" customFormat="1" outlineLevel="1">
      <c r="B160" s="113">
        <v>30863</v>
      </c>
      <c r="C160" s="69">
        <v>12.95</v>
      </c>
      <c r="D160" s="69">
        <v>13.75</v>
      </c>
      <c r="G160" s="77">
        <f t="shared" si="13"/>
        <v>12.95</v>
      </c>
      <c r="H160" s="77">
        <f t="shared" si="14"/>
        <v>13.75</v>
      </c>
      <c r="I160" s="77">
        <f t="shared" si="15"/>
        <v>0.80000000000000071</v>
      </c>
      <c r="J160" s="78">
        <f t="shared" si="16"/>
        <v>17.09</v>
      </c>
      <c r="K160" s="78">
        <f t="shared" si="17"/>
        <v>17.751999999999999</v>
      </c>
      <c r="L160" s="78">
        <f t="shared" si="12"/>
        <v>0.66199999999999903</v>
      </c>
    </row>
    <row r="161" spans="2:12" s="162" customFormat="1" outlineLevel="1">
      <c r="B161" s="113">
        <v>30894</v>
      </c>
      <c r="C161" s="69">
        <v>12.75</v>
      </c>
      <c r="D161" s="69">
        <v>13.15</v>
      </c>
      <c r="G161" s="77">
        <f t="shared" si="13"/>
        <v>12.75</v>
      </c>
      <c r="H161" s="77">
        <f t="shared" si="14"/>
        <v>13.15</v>
      </c>
      <c r="I161" s="77">
        <f t="shared" si="15"/>
        <v>0.40000000000000036</v>
      </c>
      <c r="J161" s="78">
        <f t="shared" si="16"/>
        <v>16.89</v>
      </c>
      <c r="K161" s="78">
        <f t="shared" si="17"/>
        <v>17.152000000000001</v>
      </c>
      <c r="L161" s="78">
        <f t="shared" si="12"/>
        <v>0.26200000000000045</v>
      </c>
    </row>
    <row r="162" spans="2:12" s="162" customFormat="1" outlineLevel="1">
      <c r="B162" s="113">
        <v>30925</v>
      </c>
      <c r="C162" s="69">
        <v>12.15</v>
      </c>
      <c r="D162" s="69">
        <v>12.8</v>
      </c>
      <c r="G162" s="77">
        <f t="shared" si="13"/>
        <v>12.15</v>
      </c>
      <c r="H162" s="77">
        <f t="shared" si="14"/>
        <v>12.8</v>
      </c>
      <c r="I162" s="77">
        <f t="shared" si="15"/>
        <v>0.65000000000000036</v>
      </c>
      <c r="J162" s="78">
        <f t="shared" si="16"/>
        <v>16.29</v>
      </c>
      <c r="K162" s="78">
        <f t="shared" si="17"/>
        <v>16.802</v>
      </c>
      <c r="L162" s="78">
        <f t="shared" si="12"/>
        <v>0.51200000000000045</v>
      </c>
    </row>
    <row r="163" spans="2:12" s="162" customFormat="1" outlineLevel="1">
      <c r="B163" s="113">
        <v>30955</v>
      </c>
      <c r="C163" s="69">
        <v>12.6</v>
      </c>
      <c r="D163" s="69">
        <v>13.1</v>
      </c>
      <c r="G163" s="77">
        <f t="shared" si="13"/>
        <v>12.6</v>
      </c>
      <c r="H163" s="77">
        <f t="shared" si="14"/>
        <v>13.1</v>
      </c>
      <c r="I163" s="77">
        <f t="shared" si="15"/>
        <v>0.5</v>
      </c>
      <c r="J163" s="78">
        <f t="shared" si="16"/>
        <v>16.739999999999998</v>
      </c>
      <c r="K163" s="78">
        <f t="shared" si="17"/>
        <v>17.102</v>
      </c>
      <c r="L163" s="78">
        <f t="shared" si="12"/>
        <v>0.36200000000000188</v>
      </c>
    </row>
    <row r="164" spans="2:12" s="162" customFormat="1" outlineLevel="1">
      <c r="B164" s="113">
        <v>30986</v>
      </c>
      <c r="C164" s="69">
        <v>12.85</v>
      </c>
      <c r="D164" s="69">
        <v>13.2</v>
      </c>
      <c r="G164" s="77">
        <f t="shared" si="13"/>
        <v>12.85</v>
      </c>
      <c r="H164" s="77">
        <f t="shared" si="14"/>
        <v>13.2</v>
      </c>
      <c r="I164" s="77">
        <f t="shared" si="15"/>
        <v>0.34999999999999964</v>
      </c>
      <c r="J164" s="78">
        <f t="shared" si="16"/>
        <v>16.989999999999998</v>
      </c>
      <c r="K164" s="78">
        <f t="shared" si="17"/>
        <v>17.201999999999998</v>
      </c>
      <c r="L164" s="78">
        <f t="shared" si="12"/>
        <v>0.21199999999999974</v>
      </c>
    </row>
    <row r="165" spans="2:12" s="162" customFormat="1" outlineLevel="1">
      <c r="B165" s="113">
        <v>31016</v>
      </c>
      <c r="C165" s="69">
        <v>13</v>
      </c>
      <c r="D165" s="69">
        <v>13.25</v>
      </c>
      <c r="G165" s="77">
        <f t="shared" si="13"/>
        <v>13</v>
      </c>
      <c r="H165" s="77">
        <f t="shared" si="14"/>
        <v>13.25</v>
      </c>
      <c r="I165" s="77">
        <f t="shared" si="15"/>
        <v>0.25</v>
      </c>
      <c r="J165" s="78">
        <f t="shared" si="16"/>
        <v>17.14</v>
      </c>
      <c r="K165" s="78">
        <f t="shared" si="17"/>
        <v>17.251999999999999</v>
      </c>
      <c r="L165" s="78">
        <f t="shared" si="12"/>
        <v>0.11199999999999832</v>
      </c>
    </row>
    <row r="166" spans="2:12" s="162" customFormat="1" outlineLevel="1">
      <c r="B166" s="113">
        <v>31047</v>
      </c>
      <c r="C166" s="69">
        <v>13.1</v>
      </c>
      <c r="D166" s="69">
        <v>13.4</v>
      </c>
      <c r="G166" s="77">
        <f t="shared" si="13"/>
        <v>13.1</v>
      </c>
      <c r="H166" s="77">
        <f t="shared" si="14"/>
        <v>13.4</v>
      </c>
      <c r="I166" s="77">
        <f t="shared" si="15"/>
        <v>0.30000000000000071</v>
      </c>
      <c r="J166" s="78">
        <f t="shared" si="16"/>
        <v>17.239999999999998</v>
      </c>
      <c r="K166" s="78">
        <f t="shared" si="17"/>
        <v>17.402000000000001</v>
      </c>
      <c r="L166" s="78">
        <f t="shared" si="12"/>
        <v>0.16200000000000259</v>
      </c>
    </row>
    <row r="167" spans="2:12" s="162" customFormat="1" outlineLevel="1">
      <c r="B167" s="113">
        <v>31078</v>
      </c>
      <c r="C167" s="69">
        <v>12.9</v>
      </c>
      <c r="D167" s="69">
        <v>13.1</v>
      </c>
      <c r="G167" s="77">
        <f t="shared" si="13"/>
        <v>12.9</v>
      </c>
      <c r="H167" s="77">
        <f t="shared" si="14"/>
        <v>13.1</v>
      </c>
      <c r="I167" s="77">
        <f t="shared" si="15"/>
        <v>0.19999999999999929</v>
      </c>
      <c r="J167" s="78">
        <f t="shared" si="16"/>
        <v>17.04</v>
      </c>
      <c r="K167" s="78">
        <f t="shared" si="17"/>
        <v>17.102</v>
      </c>
      <c r="L167" s="78">
        <f t="shared" si="12"/>
        <v>6.2000000000001165E-2</v>
      </c>
    </row>
    <row r="168" spans="2:12" s="162" customFormat="1" outlineLevel="1">
      <c r="B168" s="113">
        <v>31106</v>
      </c>
      <c r="C168" s="69">
        <v>13.4</v>
      </c>
      <c r="D168" s="69">
        <v>13.7</v>
      </c>
      <c r="G168" s="77">
        <f t="shared" si="13"/>
        <v>13.4</v>
      </c>
      <c r="H168" s="77">
        <f t="shared" si="14"/>
        <v>13.7</v>
      </c>
      <c r="I168" s="77">
        <f t="shared" si="15"/>
        <v>0.29999999999999893</v>
      </c>
      <c r="J168" s="78">
        <f t="shared" si="16"/>
        <v>17.54</v>
      </c>
      <c r="K168" s="78">
        <f t="shared" si="17"/>
        <v>17.701999999999998</v>
      </c>
      <c r="L168" s="78">
        <f t="shared" si="12"/>
        <v>0.16199999999999903</v>
      </c>
    </row>
    <row r="169" spans="2:12" s="162" customFormat="1" outlineLevel="1">
      <c r="B169" s="113">
        <v>31137</v>
      </c>
      <c r="C169" s="69">
        <v>13.6</v>
      </c>
      <c r="D169" s="69">
        <v>13.8</v>
      </c>
      <c r="G169" s="77">
        <f t="shared" si="13"/>
        <v>13.6</v>
      </c>
      <c r="H169" s="77">
        <f t="shared" si="14"/>
        <v>13.8</v>
      </c>
      <c r="I169" s="77">
        <f t="shared" si="15"/>
        <v>0.20000000000000107</v>
      </c>
      <c r="J169" s="78">
        <f t="shared" si="16"/>
        <v>17.739999999999998</v>
      </c>
      <c r="K169" s="78">
        <f t="shared" si="17"/>
        <v>17.802</v>
      </c>
      <c r="L169" s="78">
        <f t="shared" si="12"/>
        <v>6.2000000000001165E-2</v>
      </c>
    </row>
    <row r="170" spans="2:12" s="162" customFormat="1" outlineLevel="1">
      <c r="B170" s="113">
        <v>31167</v>
      </c>
      <c r="C170" s="69">
        <v>13.8</v>
      </c>
      <c r="D170" s="69">
        <v>13.95</v>
      </c>
      <c r="G170" s="77">
        <f t="shared" si="13"/>
        <v>13.8</v>
      </c>
      <c r="H170" s="77">
        <f t="shared" si="14"/>
        <v>13.95</v>
      </c>
      <c r="I170" s="77">
        <f t="shared" si="15"/>
        <v>0.14999999999999858</v>
      </c>
      <c r="J170" s="78">
        <f t="shared" si="16"/>
        <v>17.940000000000001</v>
      </c>
      <c r="K170" s="78">
        <f t="shared" si="17"/>
        <v>17.951999999999998</v>
      </c>
      <c r="L170" s="78">
        <f t="shared" si="12"/>
        <v>1.1999999999996902E-2</v>
      </c>
    </row>
    <row r="171" spans="2:12" s="162" customFormat="1" outlineLevel="1">
      <c r="B171" s="113">
        <v>31198</v>
      </c>
      <c r="C171" s="69">
        <v>13.6</v>
      </c>
      <c r="D171" s="69">
        <v>13.8</v>
      </c>
      <c r="G171" s="77">
        <f t="shared" si="13"/>
        <v>13.6</v>
      </c>
      <c r="H171" s="77">
        <f t="shared" si="14"/>
        <v>13.8</v>
      </c>
      <c r="I171" s="77">
        <f t="shared" si="15"/>
        <v>0.20000000000000107</v>
      </c>
      <c r="J171" s="78">
        <f t="shared" si="16"/>
        <v>17.739999999999998</v>
      </c>
      <c r="K171" s="78">
        <f t="shared" si="17"/>
        <v>17.802</v>
      </c>
      <c r="L171" s="78">
        <f t="shared" si="12"/>
        <v>6.2000000000001165E-2</v>
      </c>
    </row>
    <row r="172" spans="2:12" s="162" customFormat="1" outlineLevel="1">
      <c r="B172" s="113">
        <v>31228</v>
      </c>
      <c r="C172" s="69">
        <v>13.35</v>
      </c>
      <c r="D172" s="69">
        <v>13.5</v>
      </c>
      <c r="G172" s="77">
        <f t="shared" si="13"/>
        <v>13.35</v>
      </c>
      <c r="H172" s="77">
        <f t="shared" si="14"/>
        <v>13.5</v>
      </c>
      <c r="I172" s="77">
        <f t="shared" si="15"/>
        <v>0.15000000000000036</v>
      </c>
      <c r="J172" s="78">
        <f t="shared" si="16"/>
        <v>17.489999999999998</v>
      </c>
      <c r="K172" s="78">
        <f t="shared" si="17"/>
        <v>17.501999999999999</v>
      </c>
      <c r="L172" s="78">
        <f t="shared" si="12"/>
        <v>1.2000000000000455E-2</v>
      </c>
    </row>
    <row r="173" spans="2:12" s="162" customFormat="1" outlineLevel="1">
      <c r="B173" s="113">
        <v>31259</v>
      </c>
      <c r="C173" s="69">
        <v>13.3</v>
      </c>
      <c r="D173" s="69">
        <v>13.4</v>
      </c>
      <c r="G173" s="77">
        <f t="shared" si="13"/>
        <v>13.3</v>
      </c>
      <c r="H173" s="77">
        <f t="shared" si="14"/>
        <v>13.4</v>
      </c>
      <c r="I173" s="77">
        <f t="shared" si="15"/>
        <v>9.9999999999999645E-2</v>
      </c>
      <c r="J173" s="78">
        <f t="shared" si="16"/>
        <v>17.440000000000001</v>
      </c>
      <c r="K173" s="78">
        <f t="shared" si="17"/>
        <v>17.402000000000001</v>
      </c>
      <c r="L173" s="78">
        <f t="shared" si="12"/>
        <v>-3.8000000000000256E-2</v>
      </c>
    </row>
    <row r="174" spans="2:12" s="162" customFormat="1" outlineLevel="1">
      <c r="B174" s="113">
        <v>31290</v>
      </c>
      <c r="C174" s="69">
        <v>14</v>
      </c>
      <c r="D174" s="69">
        <v>13.95</v>
      </c>
      <c r="G174" s="77">
        <f t="shared" si="13"/>
        <v>14</v>
      </c>
      <c r="H174" s="77">
        <f t="shared" si="14"/>
        <v>13.95</v>
      </c>
      <c r="I174" s="77">
        <f t="shared" si="15"/>
        <v>-5.0000000000000711E-2</v>
      </c>
      <c r="J174" s="78">
        <f t="shared" si="16"/>
        <v>18.14</v>
      </c>
      <c r="K174" s="78">
        <f t="shared" si="17"/>
        <v>17.951999999999998</v>
      </c>
      <c r="L174" s="78">
        <f t="shared" si="12"/>
        <v>-0.18800000000000239</v>
      </c>
    </row>
    <row r="175" spans="2:12" s="162" customFormat="1" outlineLevel="1">
      <c r="B175" s="113">
        <v>31320</v>
      </c>
      <c r="C175" s="69">
        <v>13.9</v>
      </c>
      <c r="D175" s="69">
        <v>13.8</v>
      </c>
      <c r="G175" s="77">
        <f t="shared" si="13"/>
        <v>13.9</v>
      </c>
      <c r="H175" s="77">
        <f t="shared" si="14"/>
        <v>13.8</v>
      </c>
      <c r="I175" s="77">
        <f t="shared" si="15"/>
        <v>-9.9999999999999645E-2</v>
      </c>
      <c r="J175" s="78">
        <f t="shared" si="16"/>
        <v>18.04</v>
      </c>
      <c r="K175" s="78">
        <f t="shared" si="17"/>
        <v>17.802</v>
      </c>
      <c r="L175" s="78">
        <f t="shared" si="12"/>
        <v>-0.23799999999999955</v>
      </c>
    </row>
    <row r="176" spans="2:12" s="162" customFormat="1" outlineLevel="1">
      <c r="B176" s="113">
        <v>31351</v>
      </c>
      <c r="C176" s="69">
        <v>14.75</v>
      </c>
      <c r="D176" s="69">
        <v>14.55</v>
      </c>
      <c r="G176" s="77">
        <f t="shared" si="13"/>
        <v>14.75</v>
      </c>
      <c r="H176" s="77">
        <f t="shared" si="14"/>
        <v>14.55</v>
      </c>
      <c r="I176" s="77">
        <f t="shared" si="15"/>
        <v>-0.19999999999999929</v>
      </c>
      <c r="J176" s="78">
        <f t="shared" si="16"/>
        <v>18.89</v>
      </c>
      <c r="K176" s="78">
        <f t="shared" si="17"/>
        <v>18.552</v>
      </c>
      <c r="L176" s="78">
        <f t="shared" si="12"/>
        <v>-0.33800000000000097</v>
      </c>
    </row>
    <row r="177" spans="2:12" s="162" customFormat="1" outlineLevel="1">
      <c r="B177" s="113">
        <v>31381</v>
      </c>
      <c r="C177" s="69">
        <v>15.2</v>
      </c>
      <c r="D177" s="69">
        <v>15.05</v>
      </c>
      <c r="G177" s="77">
        <f t="shared" si="13"/>
        <v>15.2</v>
      </c>
      <c r="H177" s="77">
        <f t="shared" si="14"/>
        <v>15.05</v>
      </c>
      <c r="I177" s="77">
        <f t="shared" si="15"/>
        <v>-0.14999999999999858</v>
      </c>
      <c r="J177" s="78">
        <f t="shared" si="16"/>
        <v>19.34</v>
      </c>
      <c r="K177" s="78">
        <f t="shared" si="17"/>
        <v>19.052</v>
      </c>
      <c r="L177" s="78">
        <f t="shared" si="12"/>
        <v>-0.28800000000000026</v>
      </c>
    </row>
    <row r="178" spans="2:12" s="162" customFormat="1" outlineLevel="1">
      <c r="B178" s="113">
        <v>31412</v>
      </c>
      <c r="C178" s="69">
        <v>15.2</v>
      </c>
      <c r="D178" s="69">
        <v>14.85</v>
      </c>
      <c r="G178" s="77">
        <f t="shared" si="13"/>
        <v>15.2</v>
      </c>
      <c r="H178" s="77">
        <f t="shared" si="14"/>
        <v>14.85</v>
      </c>
      <c r="I178" s="77">
        <f t="shared" si="15"/>
        <v>-0.34999999999999964</v>
      </c>
      <c r="J178" s="78">
        <f t="shared" si="16"/>
        <v>19.34</v>
      </c>
      <c r="K178" s="78">
        <f t="shared" si="17"/>
        <v>18.852</v>
      </c>
      <c r="L178" s="78">
        <f t="shared" si="12"/>
        <v>-0.48799999999999955</v>
      </c>
    </row>
    <row r="179" spans="2:12" s="162" customFormat="1" outlineLevel="1">
      <c r="B179" s="113">
        <v>31443</v>
      </c>
      <c r="C179" s="69">
        <v>14.3</v>
      </c>
      <c r="D179" s="69">
        <v>14.1</v>
      </c>
      <c r="G179" s="77">
        <f t="shared" si="13"/>
        <v>14.3</v>
      </c>
      <c r="H179" s="77">
        <f t="shared" si="14"/>
        <v>14.1</v>
      </c>
      <c r="I179" s="77">
        <f t="shared" si="15"/>
        <v>-0.20000000000000107</v>
      </c>
      <c r="J179" s="78">
        <f t="shared" si="16"/>
        <v>18.440000000000001</v>
      </c>
      <c r="K179" s="78">
        <f t="shared" si="17"/>
        <v>18.102</v>
      </c>
      <c r="L179" s="78">
        <f t="shared" si="12"/>
        <v>-0.33800000000000097</v>
      </c>
    </row>
    <row r="180" spans="2:12" s="162" customFormat="1" outlineLevel="1">
      <c r="B180" s="113">
        <v>31471</v>
      </c>
      <c r="C180" s="69">
        <v>13.9</v>
      </c>
      <c r="D180" s="69">
        <v>13.7</v>
      </c>
      <c r="G180" s="77">
        <f t="shared" si="13"/>
        <v>13.9</v>
      </c>
      <c r="H180" s="77">
        <f t="shared" si="14"/>
        <v>13.7</v>
      </c>
      <c r="I180" s="77">
        <f t="shared" si="15"/>
        <v>-0.20000000000000107</v>
      </c>
      <c r="J180" s="78">
        <f t="shared" si="16"/>
        <v>18.04</v>
      </c>
      <c r="K180" s="78">
        <f t="shared" si="17"/>
        <v>17.701999999999998</v>
      </c>
      <c r="L180" s="78">
        <f t="shared" si="12"/>
        <v>-0.33800000000000097</v>
      </c>
    </row>
    <row r="181" spans="2:12" s="162" customFormat="1" outlineLevel="1">
      <c r="B181" s="113">
        <v>31502</v>
      </c>
      <c r="C181" s="69">
        <v>12.9</v>
      </c>
      <c r="D181" s="69">
        <v>12.6</v>
      </c>
      <c r="G181" s="77">
        <f t="shared" si="13"/>
        <v>12.9</v>
      </c>
      <c r="H181" s="77">
        <f t="shared" si="14"/>
        <v>12.6</v>
      </c>
      <c r="I181" s="77">
        <f t="shared" si="15"/>
        <v>-0.30000000000000071</v>
      </c>
      <c r="J181" s="78">
        <f t="shared" si="16"/>
        <v>17.04</v>
      </c>
      <c r="K181" s="78">
        <f t="shared" si="17"/>
        <v>16.602</v>
      </c>
      <c r="L181" s="78">
        <f t="shared" si="12"/>
        <v>-0.43799999999999883</v>
      </c>
    </row>
    <row r="182" spans="2:12" s="162" customFormat="1" outlineLevel="1">
      <c r="B182" s="113">
        <v>31532</v>
      </c>
      <c r="C182" s="69">
        <v>12.4</v>
      </c>
      <c r="D182" s="69">
        <v>12.25</v>
      </c>
      <c r="G182" s="77">
        <f t="shared" si="13"/>
        <v>12.4</v>
      </c>
      <c r="H182" s="77">
        <f t="shared" si="14"/>
        <v>12.25</v>
      </c>
      <c r="I182" s="77">
        <f t="shared" si="15"/>
        <v>-0.15000000000000036</v>
      </c>
      <c r="J182" s="78">
        <f t="shared" si="16"/>
        <v>16.54</v>
      </c>
      <c r="K182" s="78">
        <f t="shared" si="17"/>
        <v>16.251999999999999</v>
      </c>
      <c r="L182" s="78">
        <f t="shared" si="12"/>
        <v>-0.28800000000000026</v>
      </c>
    </row>
    <row r="183" spans="2:12" s="162" customFormat="1" outlineLevel="1">
      <c r="B183" s="113">
        <v>31563</v>
      </c>
      <c r="C183" s="69">
        <v>12.65</v>
      </c>
      <c r="D183" s="69">
        <v>12.65</v>
      </c>
      <c r="G183" s="77">
        <f t="shared" si="13"/>
        <v>12.65</v>
      </c>
      <c r="H183" s="77">
        <f t="shared" si="14"/>
        <v>12.65</v>
      </c>
      <c r="I183" s="77">
        <f t="shared" si="15"/>
        <v>0</v>
      </c>
      <c r="J183" s="78">
        <f t="shared" si="16"/>
        <v>16.79</v>
      </c>
      <c r="K183" s="78">
        <f t="shared" si="17"/>
        <v>16.652000000000001</v>
      </c>
      <c r="L183" s="78">
        <f t="shared" si="12"/>
        <v>-0.13799999999999812</v>
      </c>
    </row>
    <row r="184" spans="2:12" s="162" customFormat="1" outlineLevel="1">
      <c r="B184" s="113">
        <v>31593</v>
      </c>
      <c r="C184" s="69">
        <v>12.8</v>
      </c>
      <c r="D184" s="69">
        <v>12.95</v>
      </c>
      <c r="G184" s="77">
        <f t="shared" si="13"/>
        <v>12.8</v>
      </c>
      <c r="H184" s="77">
        <f t="shared" si="14"/>
        <v>12.95</v>
      </c>
      <c r="I184" s="77">
        <f t="shared" si="15"/>
        <v>0.14999999999999858</v>
      </c>
      <c r="J184" s="78">
        <f t="shared" si="16"/>
        <v>16.940000000000001</v>
      </c>
      <c r="K184" s="78">
        <f t="shared" si="17"/>
        <v>16.951999999999998</v>
      </c>
      <c r="L184" s="78">
        <f t="shared" si="12"/>
        <v>1.1999999999996902E-2</v>
      </c>
    </row>
    <row r="185" spans="2:12" s="162" customFormat="1" outlineLevel="1">
      <c r="B185" s="113">
        <v>31624</v>
      </c>
      <c r="C185" s="69">
        <v>14.35</v>
      </c>
      <c r="D185" s="69">
        <v>14.2</v>
      </c>
      <c r="G185" s="77">
        <f t="shared" si="13"/>
        <v>14.35</v>
      </c>
      <c r="H185" s="77">
        <f t="shared" si="14"/>
        <v>14.2</v>
      </c>
      <c r="I185" s="77">
        <f t="shared" si="15"/>
        <v>-0.15000000000000036</v>
      </c>
      <c r="J185" s="78">
        <f t="shared" si="16"/>
        <v>18.489999999999998</v>
      </c>
      <c r="K185" s="78">
        <f t="shared" si="17"/>
        <v>18.201999999999998</v>
      </c>
      <c r="L185" s="78">
        <f t="shared" si="12"/>
        <v>-0.28800000000000026</v>
      </c>
    </row>
    <row r="186" spans="2:12" s="162" customFormat="1" outlineLevel="1">
      <c r="B186" s="113">
        <v>31655</v>
      </c>
      <c r="C186" s="69">
        <v>14.55</v>
      </c>
      <c r="D186" s="69">
        <v>14.1</v>
      </c>
      <c r="G186" s="77">
        <f t="shared" si="13"/>
        <v>14.55</v>
      </c>
      <c r="H186" s="77">
        <f t="shared" si="14"/>
        <v>14.1</v>
      </c>
      <c r="I186" s="77">
        <f t="shared" si="15"/>
        <v>-0.45000000000000107</v>
      </c>
      <c r="J186" s="78">
        <f t="shared" si="16"/>
        <v>18.690000000000001</v>
      </c>
      <c r="K186" s="78">
        <f t="shared" si="17"/>
        <v>18.102</v>
      </c>
      <c r="L186" s="78">
        <f t="shared" si="12"/>
        <v>-0.58800000000000097</v>
      </c>
    </row>
    <row r="187" spans="2:12" s="162" customFormat="1" outlineLevel="1">
      <c r="B187" s="113">
        <v>31685</v>
      </c>
      <c r="C187" s="69">
        <v>14.4</v>
      </c>
      <c r="D187" s="69">
        <v>13.85</v>
      </c>
      <c r="G187" s="77">
        <f t="shared" si="13"/>
        <v>14.4</v>
      </c>
      <c r="H187" s="77">
        <f t="shared" si="14"/>
        <v>13.85</v>
      </c>
      <c r="I187" s="77">
        <f t="shared" si="15"/>
        <v>-0.55000000000000071</v>
      </c>
      <c r="J187" s="78">
        <f t="shared" si="16"/>
        <v>18.54</v>
      </c>
      <c r="K187" s="78">
        <f t="shared" si="17"/>
        <v>17.852</v>
      </c>
      <c r="L187" s="78">
        <f t="shared" si="12"/>
        <v>-0.68799999999999883</v>
      </c>
    </row>
    <row r="188" spans="2:12" s="162" customFormat="1" outlineLevel="1">
      <c r="B188" s="113">
        <v>31716</v>
      </c>
      <c r="C188" s="69">
        <v>13.85</v>
      </c>
      <c r="D188" s="69">
        <v>13.6</v>
      </c>
      <c r="G188" s="77">
        <f t="shared" si="13"/>
        <v>13.85</v>
      </c>
      <c r="H188" s="77">
        <f t="shared" si="14"/>
        <v>13.6</v>
      </c>
      <c r="I188" s="77">
        <f t="shared" si="15"/>
        <v>-0.25</v>
      </c>
      <c r="J188" s="78">
        <f t="shared" si="16"/>
        <v>17.989999999999998</v>
      </c>
      <c r="K188" s="78">
        <f t="shared" si="17"/>
        <v>17.602</v>
      </c>
      <c r="L188" s="78">
        <f t="shared" si="12"/>
        <v>-0.38799999999999812</v>
      </c>
    </row>
    <row r="189" spans="2:12" s="162" customFormat="1" outlineLevel="1">
      <c r="B189" s="113">
        <v>31746</v>
      </c>
      <c r="C189" s="69">
        <v>13.95</v>
      </c>
      <c r="D189" s="69">
        <v>13.6</v>
      </c>
      <c r="G189" s="77">
        <f t="shared" si="13"/>
        <v>13.95</v>
      </c>
      <c r="H189" s="77">
        <f t="shared" si="14"/>
        <v>13.6</v>
      </c>
      <c r="I189" s="77">
        <f t="shared" si="15"/>
        <v>-0.34999999999999964</v>
      </c>
      <c r="J189" s="78">
        <f t="shared" si="16"/>
        <v>18.09</v>
      </c>
      <c r="K189" s="78">
        <f t="shared" si="17"/>
        <v>17.602</v>
      </c>
      <c r="L189" s="78">
        <f t="shared" si="12"/>
        <v>-0.48799999999999955</v>
      </c>
    </row>
    <row r="190" spans="2:12" s="162" customFormat="1" outlineLevel="1">
      <c r="B190" s="113">
        <v>31777</v>
      </c>
      <c r="C190" s="69">
        <v>13.85</v>
      </c>
      <c r="D190" s="69">
        <v>13.4</v>
      </c>
      <c r="G190" s="77">
        <f t="shared" si="13"/>
        <v>13.85</v>
      </c>
      <c r="H190" s="77">
        <f t="shared" si="14"/>
        <v>13.4</v>
      </c>
      <c r="I190" s="77">
        <f t="shared" si="15"/>
        <v>-0.44999999999999929</v>
      </c>
      <c r="J190" s="78">
        <f t="shared" si="16"/>
        <v>17.989999999999998</v>
      </c>
      <c r="K190" s="78">
        <f t="shared" si="17"/>
        <v>17.402000000000001</v>
      </c>
      <c r="L190" s="78">
        <f t="shared" si="12"/>
        <v>-0.58799999999999741</v>
      </c>
    </row>
    <row r="191" spans="2:12" s="162" customFormat="1" outlineLevel="1">
      <c r="B191" s="113">
        <v>31808</v>
      </c>
      <c r="C191" s="69">
        <v>14.7</v>
      </c>
      <c r="D191" s="69">
        <v>13.8</v>
      </c>
      <c r="G191" s="77">
        <f t="shared" si="13"/>
        <v>14.7</v>
      </c>
      <c r="H191" s="77">
        <f t="shared" si="14"/>
        <v>13.8</v>
      </c>
      <c r="I191" s="77">
        <f t="shared" si="15"/>
        <v>-0.89999999999999858</v>
      </c>
      <c r="J191" s="78">
        <f t="shared" si="16"/>
        <v>18.84</v>
      </c>
      <c r="K191" s="78">
        <f t="shared" si="17"/>
        <v>17.802</v>
      </c>
      <c r="L191" s="78">
        <f t="shared" si="12"/>
        <v>-1.0380000000000003</v>
      </c>
    </row>
    <row r="192" spans="2:12" s="162" customFormat="1" outlineLevel="1">
      <c r="B192" s="113">
        <v>31836</v>
      </c>
      <c r="C192" s="69">
        <v>14.55</v>
      </c>
      <c r="D192" s="69">
        <v>14</v>
      </c>
      <c r="G192" s="77">
        <f t="shared" si="13"/>
        <v>14.55</v>
      </c>
      <c r="H192" s="77">
        <f t="shared" si="14"/>
        <v>14</v>
      </c>
      <c r="I192" s="77">
        <f t="shared" si="15"/>
        <v>-0.55000000000000071</v>
      </c>
      <c r="J192" s="78">
        <f t="shared" si="16"/>
        <v>18.690000000000001</v>
      </c>
      <c r="K192" s="78">
        <f t="shared" si="17"/>
        <v>18.001999999999999</v>
      </c>
      <c r="L192" s="78">
        <f t="shared" si="12"/>
        <v>-0.68800000000000239</v>
      </c>
    </row>
    <row r="193" spans="2:12" s="162" customFormat="1" outlineLevel="1">
      <c r="B193" s="113">
        <v>31867</v>
      </c>
      <c r="C193" s="69">
        <v>13.85</v>
      </c>
      <c r="D193" s="69">
        <v>13.45</v>
      </c>
      <c r="G193" s="77">
        <f t="shared" si="13"/>
        <v>13.85</v>
      </c>
      <c r="H193" s="77">
        <f t="shared" si="14"/>
        <v>13.45</v>
      </c>
      <c r="I193" s="77">
        <f t="shared" si="15"/>
        <v>-0.40000000000000036</v>
      </c>
      <c r="J193" s="78">
        <f t="shared" si="16"/>
        <v>17.989999999999998</v>
      </c>
      <c r="K193" s="78">
        <f t="shared" si="17"/>
        <v>17.451999999999998</v>
      </c>
      <c r="L193" s="78">
        <f t="shared" si="12"/>
        <v>-0.53800000000000026</v>
      </c>
    </row>
    <row r="194" spans="2:12" s="162" customFormat="1" outlineLevel="1">
      <c r="B194" s="113">
        <v>31897</v>
      </c>
      <c r="C194" s="69">
        <v>13.5</v>
      </c>
      <c r="D194" s="69">
        <v>13.05</v>
      </c>
      <c r="G194" s="77">
        <f t="shared" si="13"/>
        <v>13.5</v>
      </c>
      <c r="H194" s="77">
        <f t="shared" si="14"/>
        <v>13.05</v>
      </c>
      <c r="I194" s="77">
        <f t="shared" si="15"/>
        <v>-0.44999999999999929</v>
      </c>
      <c r="J194" s="78">
        <f t="shared" si="16"/>
        <v>17.64</v>
      </c>
      <c r="K194" s="78">
        <f t="shared" si="17"/>
        <v>17.052</v>
      </c>
      <c r="L194" s="78">
        <f t="shared" si="12"/>
        <v>-0.58800000000000097</v>
      </c>
    </row>
    <row r="195" spans="2:12" s="162" customFormat="1" outlineLevel="1">
      <c r="B195" s="113">
        <v>31928</v>
      </c>
      <c r="C195" s="69">
        <v>13.45</v>
      </c>
      <c r="D195" s="69">
        <v>13</v>
      </c>
      <c r="G195" s="77">
        <f t="shared" si="13"/>
        <v>13.45</v>
      </c>
      <c r="H195" s="77">
        <f t="shared" si="14"/>
        <v>13</v>
      </c>
      <c r="I195" s="77">
        <f t="shared" si="15"/>
        <v>-0.44999999999999929</v>
      </c>
      <c r="J195" s="78">
        <f t="shared" si="16"/>
        <v>17.59</v>
      </c>
      <c r="K195" s="78">
        <f t="shared" si="17"/>
        <v>17.001999999999999</v>
      </c>
      <c r="L195" s="78">
        <f t="shared" si="12"/>
        <v>-0.58800000000000097</v>
      </c>
    </row>
    <row r="196" spans="2:12" s="162" customFormat="1" outlineLevel="1">
      <c r="B196" s="113">
        <v>31958</v>
      </c>
      <c r="C196" s="69">
        <v>13.1</v>
      </c>
      <c r="D196" s="69">
        <v>12.8</v>
      </c>
      <c r="G196" s="77">
        <f t="shared" si="13"/>
        <v>13.1</v>
      </c>
      <c r="H196" s="77">
        <f t="shared" si="14"/>
        <v>12.8</v>
      </c>
      <c r="I196" s="77">
        <f t="shared" si="15"/>
        <v>-0.29999999999999893</v>
      </c>
      <c r="J196" s="78">
        <f t="shared" si="16"/>
        <v>17.239999999999998</v>
      </c>
      <c r="K196" s="78">
        <f t="shared" si="17"/>
        <v>16.802</v>
      </c>
      <c r="L196" s="78">
        <f t="shared" si="12"/>
        <v>-0.43799999999999883</v>
      </c>
    </row>
    <row r="197" spans="2:12" s="162" customFormat="1" outlineLevel="1">
      <c r="B197" s="113">
        <v>31989</v>
      </c>
      <c r="C197" s="69">
        <v>13</v>
      </c>
      <c r="D197" s="69">
        <v>12.95</v>
      </c>
      <c r="G197" s="77">
        <f t="shared" si="13"/>
        <v>13</v>
      </c>
      <c r="H197" s="77">
        <f t="shared" si="14"/>
        <v>12.95</v>
      </c>
      <c r="I197" s="77">
        <f t="shared" si="15"/>
        <v>-5.0000000000000711E-2</v>
      </c>
      <c r="J197" s="78">
        <f t="shared" si="16"/>
        <v>17.14</v>
      </c>
      <c r="K197" s="78">
        <f t="shared" si="17"/>
        <v>16.951999999999998</v>
      </c>
      <c r="L197" s="78">
        <f t="shared" si="12"/>
        <v>-0.18800000000000239</v>
      </c>
    </row>
    <row r="198" spans="2:12" s="162" customFormat="1" outlineLevel="1">
      <c r="B198" s="113">
        <v>32020</v>
      </c>
      <c r="C198" s="69">
        <v>12.8</v>
      </c>
      <c r="D198" s="69">
        <v>12.95</v>
      </c>
      <c r="G198" s="77">
        <f t="shared" si="13"/>
        <v>12.8</v>
      </c>
      <c r="H198" s="77">
        <f t="shared" si="14"/>
        <v>12.95</v>
      </c>
      <c r="I198" s="77">
        <f t="shared" si="15"/>
        <v>0.14999999999999858</v>
      </c>
      <c r="J198" s="78">
        <f t="shared" si="16"/>
        <v>16.940000000000001</v>
      </c>
      <c r="K198" s="78">
        <f t="shared" si="17"/>
        <v>16.951999999999998</v>
      </c>
      <c r="L198" s="78">
        <f t="shared" si="12"/>
        <v>1.1999999999996902E-2</v>
      </c>
    </row>
    <row r="199" spans="2:12" s="162" customFormat="1" outlineLevel="1">
      <c r="B199" s="113">
        <v>32050</v>
      </c>
      <c r="C199" s="69">
        <v>11.95</v>
      </c>
      <c r="D199" s="69">
        <v>12.5</v>
      </c>
      <c r="G199" s="77">
        <f t="shared" si="13"/>
        <v>11.95</v>
      </c>
      <c r="H199" s="77">
        <f t="shared" si="14"/>
        <v>12.5</v>
      </c>
      <c r="I199" s="77">
        <f t="shared" si="15"/>
        <v>0.55000000000000071</v>
      </c>
      <c r="J199" s="78">
        <f t="shared" si="16"/>
        <v>16.09</v>
      </c>
      <c r="K199" s="78">
        <f t="shared" si="17"/>
        <v>16.501999999999999</v>
      </c>
      <c r="L199" s="78">
        <f t="shared" si="12"/>
        <v>0.41199999999999903</v>
      </c>
    </row>
    <row r="200" spans="2:12" s="162" customFormat="1" outlineLevel="1">
      <c r="B200" s="113">
        <v>32081</v>
      </c>
      <c r="C200" s="69">
        <v>13.4</v>
      </c>
      <c r="D200" s="69">
        <v>13.65</v>
      </c>
      <c r="G200" s="77">
        <f t="shared" si="13"/>
        <v>13.4</v>
      </c>
      <c r="H200" s="77">
        <f t="shared" si="14"/>
        <v>13.65</v>
      </c>
      <c r="I200" s="77">
        <f t="shared" si="15"/>
        <v>0.25</v>
      </c>
      <c r="J200" s="78">
        <f t="shared" si="16"/>
        <v>17.54</v>
      </c>
      <c r="K200" s="78">
        <f t="shared" si="17"/>
        <v>17.652000000000001</v>
      </c>
      <c r="L200" s="78">
        <f t="shared" si="12"/>
        <v>0.11200000000000188</v>
      </c>
    </row>
    <row r="201" spans="2:12" s="162" customFormat="1" outlineLevel="1">
      <c r="B201" s="113">
        <v>32111</v>
      </c>
      <c r="C201" s="69">
        <v>12.8</v>
      </c>
      <c r="D201" s="69">
        <v>13.3</v>
      </c>
      <c r="G201" s="77">
        <f t="shared" si="13"/>
        <v>12.8</v>
      </c>
      <c r="H201" s="77">
        <f t="shared" si="14"/>
        <v>13.3</v>
      </c>
      <c r="I201" s="77">
        <f t="shared" si="15"/>
        <v>0.5</v>
      </c>
      <c r="J201" s="78">
        <f t="shared" si="16"/>
        <v>16.940000000000001</v>
      </c>
      <c r="K201" s="78">
        <f t="shared" si="17"/>
        <v>17.302</v>
      </c>
      <c r="L201" s="78">
        <f t="shared" si="12"/>
        <v>0.36199999999999832</v>
      </c>
    </row>
    <row r="202" spans="2:12" s="162" customFormat="1" outlineLevel="1">
      <c r="B202" s="113">
        <v>32142</v>
      </c>
      <c r="C202" s="69">
        <v>12.15</v>
      </c>
      <c r="D202" s="69">
        <v>12.85</v>
      </c>
      <c r="G202" s="77">
        <f t="shared" si="13"/>
        <v>12.15</v>
      </c>
      <c r="H202" s="77">
        <f t="shared" si="14"/>
        <v>12.85</v>
      </c>
      <c r="I202" s="77">
        <f t="shared" si="15"/>
        <v>0.69999999999999929</v>
      </c>
      <c r="J202" s="78">
        <f t="shared" si="16"/>
        <v>16.29</v>
      </c>
      <c r="K202" s="78">
        <f t="shared" si="17"/>
        <v>16.852</v>
      </c>
      <c r="L202" s="78">
        <f t="shared" si="12"/>
        <v>0.56200000000000117</v>
      </c>
    </row>
    <row r="203" spans="2:12" s="162" customFormat="1" outlineLevel="1">
      <c r="B203" s="113">
        <v>32173</v>
      </c>
      <c r="C203" s="69">
        <v>11.9</v>
      </c>
      <c r="D203" s="69">
        <v>12.4</v>
      </c>
      <c r="G203" s="77">
        <f t="shared" si="13"/>
        <v>11.9</v>
      </c>
      <c r="H203" s="77">
        <f t="shared" si="14"/>
        <v>12.4</v>
      </c>
      <c r="I203" s="77">
        <f t="shared" si="15"/>
        <v>0.5</v>
      </c>
      <c r="J203" s="78">
        <f t="shared" si="16"/>
        <v>16.04</v>
      </c>
      <c r="K203" s="78">
        <f t="shared" si="17"/>
        <v>16.402000000000001</v>
      </c>
      <c r="L203" s="78">
        <f t="shared" ref="L203:L266" si="18">K203-J203</f>
        <v>0.36200000000000188</v>
      </c>
    </row>
    <row r="204" spans="2:12" s="162" customFormat="1" outlineLevel="1">
      <c r="B204" s="113">
        <v>32202</v>
      </c>
      <c r="C204" s="69">
        <v>11.9</v>
      </c>
      <c r="D204" s="69">
        <v>12.3</v>
      </c>
      <c r="G204" s="77">
        <f t="shared" ref="G204:G267" si="19">IF(C204="",E204,C204)</f>
        <v>11.9</v>
      </c>
      <c r="H204" s="77">
        <f t="shared" ref="H204:H267" si="20">IF(D204="",F204,D204)</f>
        <v>12.3</v>
      </c>
      <c r="I204" s="77">
        <f t="shared" ref="I204:I267" si="21">H204-G204</f>
        <v>0.40000000000000036</v>
      </c>
      <c r="J204" s="78">
        <f t="shared" ref="J204:J267" si="22">G204  +  0.6  *  6.9</f>
        <v>16.04</v>
      </c>
      <c r="K204" s="78">
        <f t="shared" ref="K204:K267" si="23">H204  +  0.6  *  6.67</f>
        <v>16.302</v>
      </c>
      <c r="L204" s="78">
        <f t="shared" si="18"/>
        <v>0.26200000000000045</v>
      </c>
    </row>
    <row r="205" spans="2:12" s="162" customFormat="1" outlineLevel="1">
      <c r="B205" s="113">
        <v>32233</v>
      </c>
      <c r="C205" s="69">
        <v>11.5</v>
      </c>
      <c r="D205" s="69">
        <v>11.9</v>
      </c>
      <c r="G205" s="77">
        <f t="shared" si="19"/>
        <v>11.5</v>
      </c>
      <c r="H205" s="77">
        <f t="shared" si="20"/>
        <v>11.9</v>
      </c>
      <c r="I205" s="77">
        <f t="shared" si="21"/>
        <v>0.40000000000000036</v>
      </c>
      <c r="J205" s="78">
        <f t="shared" si="22"/>
        <v>15.64</v>
      </c>
      <c r="K205" s="78">
        <f t="shared" si="23"/>
        <v>15.902000000000001</v>
      </c>
      <c r="L205" s="78">
        <f t="shared" si="18"/>
        <v>0.26200000000000045</v>
      </c>
    </row>
    <row r="206" spans="2:12" s="162" customFormat="1" outlineLevel="1">
      <c r="B206" s="113">
        <v>32263</v>
      </c>
      <c r="C206" s="69">
        <v>11.25</v>
      </c>
      <c r="D206" s="69">
        <v>11.5</v>
      </c>
      <c r="G206" s="77">
        <f t="shared" si="19"/>
        <v>11.25</v>
      </c>
      <c r="H206" s="77">
        <f t="shared" si="20"/>
        <v>11.5</v>
      </c>
      <c r="I206" s="77">
        <f t="shared" si="21"/>
        <v>0.25</v>
      </c>
      <c r="J206" s="78">
        <f t="shared" si="22"/>
        <v>15.39</v>
      </c>
      <c r="K206" s="78">
        <f t="shared" si="23"/>
        <v>15.501999999999999</v>
      </c>
      <c r="L206" s="78">
        <f t="shared" si="18"/>
        <v>0.11199999999999832</v>
      </c>
    </row>
    <row r="207" spans="2:12" s="162" customFormat="1" outlineLevel="1">
      <c r="B207" s="113">
        <v>32294</v>
      </c>
      <c r="C207" s="69">
        <v>12.45</v>
      </c>
      <c r="D207" s="69">
        <v>12.3</v>
      </c>
      <c r="G207" s="77">
        <f t="shared" si="19"/>
        <v>12.45</v>
      </c>
      <c r="H207" s="77">
        <f t="shared" si="20"/>
        <v>12.3</v>
      </c>
      <c r="I207" s="77">
        <f t="shared" si="21"/>
        <v>-0.14999999999999858</v>
      </c>
      <c r="J207" s="78">
        <f t="shared" si="22"/>
        <v>16.59</v>
      </c>
      <c r="K207" s="78">
        <f t="shared" si="23"/>
        <v>16.302</v>
      </c>
      <c r="L207" s="78">
        <f t="shared" si="18"/>
        <v>-0.28800000000000026</v>
      </c>
    </row>
    <row r="208" spans="2:12" s="162" customFormat="1" outlineLevel="1">
      <c r="B208" s="113">
        <v>32324</v>
      </c>
      <c r="C208" s="69">
        <v>11.95</v>
      </c>
      <c r="D208" s="69">
        <v>11.95</v>
      </c>
      <c r="G208" s="77">
        <f t="shared" si="19"/>
        <v>11.95</v>
      </c>
      <c r="H208" s="77">
        <f t="shared" si="20"/>
        <v>11.95</v>
      </c>
      <c r="I208" s="77">
        <f t="shared" si="21"/>
        <v>0</v>
      </c>
      <c r="J208" s="78">
        <f t="shared" si="22"/>
        <v>16.09</v>
      </c>
      <c r="K208" s="78">
        <f t="shared" si="23"/>
        <v>15.951999999999998</v>
      </c>
      <c r="L208" s="78">
        <f t="shared" si="18"/>
        <v>-0.13800000000000168</v>
      </c>
    </row>
    <row r="209" spans="2:12" s="162" customFormat="1" outlineLevel="1">
      <c r="B209" s="113">
        <v>32355</v>
      </c>
      <c r="C209" s="69">
        <v>12.05</v>
      </c>
      <c r="D209" s="69">
        <v>11.95</v>
      </c>
      <c r="G209" s="77">
        <f t="shared" si="19"/>
        <v>12.05</v>
      </c>
      <c r="H209" s="77">
        <f t="shared" si="20"/>
        <v>11.95</v>
      </c>
      <c r="I209" s="77">
        <f t="shared" si="21"/>
        <v>-0.10000000000000142</v>
      </c>
      <c r="J209" s="78">
        <f t="shared" si="22"/>
        <v>16.190000000000001</v>
      </c>
      <c r="K209" s="78">
        <f t="shared" si="23"/>
        <v>15.951999999999998</v>
      </c>
      <c r="L209" s="78">
        <f t="shared" si="18"/>
        <v>-0.2380000000000031</v>
      </c>
    </row>
    <row r="210" spans="2:12" s="162" customFormat="1" outlineLevel="1">
      <c r="B210" s="113">
        <v>32386</v>
      </c>
      <c r="C210" s="69">
        <v>12.3</v>
      </c>
      <c r="D210" s="69">
        <v>11.8</v>
      </c>
      <c r="G210" s="77">
        <f t="shared" si="19"/>
        <v>12.3</v>
      </c>
      <c r="H210" s="77">
        <f t="shared" si="20"/>
        <v>11.8</v>
      </c>
      <c r="I210" s="77">
        <f t="shared" si="21"/>
        <v>-0.5</v>
      </c>
      <c r="J210" s="78">
        <f t="shared" si="22"/>
        <v>16.440000000000001</v>
      </c>
      <c r="K210" s="78">
        <f t="shared" si="23"/>
        <v>15.802</v>
      </c>
      <c r="L210" s="78">
        <f t="shared" si="18"/>
        <v>-0.63800000000000168</v>
      </c>
    </row>
    <row r="211" spans="2:12" s="162" customFormat="1" outlineLevel="1">
      <c r="B211" s="113">
        <v>32416</v>
      </c>
      <c r="C211" s="69">
        <v>12.6</v>
      </c>
      <c r="D211" s="69">
        <v>11.95</v>
      </c>
      <c r="G211" s="77">
        <f t="shared" si="19"/>
        <v>12.6</v>
      </c>
      <c r="H211" s="77">
        <f t="shared" si="20"/>
        <v>11.95</v>
      </c>
      <c r="I211" s="77">
        <f t="shared" si="21"/>
        <v>-0.65000000000000036</v>
      </c>
      <c r="J211" s="78">
        <f t="shared" si="22"/>
        <v>16.739999999999998</v>
      </c>
      <c r="K211" s="78">
        <f t="shared" si="23"/>
        <v>15.951999999999998</v>
      </c>
      <c r="L211" s="78">
        <f t="shared" si="18"/>
        <v>-0.78800000000000026</v>
      </c>
    </row>
    <row r="212" spans="2:12" s="162" customFormat="1" outlineLevel="1">
      <c r="B212" s="113">
        <v>32447</v>
      </c>
      <c r="C212" s="69">
        <v>12.7</v>
      </c>
      <c r="D212" s="69">
        <v>11.9</v>
      </c>
      <c r="G212" s="77">
        <f t="shared" si="19"/>
        <v>12.7</v>
      </c>
      <c r="H212" s="77">
        <f t="shared" si="20"/>
        <v>11.9</v>
      </c>
      <c r="I212" s="77">
        <f t="shared" si="21"/>
        <v>-0.79999999999999893</v>
      </c>
      <c r="J212" s="78">
        <f t="shared" si="22"/>
        <v>16.84</v>
      </c>
      <c r="K212" s="78">
        <f t="shared" si="23"/>
        <v>15.902000000000001</v>
      </c>
      <c r="L212" s="78">
        <f t="shared" si="18"/>
        <v>-0.93799999999999883</v>
      </c>
    </row>
    <row r="213" spans="2:12" s="162" customFormat="1" outlineLevel="1">
      <c r="B213" s="113">
        <v>32477</v>
      </c>
      <c r="C213" s="69">
        <v>13.05</v>
      </c>
      <c r="D213" s="69">
        <v>12.35</v>
      </c>
      <c r="G213" s="77">
        <f t="shared" si="19"/>
        <v>13.05</v>
      </c>
      <c r="H213" s="77">
        <f t="shared" si="20"/>
        <v>12.35</v>
      </c>
      <c r="I213" s="77">
        <f t="shared" si="21"/>
        <v>-0.70000000000000107</v>
      </c>
      <c r="J213" s="78">
        <f t="shared" si="22"/>
        <v>17.190000000000001</v>
      </c>
      <c r="K213" s="78">
        <f t="shared" si="23"/>
        <v>16.352</v>
      </c>
      <c r="L213" s="78">
        <f t="shared" si="18"/>
        <v>-0.83800000000000097</v>
      </c>
    </row>
    <row r="214" spans="2:12" s="162" customFormat="1" outlineLevel="1">
      <c r="B214" s="113">
        <v>32508</v>
      </c>
      <c r="C214" s="69">
        <v>13.5</v>
      </c>
      <c r="D214" s="69">
        <v>12.95</v>
      </c>
      <c r="G214" s="77">
        <f t="shared" si="19"/>
        <v>13.5</v>
      </c>
      <c r="H214" s="77">
        <f t="shared" si="20"/>
        <v>12.95</v>
      </c>
      <c r="I214" s="77">
        <f t="shared" si="21"/>
        <v>-0.55000000000000071</v>
      </c>
      <c r="J214" s="78">
        <f t="shared" si="22"/>
        <v>17.64</v>
      </c>
      <c r="K214" s="78">
        <f t="shared" si="23"/>
        <v>16.951999999999998</v>
      </c>
      <c r="L214" s="78">
        <f t="shared" si="18"/>
        <v>-0.68800000000000239</v>
      </c>
    </row>
    <row r="215" spans="2:12" s="162" customFormat="1" outlineLevel="1">
      <c r="B215" s="113">
        <v>32539</v>
      </c>
      <c r="C215" s="69">
        <v>14.05</v>
      </c>
      <c r="D215" s="69">
        <v>13.3</v>
      </c>
      <c r="G215" s="77">
        <f t="shared" si="19"/>
        <v>14.05</v>
      </c>
      <c r="H215" s="77">
        <f t="shared" si="20"/>
        <v>13.3</v>
      </c>
      <c r="I215" s="77">
        <f t="shared" si="21"/>
        <v>-0.75</v>
      </c>
      <c r="J215" s="78">
        <f t="shared" si="22"/>
        <v>18.190000000000001</v>
      </c>
      <c r="K215" s="78">
        <f t="shared" si="23"/>
        <v>17.302</v>
      </c>
      <c r="L215" s="78">
        <f t="shared" si="18"/>
        <v>-0.88800000000000168</v>
      </c>
    </row>
    <row r="216" spans="2:12" s="162" customFormat="1" outlineLevel="1">
      <c r="B216" s="113">
        <v>32567</v>
      </c>
      <c r="C216" s="69">
        <v>14.35</v>
      </c>
      <c r="D216" s="69">
        <v>13.65</v>
      </c>
      <c r="G216" s="77">
        <f t="shared" si="19"/>
        <v>14.35</v>
      </c>
      <c r="H216" s="77">
        <f t="shared" si="20"/>
        <v>13.65</v>
      </c>
      <c r="I216" s="77">
        <f t="shared" si="21"/>
        <v>-0.69999999999999929</v>
      </c>
      <c r="J216" s="78">
        <f t="shared" si="22"/>
        <v>18.489999999999998</v>
      </c>
      <c r="K216" s="78">
        <f t="shared" si="23"/>
        <v>17.652000000000001</v>
      </c>
      <c r="L216" s="78">
        <f t="shared" si="18"/>
        <v>-0.83799999999999741</v>
      </c>
    </row>
    <row r="217" spans="2:12" s="162" customFormat="1" outlineLevel="1">
      <c r="B217" s="113">
        <v>32598</v>
      </c>
      <c r="C217" s="69">
        <v>14.3</v>
      </c>
      <c r="D217" s="69">
        <v>13.65</v>
      </c>
      <c r="G217" s="77">
        <f t="shared" si="19"/>
        <v>14.3</v>
      </c>
      <c r="H217" s="77">
        <f t="shared" si="20"/>
        <v>13.65</v>
      </c>
      <c r="I217" s="77">
        <f t="shared" si="21"/>
        <v>-0.65000000000000036</v>
      </c>
      <c r="J217" s="78">
        <f t="shared" si="22"/>
        <v>18.440000000000001</v>
      </c>
      <c r="K217" s="78">
        <f t="shared" si="23"/>
        <v>17.652000000000001</v>
      </c>
      <c r="L217" s="78">
        <f t="shared" si="18"/>
        <v>-0.78800000000000026</v>
      </c>
    </row>
    <row r="218" spans="2:12" s="162" customFormat="1" outlineLevel="1">
      <c r="B218" s="113">
        <v>32628</v>
      </c>
      <c r="C218" s="69">
        <v>14.25</v>
      </c>
      <c r="D218" s="69">
        <v>13.4</v>
      </c>
      <c r="G218" s="77">
        <f t="shared" si="19"/>
        <v>14.25</v>
      </c>
      <c r="H218" s="77">
        <f t="shared" si="20"/>
        <v>13.4</v>
      </c>
      <c r="I218" s="77">
        <f t="shared" si="21"/>
        <v>-0.84999999999999964</v>
      </c>
      <c r="J218" s="78">
        <f t="shared" si="22"/>
        <v>18.39</v>
      </c>
      <c r="K218" s="78">
        <f t="shared" si="23"/>
        <v>17.402000000000001</v>
      </c>
      <c r="L218" s="78">
        <f t="shared" si="18"/>
        <v>-0.98799999999999955</v>
      </c>
    </row>
    <row r="219" spans="2:12" s="162" customFormat="1" outlineLevel="1">
      <c r="B219" s="113">
        <v>32659</v>
      </c>
      <c r="C219" s="69">
        <v>14.65</v>
      </c>
      <c r="D219" s="69">
        <v>13.9</v>
      </c>
      <c r="G219" s="77">
        <f t="shared" si="19"/>
        <v>14.65</v>
      </c>
      <c r="H219" s="77">
        <f t="shared" si="20"/>
        <v>13.9</v>
      </c>
      <c r="I219" s="77">
        <f t="shared" si="21"/>
        <v>-0.75</v>
      </c>
      <c r="J219" s="78">
        <f t="shared" si="22"/>
        <v>18.79</v>
      </c>
      <c r="K219" s="78">
        <f t="shared" si="23"/>
        <v>17.902000000000001</v>
      </c>
      <c r="L219" s="78">
        <f t="shared" si="18"/>
        <v>-0.88799999999999812</v>
      </c>
    </row>
    <row r="220" spans="2:12" s="162" customFormat="1" outlineLevel="1">
      <c r="B220" s="113">
        <v>32689</v>
      </c>
      <c r="C220" s="69">
        <v>14.2</v>
      </c>
      <c r="D220" s="69">
        <v>13.5</v>
      </c>
      <c r="G220" s="77">
        <f t="shared" si="19"/>
        <v>14.2</v>
      </c>
      <c r="H220" s="77">
        <f t="shared" si="20"/>
        <v>13.5</v>
      </c>
      <c r="I220" s="77">
        <f t="shared" si="21"/>
        <v>-0.69999999999999929</v>
      </c>
      <c r="J220" s="78">
        <f t="shared" si="22"/>
        <v>18.34</v>
      </c>
      <c r="K220" s="78">
        <f t="shared" si="23"/>
        <v>17.501999999999999</v>
      </c>
      <c r="L220" s="78">
        <f t="shared" si="18"/>
        <v>-0.83800000000000097</v>
      </c>
    </row>
    <row r="221" spans="2:12" s="162" customFormat="1" outlineLevel="1">
      <c r="B221" s="113">
        <v>32720</v>
      </c>
      <c r="C221" s="69">
        <v>14</v>
      </c>
      <c r="D221" s="69">
        <v>13.35</v>
      </c>
      <c r="G221" s="77">
        <f t="shared" si="19"/>
        <v>14</v>
      </c>
      <c r="H221" s="77">
        <f t="shared" si="20"/>
        <v>13.35</v>
      </c>
      <c r="I221" s="77">
        <f t="shared" si="21"/>
        <v>-0.65000000000000036</v>
      </c>
      <c r="J221" s="78">
        <f t="shared" si="22"/>
        <v>18.14</v>
      </c>
      <c r="K221" s="78">
        <f t="shared" si="23"/>
        <v>17.352</v>
      </c>
      <c r="L221" s="78">
        <f t="shared" si="18"/>
        <v>-0.78800000000000026</v>
      </c>
    </row>
    <row r="222" spans="2:12" s="162" customFormat="1" outlineLevel="1">
      <c r="B222" s="113">
        <v>32751</v>
      </c>
      <c r="C222" s="69">
        <v>13.7</v>
      </c>
      <c r="D222" s="69">
        <v>12.95</v>
      </c>
      <c r="G222" s="77">
        <f t="shared" si="19"/>
        <v>13.7</v>
      </c>
      <c r="H222" s="77">
        <f t="shared" si="20"/>
        <v>12.95</v>
      </c>
      <c r="I222" s="77">
        <f t="shared" si="21"/>
        <v>-0.75</v>
      </c>
      <c r="J222" s="78">
        <f t="shared" si="22"/>
        <v>17.84</v>
      </c>
      <c r="K222" s="78">
        <f t="shared" si="23"/>
        <v>16.951999999999998</v>
      </c>
      <c r="L222" s="78">
        <f t="shared" si="18"/>
        <v>-0.88800000000000168</v>
      </c>
    </row>
    <row r="223" spans="2:12" s="162" customFormat="1" outlineLevel="1">
      <c r="B223" s="113">
        <v>32781</v>
      </c>
      <c r="C223" s="69">
        <v>14.55</v>
      </c>
      <c r="D223" s="69">
        <v>13.65</v>
      </c>
      <c r="G223" s="77">
        <f t="shared" si="19"/>
        <v>14.55</v>
      </c>
      <c r="H223" s="77">
        <f t="shared" si="20"/>
        <v>13.65</v>
      </c>
      <c r="I223" s="77">
        <f t="shared" si="21"/>
        <v>-0.90000000000000036</v>
      </c>
      <c r="J223" s="78">
        <f t="shared" si="22"/>
        <v>18.690000000000001</v>
      </c>
      <c r="K223" s="78">
        <f t="shared" si="23"/>
        <v>17.652000000000001</v>
      </c>
      <c r="L223" s="78">
        <f t="shared" si="18"/>
        <v>-1.0380000000000003</v>
      </c>
    </row>
    <row r="224" spans="2:12" s="162" customFormat="1" outlineLevel="1">
      <c r="B224" s="113">
        <v>32812</v>
      </c>
      <c r="C224" s="69">
        <v>14.5</v>
      </c>
      <c r="D224" s="69">
        <v>13.55</v>
      </c>
      <c r="G224" s="77">
        <f t="shared" si="19"/>
        <v>14.5</v>
      </c>
      <c r="H224" s="77">
        <f t="shared" si="20"/>
        <v>13.55</v>
      </c>
      <c r="I224" s="77">
        <f t="shared" si="21"/>
        <v>-0.94999999999999929</v>
      </c>
      <c r="J224" s="78">
        <f t="shared" si="22"/>
        <v>18.64</v>
      </c>
      <c r="K224" s="78">
        <f t="shared" si="23"/>
        <v>17.552</v>
      </c>
      <c r="L224" s="78">
        <f t="shared" si="18"/>
        <v>-1.088000000000001</v>
      </c>
    </row>
    <row r="225" spans="2:12" s="162" customFormat="1" outlineLevel="1">
      <c r="B225" s="113">
        <v>32842</v>
      </c>
      <c r="C225" s="69">
        <v>13.85</v>
      </c>
      <c r="D225" s="69">
        <v>13.1</v>
      </c>
      <c r="G225" s="77">
        <f t="shared" si="19"/>
        <v>13.85</v>
      </c>
      <c r="H225" s="77">
        <f t="shared" si="20"/>
        <v>13.1</v>
      </c>
      <c r="I225" s="77">
        <f t="shared" si="21"/>
        <v>-0.75</v>
      </c>
      <c r="J225" s="78">
        <f t="shared" si="22"/>
        <v>17.989999999999998</v>
      </c>
      <c r="K225" s="78">
        <f t="shared" si="23"/>
        <v>17.102</v>
      </c>
      <c r="L225" s="78">
        <f t="shared" si="18"/>
        <v>-0.88799999999999812</v>
      </c>
    </row>
    <row r="226" spans="2:12" s="162" customFormat="1" outlineLevel="1">
      <c r="B226" s="113">
        <v>32873</v>
      </c>
      <c r="C226" s="69">
        <v>13.45</v>
      </c>
      <c r="D226" s="69">
        <v>12.9</v>
      </c>
      <c r="G226" s="77">
        <f t="shared" si="19"/>
        <v>13.45</v>
      </c>
      <c r="H226" s="77">
        <f t="shared" si="20"/>
        <v>12.9</v>
      </c>
      <c r="I226" s="77">
        <f t="shared" si="21"/>
        <v>-0.54999999999999893</v>
      </c>
      <c r="J226" s="78">
        <f t="shared" si="22"/>
        <v>17.59</v>
      </c>
      <c r="K226" s="78">
        <f t="shared" si="23"/>
        <v>16.902000000000001</v>
      </c>
      <c r="L226" s="78">
        <f t="shared" si="18"/>
        <v>-0.68799999999999883</v>
      </c>
    </row>
    <row r="227" spans="2:12" s="162" customFormat="1" outlineLevel="1">
      <c r="B227" s="113">
        <v>32904</v>
      </c>
      <c r="C227" s="69">
        <v>13.25</v>
      </c>
      <c r="D227" s="69">
        <v>12.8</v>
      </c>
      <c r="G227" s="77">
        <f t="shared" si="19"/>
        <v>13.25</v>
      </c>
      <c r="H227" s="77">
        <f t="shared" si="20"/>
        <v>12.8</v>
      </c>
      <c r="I227" s="77">
        <f t="shared" si="21"/>
        <v>-0.44999999999999929</v>
      </c>
      <c r="J227" s="78">
        <f t="shared" si="22"/>
        <v>17.39</v>
      </c>
      <c r="K227" s="78">
        <f t="shared" si="23"/>
        <v>16.802</v>
      </c>
      <c r="L227" s="78">
        <f t="shared" si="18"/>
        <v>-0.58800000000000097</v>
      </c>
    </row>
    <row r="228" spans="2:12" s="162" customFormat="1" outlineLevel="1">
      <c r="B228" s="113">
        <v>32932</v>
      </c>
      <c r="C228" s="69">
        <v>13.8</v>
      </c>
      <c r="D228" s="69">
        <v>13.3</v>
      </c>
      <c r="G228" s="77">
        <f t="shared" si="19"/>
        <v>13.8</v>
      </c>
      <c r="H228" s="77">
        <f t="shared" si="20"/>
        <v>13.3</v>
      </c>
      <c r="I228" s="77">
        <f t="shared" si="21"/>
        <v>-0.5</v>
      </c>
      <c r="J228" s="78">
        <f t="shared" si="22"/>
        <v>17.940000000000001</v>
      </c>
      <c r="K228" s="78">
        <f t="shared" si="23"/>
        <v>17.302</v>
      </c>
      <c r="L228" s="78">
        <f t="shared" si="18"/>
        <v>-0.63800000000000168</v>
      </c>
    </row>
    <row r="229" spans="2:12" s="162" customFormat="1" outlineLevel="1">
      <c r="B229" s="113">
        <v>32963</v>
      </c>
      <c r="C229" s="69">
        <v>13.87</v>
      </c>
      <c r="D229" s="69">
        <v>13.44</v>
      </c>
      <c r="G229" s="77">
        <f t="shared" si="19"/>
        <v>13.87</v>
      </c>
      <c r="H229" s="77">
        <f t="shared" si="20"/>
        <v>13.44</v>
      </c>
      <c r="I229" s="77">
        <f t="shared" si="21"/>
        <v>-0.42999999999999972</v>
      </c>
      <c r="J229" s="78">
        <f t="shared" si="22"/>
        <v>18.009999999999998</v>
      </c>
      <c r="K229" s="78">
        <f t="shared" si="23"/>
        <v>17.442</v>
      </c>
      <c r="L229" s="78">
        <f t="shared" si="18"/>
        <v>-0.56799999999999784</v>
      </c>
    </row>
    <row r="230" spans="2:12" s="162" customFormat="1" outlineLevel="1">
      <c r="B230" s="113">
        <v>32993</v>
      </c>
      <c r="C230" s="69">
        <v>14.24</v>
      </c>
      <c r="D230" s="69">
        <v>13.78</v>
      </c>
      <c r="G230" s="77">
        <f t="shared" si="19"/>
        <v>14.24</v>
      </c>
      <c r="H230" s="77">
        <f t="shared" si="20"/>
        <v>13.78</v>
      </c>
      <c r="I230" s="77">
        <f t="shared" si="21"/>
        <v>-0.46000000000000085</v>
      </c>
      <c r="J230" s="78">
        <f t="shared" si="22"/>
        <v>18.38</v>
      </c>
      <c r="K230" s="78">
        <f t="shared" si="23"/>
        <v>17.782</v>
      </c>
      <c r="L230" s="78">
        <f t="shared" si="18"/>
        <v>-0.59799999999999898</v>
      </c>
    </row>
    <row r="231" spans="2:12" s="162" customFormat="1" outlineLevel="1">
      <c r="B231" s="113">
        <v>33024</v>
      </c>
      <c r="C231" s="69">
        <v>14.02</v>
      </c>
      <c r="D231" s="69">
        <v>13.51</v>
      </c>
      <c r="G231" s="77">
        <f t="shared" si="19"/>
        <v>14.02</v>
      </c>
      <c r="H231" s="77">
        <f t="shared" si="20"/>
        <v>13.51</v>
      </c>
      <c r="I231" s="77">
        <f t="shared" si="21"/>
        <v>-0.50999999999999979</v>
      </c>
      <c r="J231" s="78">
        <f t="shared" si="22"/>
        <v>18.16</v>
      </c>
      <c r="K231" s="78">
        <f t="shared" si="23"/>
        <v>17.512</v>
      </c>
      <c r="L231" s="78">
        <f t="shared" si="18"/>
        <v>-0.64799999999999969</v>
      </c>
    </row>
    <row r="232" spans="2:12" s="162" customFormat="1" outlineLevel="1">
      <c r="B232" s="113">
        <v>33054</v>
      </c>
      <c r="C232" s="69">
        <v>13.8</v>
      </c>
      <c r="D232" s="69">
        <v>13.4</v>
      </c>
      <c r="G232" s="77">
        <f t="shared" si="19"/>
        <v>13.8</v>
      </c>
      <c r="H232" s="77">
        <f t="shared" si="20"/>
        <v>13.4</v>
      </c>
      <c r="I232" s="77">
        <f t="shared" si="21"/>
        <v>-0.40000000000000036</v>
      </c>
      <c r="J232" s="78">
        <f t="shared" si="22"/>
        <v>17.940000000000001</v>
      </c>
      <c r="K232" s="78">
        <f t="shared" si="23"/>
        <v>17.402000000000001</v>
      </c>
      <c r="L232" s="78">
        <f t="shared" si="18"/>
        <v>-0.53800000000000026</v>
      </c>
    </row>
    <row r="233" spans="2:12" s="162" customFormat="1" outlineLevel="1">
      <c r="B233" s="113">
        <v>33085</v>
      </c>
      <c r="C233" s="69">
        <v>13.51</v>
      </c>
      <c r="D233" s="69">
        <v>13.16</v>
      </c>
      <c r="G233" s="77">
        <f t="shared" si="19"/>
        <v>13.51</v>
      </c>
      <c r="H233" s="77">
        <f t="shared" si="20"/>
        <v>13.16</v>
      </c>
      <c r="I233" s="77">
        <f t="shared" si="21"/>
        <v>-0.34999999999999964</v>
      </c>
      <c r="J233" s="78">
        <f t="shared" si="22"/>
        <v>17.649999999999999</v>
      </c>
      <c r="K233" s="78">
        <f t="shared" si="23"/>
        <v>17.161999999999999</v>
      </c>
      <c r="L233" s="78">
        <f t="shared" si="18"/>
        <v>-0.48799999999999955</v>
      </c>
    </row>
    <row r="234" spans="2:12" s="162" customFormat="1" outlineLevel="1">
      <c r="B234" s="113">
        <v>33116</v>
      </c>
      <c r="C234" s="69">
        <v>13.41</v>
      </c>
      <c r="D234" s="69">
        <v>13.49</v>
      </c>
      <c r="G234" s="77">
        <f t="shared" si="19"/>
        <v>13.41</v>
      </c>
      <c r="H234" s="77">
        <f t="shared" si="20"/>
        <v>13.49</v>
      </c>
      <c r="I234" s="77">
        <f t="shared" si="21"/>
        <v>8.0000000000000071E-2</v>
      </c>
      <c r="J234" s="78">
        <f t="shared" si="22"/>
        <v>17.55</v>
      </c>
      <c r="K234" s="78">
        <f t="shared" si="23"/>
        <v>17.492000000000001</v>
      </c>
      <c r="L234" s="78">
        <f t="shared" si="18"/>
        <v>-5.7999999999999829E-2</v>
      </c>
    </row>
    <row r="235" spans="2:12" s="162" customFormat="1" outlineLevel="1">
      <c r="B235" s="113">
        <v>33146</v>
      </c>
      <c r="C235" s="69">
        <v>13.17</v>
      </c>
      <c r="D235" s="69">
        <v>13.63</v>
      </c>
      <c r="G235" s="77">
        <f t="shared" si="19"/>
        <v>13.17</v>
      </c>
      <c r="H235" s="77">
        <f t="shared" si="20"/>
        <v>13.63</v>
      </c>
      <c r="I235" s="77">
        <f t="shared" si="21"/>
        <v>0.46000000000000085</v>
      </c>
      <c r="J235" s="78">
        <f t="shared" si="22"/>
        <v>17.309999999999999</v>
      </c>
      <c r="K235" s="78">
        <f t="shared" si="23"/>
        <v>17.632000000000001</v>
      </c>
      <c r="L235" s="78">
        <f t="shared" si="18"/>
        <v>0.32200000000000273</v>
      </c>
    </row>
    <row r="236" spans="2:12" s="162" customFormat="1" outlineLevel="1">
      <c r="B236" s="113">
        <v>33177</v>
      </c>
      <c r="C236" s="69">
        <v>12.77</v>
      </c>
      <c r="D236" s="69">
        <v>13.35</v>
      </c>
      <c r="G236" s="77">
        <f t="shared" si="19"/>
        <v>12.77</v>
      </c>
      <c r="H236" s="77">
        <f t="shared" si="20"/>
        <v>13.35</v>
      </c>
      <c r="I236" s="77">
        <f t="shared" si="21"/>
        <v>0.58000000000000007</v>
      </c>
      <c r="J236" s="78">
        <f t="shared" si="22"/>
        <v>16.91</v>
      </c>
      <c r="K236" s="78">
        <f t="shared" si="23"/>
        <v>17.352</v>
      </c>
      <c r="L236" s="78">
        <f t="shared" si="18"/>
        <v>0.44200000000000017</v>
      </c>
    </row>
    <row r="237" spans="2:12" s="162" customFormat="1" outlineLevel="1">
      <c r="B237" s="113">
        <v>33207</v>
      </c>
      <c r="C237" s="69">
        <v>12.36</v>
      </c>
      <c r="D237" s="69">
        <v>12.23</v>
      </c>
      <c r="G237" s="77">
        <f t="shared" si="19"/>
        <v>12.36</v>
      </c>
      <c r="H237" s="77">
        <f t="shared" si="20"/>
        <v>12.23</v>
      </c>
      <c r="I237" s="77">
        <f t="shared" si="21"/>
        <v>-0.12999999999999901</v>
      </c>
      <c r="J237" s="78">
        <f t="shared" si="22"/>
        <v>16.5</v>
      </c>
      <c r="K237" s="78">
        <f t="shared" si="23"/>
        <v>16.231999999999999</v>
      </c>
      <c r="L237" s="78">
        <f t="shared" si="18"/>
        <v>-0.26800000000000068</v>
      </c>
    </row>
    <row r="238" spans="2:12" s="162" customFormat="1" outlineLevel="1">
      <c r="B238" s="113">
        <v>33238</v>
      </c>
      <c r="C238" s="69">
        <v>11.99</v>
      </c>
      <c r="D238" s="69">
        <v>12.07</v>
      </c>
      <c r="G238" s="77">
        <f t="shared" si="19"/>
        <v>11.99</v>
      </c>
      <c r="H238" s="77">
        <f t="shared" si="20"/>
        <v>12.07</v>
      </c>
      <c r="I238" s="77">
        <f t="shared" si="21"/>
        <v>8.0000000000000071E-2</v>
      </c>
      <c r="J238" s="78">
        <f t="shared" si="22"/>
        <v>16.13</v>
      </c>
      <c r="K238" s="78">
        <f t="shared" si="23"/>
        <v>16.071999999999999</v>
      </c>
      <c r="L238" s="78">
        <f t="shared" si="18"/>
        <v>-5.7999999999999829E-2</v>
      </c>
    </row>
    <row r="239" spans="2:12" s="162" customFormat="1" outlineLevel="1">
      <c r="B239" s="113">
        <v>33269</v>
      </c>
      <c r="C239" s="69">
        <v>11.6</v>
      </c>
      <c r="D239" s="69">
        <v>11.52</v>
      </c>
      <c r="G239" s="77">
        <f t="shared" si="19"/>
        <v>11.6</v>
      </c>
      <c r="H239" s="77">
        <f t="shared" si="20"/>
        <v>11.52</v>
      </c>
      <c r="I239" s="77">
        <f t="shared" si="21"/>
        <v>-8.0000000000000071E-2</v>
      </c>
      <c r="J239" s="78">
        <f t="shared" si="22"/>
        <v>15.739999999999998</v>
      </c>
      <c r="K239" s="78">
        <f t="shared" si="23"/>
        <v>15.521999999999998</v>
      </c>
      <c r="L239" s="78">
        <f t="shared" si="18"/>
        <v>-0.21799999999999997</v>
      </c>
    </row>
    <row r="240" spans="2:12" s="162" customFormat="1" outlineLevel="1">
      <c r="B240" s="113">
        <v>33297</v>
      </c>
      <c r="C240" s="69">
        <v>11.32</v>
      </c>
      <c r="D240" s="69">
        <v>11.53</v>
      </c>
      <c r="G240" s="77">
        <f t="shared" si="19"/>
        <v>11.32</v>
      </c>
      <c r="H240" s="77">
        <f t="shared" si="20"/>
        <v>11.53</v>
      </c>
      <c r="I240" s="77">
        <f t="shared" si="21"/>
        <v>0.20999999999999908</v>
      </c>
      <c r="J240" s="78">
        <f t="shared" si="22"/>
        <v>15.46</v>
      </c>
      <c r="K240" s="78">
        <f t="shared" si="23"/>
        <v>15.532</v>
      </c>
      <c r="L240" s="78">
        <f t="shared" si="18"/>
        <v>7.1999999999999176E-2</v>
      </c>
    </row>
    <row r="241" spans="2:12" s="162" customFormat="1" outlineLevel="1">
      <c r="B241" s="113">
        <v>33328</v>
      </c>
      <c r="C241" s="69">
        <v>11.31</v>
      </c>
      <c r="D241" s="69">
        <v>11.38</v>
      </c>
      <c r="G241" s="77">
        <f t="shared" si="19"/>
        <v>11.31</v>
      </c>
      <c r="H241" s="77">
        <f t="shared" si="20"/>
        <v>11.38</v>
      </c>
      <c r="I241" s="77">
        <f t="shared" si="21"/>
        <v>7.0000000000000284E-2</v>
      </c>
      <c r="J241" s="78">
        <f t="shared" si="22"/>
        <v>15.45</v>
      </c>
      <c r="K241" s="78">
        <f t="shared" si="23"/>
        <v>15.382000000000001</v>
      </c>
      <c r="L241" s="78">
        <f t="shared" si="18"/>
        <v>-6.799999999999784E-2</v>
      </c>
    </row>
    <row r="242" spans="2:12" s="162" customFormat="1" outlineLevel="1">
      <c r="B242" s="113">
        <v>33358</v>
      </c>
      <c r="C242" s="69">
        <v>10.89</v>
      </c>
      <c r="D242" s="69">
        <v>10.98</v>
      </c>
      <c r="G242" s="77">
        <f t="shared" si="19"/>
        <v>10.89</v>
      </c>
      <c r="H242" s="77">
        <f t="shared" si="20"/>
        <v>10.98</v>
      </c>
      <c r="I242" s="77">
        <f t="shared" si="21"/>
        <v>8.9999999999999858E-2</v>
      </c>
      <c r="J242" s="78">
        <f t="shared" si="22"/>
        <v>15.030000000000001</v>
      </c>
      <c r="K242" s="78">
        <f t="shared" si="23"/>
        <v>14.981999999999999</v>
      </c>
      <c r="L242" s="78">
        <f t="shared" si="18"/>
        <v>-4.8000000000001819E-2</v>
      </c>
    </row>
    <row r="243" spans="2:12" s="162" customFormat="1" outlineLevel="1">
      <c r="B243" s="113">
        <v>33389</v>
      </c>
      <c r="C243" s="69">
        <v>10.59</v>
      </c>
      <c r="D243" s="69">
        <v>10.75</v>
      </c>
      <c r="G243" s="77">
        <f t="shared" si="19"/>
        <v>10.59</v>
      </c>
      <c r="H243" s="77">
        <f t="shared" si="20"/>
        <v>10.75</v>
      </c>
      <c r="I243" s="77">
        <f t="shared" si="21"/>
        <v>0.16000000000000014</v>
      </c>
      <c r="J243" s="78">
        <f t="shared" si="22"/>
        <v>14.73</v>
      </c>
      <c r="K243" s="78">
        <f t="shared" si="23"/>
        <v>14.751999999999999</v>
      </c>
      <c r="L243" s="78">
        <f t="shared" si="18"/>
        <v>2.1999999999998465E-2</v>
      </c>
    </row>
    <row r="244" spans="2:12" s="162" customFormat="1" outlineLevel="1">
      <c r="B244" s="113">
        <v>33419</v>
      </c>
      <c r="C244" s="69">
        <v>11.07</v>
      </c>
      <c r="D244" s="69">
        <v>11.17</v>
      </c>
      <c r="G244" s="77">
        <f t="shared" si="19"/>
        <v>11.07</v>
      </c>
      <c r="H244" s="77">
        <f t="shared" si="20"/>
        <v>11.17</v>
      </c>
      <c r="I244" s="77">
        <f t="shared" si="21"/>
        <v>9.9999999999999645E-2</v>
      </c>
      <c r="J244" s="78">
        <f t="shared" si="22"/>
        <v>15.21</v>
      </c>
      <c r="K244" s="78">
        <f t="shared" si="23"/>
        <v>15.172000000000001</v>
      </c>
      <c r="L244" s="78">
        <f t="shared" si="18"/>
        <v>-3.8000000000000256E-2</v>
      </c>
    </row>
    <row r="245" spans="2:12" s="162" customFormat="1" outlineLevel="1">
      <c r="B245" s="113">
        <v>33450</v>
      </c>
      <c r="C245" s="69">
        <v>10.85</v>
      </c>
      <c r="D245" s="69">
        <v>10.99</v>
      </c>
      <c r="G245" s="77">
        <f t="shared" si="19"/>
        <v>10.85</v>
      </c>
      <c r="H245" s="77">
        <f t="shared" si="20"/>
        <v>10.99</v>
      </c>
      <c r="I245" s="77">
        <f t="shared" si="21"/>
        <v>0.14000000000000057</v>
      </c>
      <c r="J245" s="78">
        <f t="shared" si="22"/>
        <v>14.989999999999998</v>
      </c>
      <c r="K245" s="78">
        <f t="shared" si="23"/>
        <v>14.992000000000001</v>
      </c>
      <c r="L245" s="78">
        <f t="shared" si="18"/>
        <v>2.0000000000024443E-3</v>
      </c>
    </row>
    <row r="246" spans="2:12" s="162" customFormat="1" outlineLevel="1">
      <c r="B246" s="113">
        <v>33481</v>
      </c>
      <c r="C246" s="69">
        <v>10.64</v>
      </c>
      <c r="D246" s="69">
        <v>10.67</v>
      </c>
      <c r="G246" s="77">
        <f t="shared" si="19"/>
        <v>10.64</v>
      </c>
      <c r="H246" s="77">
        <f t="shared" si="20"/>
        <v>10.67</v>
      </c>
      <c r="I246" s="77">
        <f t="shared" si="21"/>
        <v>2.9999999999999361E-2</v>
      </c>
      <c r="J246" s="78">
        <f t="shared" si="22"/>
        <v>14.780000000000001</v>
      </c>
      <c r="K246" s="78">
        <f t="shared" si="23"/>
        <v>14.672000000000001</v>
      </c>
      <c r="L246" s="78">
        <f t="shared" si="18"/>
        <v>-0.10800000000000054</v>
      </c>
    </row>
    <row r="247" spans="2:12" s="162" customFormat="1" outlineLevel="1">
      <c r="B247" s="113">
        <v>33511</v>
      </c>
      <c r="C247" s="69">
        <v>10.029999999999999</v>
      </c>
      <c r="D247" s="69">
        <v>10.31</v>
      </c>
      <c r="G247" s="77">
        <f t="shared" si="19"/>
        <v>10.029999999999999</v>
      </c>
      <c r="H247" s="77">
        <f t="shared" si="20"/>
        <v>10.31</v>
      </c>
      <c r="I247" s="77">
        <f t="shared" si="21"/>
        <v>0.28000000000000114</v>
      </c>
      <c r="J247" s="78">
        <f t="shared" si="22"/>
        <v>14.169999999999998</v>
      </c>
      <c r="K247" s="78">
        <f t="shared" si="23"/>
        <v>14.312000000000001</v>
      </c>
      <c r="L247" s="78">
        <f t="shared" si="18"/>
        <v>0.14200000000000301</v>
      </c>
    </row>
    <row r="248" spans="2:12" s="162" customFormat="1" outlineLevel="1">
      <c r="B248" s="113">
        <v>33542</v>
      </c>
      <c r="C248" s="69">
        <v>8.9600000000000009</v>
      </c>
      <c r="D248" s="69">
        <v>9.82</v>
      </c>
      <c r="G248" s="77">
        <f t="shared" si="19"/>
        <v>8.9600000000000009</v>
      </c>
      <c r="H248" s="77">
        <f t="shared" si="20"/>
        <v>9.82</v>
      </c>
      <c r="I248" s="77">
        <f t="shared" si="21"/>
        <v>0.85999999999999943</v>
      </c>
      <c r="J248" s="78">
        <f t="shared" si="22"/>
        <v>13.100000000000001</v>
      </c>
      <c r="K248" s="78">
        <f t="shared" si="23"/>
        <v>13.821999999999999</v>
      </c>
      <c r="L248" s="78">
        <f t="shared" si="18"/>
        <v>0.72199999999999775</v>
      </c>
    </row>
    <row r="249" spans="2:12" s="162" customFormat="1" outlineLevel="1">
      <c r="B249" s="113">
        <v>33572</v>
      </c>
      <c r="C249" s="69">
        <v>8.98</v>
      </c>
      <c r="D249" s="69">
        <v>9.7799999999999994</v>
      </c>
      <c r="G249" s="77">
        <f t="shared" si="19"/>
        <v>8.98</v>
      </c>
      <c r="H249" s="77">
        <f t="shared" si="20"/>
        <v>9.7799999999999994</v>
      </c>
      <c r="I249" s="77">
        <f t="shared" si="21"/>
        <v>0.79999999999999893</v>
      </c>
      <c r="J249" s="78">
        <f t="shared" si="22"/>
        <v>13.120000000000001</v>
      </c>
      <c r="K249" s="78">
        <f t="shared" si="23"/>
        <v>13.782</v>
      </c>
      <c r="L249" s="78">
        <f t="shared" si="18"/>
        <v>0.66199999999999903</v>
      </c>
    </row>
    <row r="250" spans="2:12" s="162" customFormat="1" outlineLevel="1">
      <c r="B250" s="113">
        <v>33603</v>
      </c>
      <c r="C250" s="69">
        <v>8.2200000000000006</v>
      </c>
      <c r="D250" s="69">
        <v>9.39</v>
      </c>
      <c r="G250" s="77">
        <f t="shared" si="19"/>
        <v>8.2200000000000006</v>
      </c>
      <c r="H250" s="77">
        <f t="shared" si="20"/>
        <v>9.39</v>
      </c>
      <c r="I250" s="77">
        <f t="shared" si="21"/>
        <v>1.17</v>
      </c>
      <c r="J250" s="78">
        <f t="shared" si="22"/>
        <v>12.36</v>
      </c>
      <c r="K250" s="78">
        <f t="shared" si="23"/>
        <v>13.391999999999999</v>
      </c>
      <c r="L250" s="78">
        <f t="shared" si="18"/>
        <v>1.032</v>
      </c>
    </row>
    <row r="251" spans="2:12" s="162" customFormat="1" outlineLevel="1">
      <c r="B251" s="113">
        <v>33634</v>
      </c>
      <c r="C251" s="69">
        <v>9.42</v>
      </c>
      <c r="D251" s="69">
        <v>10.11</v>
      </c>
      <c r="G251" s="77">
        <f t="shared" si="19"/>
        <v>9.42</v>
      </c>
      <c r="H251" s="77">
        <f t="shared" si="20"/>
        <v>10.11</v>
      </c>
      <c r="I251" s="77">
        <f t="shared" si="21"/>
        <v>0.6899999999999995</v>
      </c>
      <c r="J251" s="78">
        <f t="shared" si="22"/>
        <v>13.559999999999999</v>
      </c>
      <c r="K251" s="78">
        <f t="shared" si="23"/>
        <v>14.111999999999998</v>
      </c>
      <c r="L251" s="78">
        <f t="shared" si="18"/>
        <v>0.5519999999999996</v>
      </c>
    </row>
    <row r="252" spans="2:12" s="162" customFormat="1" outlineLevel="1">
      <c r="B252" s="113">
        <v>33663</v>
      </c>
      <c r="C252" s="69">
        <v>9.42</v>
      </c>
      <c r="D252" s="69">
        <v>10.039999999999999</v>
      </c>
      <c r="G252" s="77">
        <f t="shared" si="19"/>
        <v>9.42</v>
      </c>
      <c r="H252" s="77">
        <f t="shared" si="20"/>
        <v>10.039999999999999</v>
      </c>
      <c r="I252" s="77">
        <f t="shared" si="21"/>
        <v>0.61999999999999922</v>
      </c>
      <c r="J252" s="78">
        <f t="shared" si="22"/>
        <v>13.559999999999999</v>
      </c>
      <c r="K252" s="78">
        <f t="shared" si="23"/>
        <v>14.041999999999998</v>
      </c>
      <c r="L252" s="78">
        <f t="shared" si="18"/>
        <v>0.48199999999999932</v>
      </c>
    </row>
    <row r="253" spans="2:12" s="162" customFormat="1" outlineLevel="1">
      <c r="B253" s="113">
        <v>33694</v>
      </c>
      <c r="C253" s="69">
        <v>9.42</v>
      </c>
      <c r="D253" s="69">
        <v>9.89</v>
      </c>
      <c r="G253" s="77">
        <f t="shared" si="19"/>
        <v>9.42</v>
      </c>
      <c r="H253" s="77">
        <f t="shared" si="20"/>
        <v>9.89</v>
      </c>
      <c r="I253" s="77">
        <f t="shared" si="21"/>
        <v>0.47000000000000064</v>
      </c>
      <c r="J253" s="78">
        <f t="shared" si="22"/>
        <v>13.559999999999999</v>
      </c>
      <c r="K253" s="78">
        <f t="shared" si="23"/>
        <v>13.891999999999999</v>
      </c>
      <c r="L253" s="78">
        <f t="shared" si="18"/>
        <v>0.33200000000000074</v>
      </c>
    </row>
    <row r="254" spans="2:12" s="162" customFormat="1" outlineLevel="1">
      <c r="B254" s="113">
        <v>33724</v>
      </c>
      <c r="C254" s="69">
        <v>8.68</v>
      </c>
      <c r="D254" s="69">
        <v>9.43</v>
      </c>
      <c r="G254" s="77">
        <f t="shared" si="19"/>
        <v>8.68</v>
      </c>
      <c r="H254" s="77">
        <f t="shared" si="20"/>
        <v>9.43</v>
      </c>
      <c r="I254" s="77">
        <f t="shared" si="21"/>
        <v>0.75</v>
      </c>
      <c r="J254" s="78">
        <f t="shared" si="22"/>
        <v>12.82</v>
      </c>
      <c r="K254" s="78">
        <f t="shared" si="23"/>
        <v>13.431999999999999</v>
      </c>
      <c r="L254" s="78">
        <f t="shared" si="18"/>
        <v>0.61199999999999832</v>
      </c>
    </row>
    <row r="255" spans="2:12" s="162" customFormat="1" outlineLevel="1">
      <c r="B255" s="113">
        <v>33755</v>
      </c>
      <c r="C255" s="69">
        <v>8.3699999999999992</v>
      </c>
      <c r="D255" s="69">
        <v>9.1199999999999992</v>
      </c>
      <c r="G255" s="77">
        <f t="shared" si="19"/>
        <v>8.3699999999999992</v>
      </c>
      <c r="H255" s="77">
        <f t="shared" si="20"/>
        <v>9.1199999999999992</v>
      </c>
      <c r="I255" s="77">
        <f t="shared" si="21"/>
        <v>0.75</v>
      </c>
      <c r="J255" s="78">
        <f t="shared" si="22"/>
        <v>12.509999999999998</v>
      </c>
      <c r="K255" s="78">
        <f t="shared" si="23"/>
        <v>13.122</v>
      </c>
      <c r="L255" s="78">
        <f t="shared" si="18"/>
        <v>0.61200000000000188</v>
      </c>
    </row>
    <row r="256" spans="2:12" s="162" customFormat="1" outlineLevel="1">
      <c r="B256" s="113">
        <v>33785</v>
      </c>
      <c r="C256" s="69">
        <v>7.83</v>
      </c>
      <c r="D256" s="69">
        <v>8.9</v>
      </c>
      <c r="G256" s="77">
        <f t="shared" si="19"/>
        <v>7.83</v>
      </c>
      <c r="H256" s="77">
        <f t="shared" si="20"/>
        <v>8.9</v>
      </c>
      <c r="I256" s="77">
        <f t="shared" si="21"/>
        <v>1.0700000000000003</v>
      </c>
      <c r="J256" s="78">
        <f t="shared" si="22"/>
        <v>11.969999999999999</v>
      </c>
      <c r="K256" s="78">
        <f t="shared" si="23"/>
        <v>12.902000000000001</v>
      </c>
      <c r="L256" s="78">
        <f t="shared" si="18"/>
        <v>0.93200000000000216</v>
      </c>
    </row>
    <row r="257" spans="2:12" s="162" customFormat="1" outlineLevel="1">
      <c r="B257" s="113">
        <v>33816</v>
      </c>
      <c r="C257" s="69">
        <v>7.05</v>
      </c>
      <c r="D257" s="69">
        <v>8.3000000000000007</v>
      </c>
      <c r="G257" s="77">
        <f t="shared" si="19"/>
        <v>7.05</v>
      </c>
      <c r="H257" s="77">
        <f t="shared" si="20"/>
        <v>8.3000000000000007</v>
      </c>
      <c r="I257" s="77">
        <f t="shared" si="21"/>
        <v>1.2500000000000009</v>
      </c>
      <c r="J257" s="78">
        <f t="shared" si="22"/>
        <v>11.19</v>
      </c>
      <c r="K257" s="78">
        <f t="shared" si="23"/>
        <v>12.302</v>
      </c>
      <c r="L257" s="78">
        <f t="shared" si="18"/>
        <v>1.1120000000000001</v>
      </c>
    </row>
    <row r="258" spans="2:12" s="162" customFormat="1" outlineLevel="1">
      <c r="B258" s="113">
        <v>33847</v>
      </c>
      <c r="C258" s="69">
        <v>8.41</v>
      </c>
      <c r="D258" s="69">
        <v>8.9700000000000006</v>
      </c>
      <c r="G258" s="77">
        <f t="shared" si="19"/>
        <v>8.41</v>
      </c>
      <c r="H258" s="77">
        <f t="shared" si="20"/>
        <v>8.9700000000000006</v>
      </c>
      <c r="I258" s="77">
        <f t="shared" si="21"/>
        <v>0.5600000000000005</v>
      </c>
      <c r="J258" s="78">
        <f t="shared" si="22"/>
        <v>12.55</v>
      </c>
      <c r="K258" s="78">
        <f t="shared" si="23"/>
        <v>12.972000000000001</v>
      </c>
      <c r="L258" s="78">
        <f t="shared" si="18"/>
        <v>0.4220000000000006</v>
      </c>
    </row>
    <row r="259" spans="2:12" s="162" customFormat="1" outlineLevel="1">
      <c r="B259" s="113">
        <v>33877</v>
      </c>
      <c r="C259" s="69">
        <v>8.32</v>
      </c>
      <c r="D259" s="69">
        <v>8.94</v>
      </c>
      <c r="G259" s="77">
        <f t="shared" si="19"/>
        <v>8.32</v>
      </c>
      <c r="H259" s="77">
        <f t="shared" si="20"/>
        <v>8.94</v>
      </c>
      <c r="I259" s="77">
        <f t="shared" si="21"/>
        <v>0.61999999999999922</v>
      </c>
      <c r="J259" s="78">
        <f t="shared" si="22"/>
        <v>12.46</v>
      </c>
      <c r="K259" s="78">
        <f t="shared" si="23"/>
        <v>12.942</v>
      </c>
      <c r="L259" s="78">
        <f t="shared" si="18"/>
        <v>0.48199999999999932</v>
      </c>
    </row>
    <row r="260" spans="2:12" s="162" customFormat="1" outlineLevel="1">
      <c r="B260" s="113">
        <v>33908</v>
      </c>
      <c r="C260" s="69">
        <v>8.2899999999999991</v>
      </c>
      <c r="D260" s="69">
        <v>8.86</v>
      </c>
      <c r="G260" s="77">
        <f t="shared" si="19"/>
        <v>8.2899999999999991</v>
      </c>
      <c r="H260" s="77">
        <f t="shared" si="20"/>
        <v>8.86</v>
      </c>
      <c r="I260" s="77">
        <f t="shared" si="21"/>
        <v>0.57000000000000028</v>
      </c>
      <c r="J260" s="78">
        <f t="shared" si="22"/>
        <v>12.43</v>
      </c>
      <c r="K260" s="78">
        <f t="shared" si="23"/>
        <v>12.861999999999998</v>
      </c>
      <c r="L260" s="78">
        <f t="shared" si="18"/>
        <v>0.43199999999999861</v>
      </c>
    </row>
    <row r="261" spans="2:12" s="162" customFormat="1" outlineLevel="1">
      <c r="B261" s="113">
        <v>33938</v>
      </c>
      <c r="C261" s="69">
        <v>8.48</v>
      </c>
      <c r="D261" s="69">
        <v>9.14</v>
      </c>
      <c r="G261" s="77">
        <f t="shared" si="19"/>
        <v>8.48</v>
      </c>
      <c r="H261" s="77">
        <f t="shared" si="20"/>
        <v>9.14</v>
      </c>
      <c r="I261" s="77">
        <f t="shared" si="21"/>
        <v>0.66000000000000014</v>
      </c>
      <c r="J261" s="78">
        <f t="shared" si="22"/>
        <v>12.620000000000001</v>
      </c>
      <c r="K261" s="78">
        <f t="shared" si="23"/>
        <v>13.141999999999999</v>
      </c>
      <c r="L261" s="78">
        <f t="shared" si="18"/>
        <v>0.52199999999999847</v>
      </c>
    </row>
    <row r="262" spans="2:12" s="162" customFormat="1" outlineLevel="1">
      <c r="B262" s="113">
        <v>33969</v>
      </c>
      <c r="C262" s="69">
        <v>8.24</v>
      </c>
      <c r="D262" s="69">
        <v>8.94</v>
      </c>
      <c r="G262" s="77">
        <f t="shared" si="19"/>
        <v>8.24</v>
      </c>
      <c r="H262" s="77">
        <f t="shared" si="20"/>
        <v>8.94</v>
      </c>
      <c r="I262" s="77">
        <f t="shared" si="21"/>
        <v>0.69999999999999929</v>
      </c>
      <c r="J262" s="78">
        <f t="shared" si="22"/>
        <v>12.379999999999999</v>
      </c>
      <c r="K262" s="78">
        <f t="shared" si="23"/>
        <v>12.942</v>
      </c>
      <c r="L262" s="78">
        <f t="shared" si="18"/>
        <v>0.56200000000000117</v>
      </c>
    </row>
    <row r="263" spans="2:12" s="162" customFormat="1" outlineLevel="1">
      <c r="B263" s="113">
        <v>34000</v>
      </c>
      <c r="C263" s="69">
        <v>8</v>
      </c>
      <c r="D263" s="69">
        <v>8.6</v>
      </c>
      <c r="G263" s="77">
        <f t="shared" si="19"/>
        <v>8</v>
      </c>
      <c r="H263" s="77">
        <f t="shared" si="20"/>
        <v>8.6</v>
      </c>
      <c r="I263" s="77">
        <f t="shared" si="21"/>
        <v>0.59999999999999964</v>
      </c>
      <c r="J263" s="78">
        <f t="shared" si="22"/>
        <v>12.14</v>
      </c>
      <c r="K263" s="78">
        <f t="shared" si="23"/>
        <v>12.602</v>
      </c>
      <c r="L263" s="78">
        <f t="shared" si="18"/>
        <v>0.46199999999999974</v>
      </c>
    </row>
    <row r="264" spans="2:12" s="162" customFormat="1" outlineLevel="1">
      <c r="B264" s="113">
        <v>34028</v>
      </c>
      <c r="C264" s="69">
        <v>7.26</v>
      </c>
      <c r="D264" s="69">
        <v>7.98</v>
      </c>
      <c r="G264" s="77">
        <f t="shared" si="19"/>
        <v>7.26</v>
      </c>
      <c r="H264" s="77">
        <f t="shared" si="20"/>
        <v>7.98</v>
      </c>
      <c r="I264" s="77">
        <f t="shared" si="21"/>
        <v>0.72000000000000064</v>
      </c>
      <c r="J264" s="78">
        <f t="shared" si="22"/>
        <v>11.399999999999999</v>
      </c>
      <c r="K264" s="78">
        <f t="shared" si="23"/>
        <v>11.981999999999999</v>
      </c>
      <c r="L264" s="78">
        <f t="shared" si="18"/>
        <v>0.58200000000000074</v>
      </c>
    </row>
    <row r="265" spans="2:12" s="162" customFormat="1" outlineLevel="1">
      <c r="B265" s="113">
        <v>34059</v>
      </c>
      <c r="C265" s="69">
        <v>7.05</v>
      </c>
      <c r="D265" s="69">
        <v>7.82</v>
      </c>
      <c r="G265" s="77">
        <f t="shared" si="19"/>
        <v>7.05</v>
      </c>
      <c r="H265" s="77">
        <f t="shared" si="20"/>
        <v>7.82</v>
      </c>
      <c r="I265" s="77">
        <f t="shared" si="21"/>
        <v>0.77000000000000046</v>
      </c>
      <c r="J265" s="78">
        <f t="shared" si="22"/>
        <v>11.19</v>
      </c>
      <c r="K265" s="78">
        <f t="shared" si="23"/>
        <v>11.821999999999999</v>
      </c>
      <c r="L265" s="78">
        <f t="shared" si="18"/>
        <v>0.63199999999999967</v>
      </c>
    </row>
    <row r="266" spans="2:12" s="162" customFormat="1" outlineLevel="1">
      <c r="B266" s="113">
        <v>34089</v>
      </c>
      <c r="C266" s="69">
        <v>6.69</v>
      </c>
      <c r="D266" s="69">
        <v>7.55</v>
      </c>
      <c r="G266" s="77">
        <f t="shared" si="19"/>
        <v>6.69</v>
      </c>
      <c r="H266" s="77">
        <f t="shared" si="20"/>
        <v>7.55</v>
      </c>
      <c r="I266" s="77">
        <f t="shared" si="21"/>
        <v>0.85999999999999943</v>
      </c>
      <c r="J266" s="78">
        <f t="shared" si="22"/>
        <v>10.83</v>
      </c>
      <c r="K266" s="78">
        <f t="shared" si="23"/>
        <v>11.552</v>
      </c>
      <c r="L266" s="78">
        <f t="shared" si="18"/>
        <v>0.72199999999999953</v>
      </c>
    </row>
    <row r="267" spans="2:12" s="162" customFormat="1" outlineLevel="1">
      <c r="B267" s="113">
        <v>34120</v>
      </c>
      <c r="C267" s="69">
        <v>7.09</v>
      </c>
      <c r="D267" s="69">
        <v>7.71</v>
      </c>
      <c r="G267" s="77">
        <f t="shared" si="19"/>
        <v>7.09</v>
      </c>
      <c r="H267" s="77">
        <f t="shared" si="20"/>
        <v>7.71</v>
      </c>
      <c r="I267" s="77">
        <f t="shared" si="21"/>
        <v>0.62000000000000011</v>
      </c>
      <c r="J267" s="78">
        <f t="shared" si="22"/>
        <v>11.23</v>
      </c>
      <c r="K267" s="78">
        <f t="shared" si="23"/>
        <v>11.712</v>
      </c>
      <c r="L267" s="78">
        <f t="shared" ref="L267:L330" si="24">K267-J267</f>
        <v>0.48199999999999932</v>
      </c>
    </row>
    <row r="268" spans="2:12" s="162" customFormat="1" outlineLevel="1">
      <c r="B268" s="113">
        <v>34150</v>
      </c>
      <c r="C268" s="69">
        <v>6.83</v>
      </c>
      <c r="D268" s="69">
        <v>7.37</v>
      </c>
      <c r="G268" s="77">
        <f t="shared" ref="G268:G331" si="25">IF(C268="",E268,C268)</f>
        <v>6.83</v>
      </c>
      <c r="H268" s="77">
        <f t="shared" ref="H268:H331" si="26">IF(D268="",F268,D268)</f>
        <v>7.37</v>
      </c>
      <c r="I268" s="77">
        <f t="shared" ref="I268:I331" si="27">H268-G268</f>
        <v>0.54</v>
      </c>
      <c r="J268" s="78">
        <f t="shared" ref="J268:J331" si="28">G268  +  0.6  *  6.9</f>
        <v>10.969999999999999</v>
      </c>
      <c r="K268" s="78">
        <f t="shared" ref="K268:K331" si="29">H268  +  0.6  *  6.67</f>
        <v>11.372</v>
      </c>
      <c r="L268" s="78">
        <f t="shared" si="24"/>
        <v>0.40200000000000102</v>
      </c>
    </row>
    <row r="269" spans="2:12" s="162" customFormat="1" outlineLevel="1">
      <c r="B269" s="113">
        <v>34181</v>
      </c>
      <c r="C269" s="69">
        <v>6.43</v>
      </c>
      <c r="D269" s="69">
        <v>6.88</v>
      </c>
      <c r="G269" s="77">
        <f t="shared" si="25"/>
        <v>6.43</v>
      </c>
      <c r="H269" s="77">
        <f t="shared" si="26"/>
        <v>6.88</v>
      </c>
      <c r="I269" s="77">
        <f t="shared" si="27"/>
        <v>0.45000000000000018</v>
      </c>
      <c r="J269" s="78">
        <f t="shared" si="28"/>
        <v>10.57</v>
      </c>
      <c r="K269" s="78">
        <f t="shared" si="29"/>
        <v>10.882</v>
      </c>
      <c r="L269" s="78">
        <f t="shared" si="24"/>
        <v>0.31199999999999939</v>
      </c>
    </row>
    <row r="270" spans="2:12" s="162" customFormat="1" outlineLevel="1">
      <c r="B270" s="113">
        <v>34212</v>
      </c>
      <c r="C270" s="69">
        <v>6.16</v>
      </c>
      <c r="D270" s="69">
        <v>6.64</v>
      </c>
      <c r="G270" s="77">
        <f t="shared" si="25"/>
        <v>6.16</v>
      </c>
      <c r="H270" s="77">
        <f t="shared" si="26"/>
        <v>6.64</v>
      </c>
      <c r="I270" s="77">
        <f t="shared" si="27"/>
        <v>0.47999999999999954</v>
      </c>
      <c r="J270" s="78">
        <f t="shared" si="28"/>
        <v>10.3</v>
      </c>
      <c r="K270" s="78">
        <f t="shared" si="29"/>
        <v>10.641999999999999</v>
      </c>
      <c r="L270" s="78">
        <f t="shared" si="24"/>
        <v>0.34199999999999875</v>
      </c>
    </row>
    <row r="271" spans="2:12" s="162" customFormat="1" outlineLevel="1">
      <c r="B271" s="113">
        <v>34242</v>
      </c>
      <c r="C271" s="69">
        <v>6.35</v>
      </c>
      <c r="D271" s="69">
        <v>6.84</v>
      </c>
      <c r="G271" s="77">
        <f t="shared" si="25"/>
        <v>6.35</v>
      </c>
      <c r="H271" s="77">
        <f t="shared" si="26"/>
        <v>6.84</v>
      </c>
      <c r="I271" s="77">
        <f t="shared" si="27"/>
        <v>0.49000000000000021</v>
      </c>
      <c r="J271" s="78">
        <f t="shared" si="28"/>
        <v>10.489999999999998</v>
      </c>
      <c r="K271" s="78">
        <f t="shared" si="29"/>
        <v>10.841999999999999</v>
      </c>
      <c r="L271" s="78">
        <f t="shared" si="24"/>
        <v>0.35200000000000031</v>
      </c>
    </row>
    <row r="272" spans="2:12" s="162" customFormat="1" outlineLevel="1">
      <c r="B272" s="113">
        <v>34273</v>
      </c>
      <c r="C272" s="69">
        <v>6.01</v>
      </c>
      <c r="D272" s="69">
        <v>6.49</v>
      </c>
      <c r="G272" s="77">
        <f t="shared" si="25"/>
        <v>6.01</v>
      </c>
      <c r="H272" s="77">
        <f t="shared" si="26"/>
        <v>6.49</v>
      </c>
      <c r="I272" s="77">
        <f t="shared" si="27"/>
        <v>0.48000000000000043</v>
      </c>
      <c r="J272" s="78">
        <f t="shared" si="28"/>
        <v>10.149999999999999</v>
      </c>
      <c r="K272" s="78">
        <f t="shared" si="29"/>
        <v>10.492000000000001</v>
      </c>
      <c r="L272" s="78">
        <f t="shared" si="24"/>
        <v>0.3420000000000023</v>
      </c>
    </row>
    <row r="273" spans="2:12" s="162" customFormat="1" outlineLevel="1">
      <c r="B273" s="113">
        <v>34303</v>
      </c>
      <c r="C273" s="69">
        <v>6.36</v>
      </c>
      <c r="D273" s="69">
        <v>6.81</v>
      </c>
      <c r="G273" s="77">
        <f t="shared" si="25"/>
        <v>6.36</v>
      </c>
      <c r="H273" s="77">
        <f t="shared" si="26"/>
        <v>6.81</v>
      </c>
      <c r="I273" s="77">
        <f t="shared" si="27"/>
        <v>0.44999999999999929</v>
      </c>
      <c r="J273" s="78">
        <f t="shared" si="28"/>
        <v>10.5</v>
      </c>
      <c r="K273" s="78">
        <f t="shared" si="29"/>
        <v>10.811999999999999</v>
      </c>
      <c r="L273" s="78">
        <f t="shared" si="24"/>
        <v>0.31199999999999939</v>
      </c>
    </row>
    <row r="274" spans="2:12" s="162" customFormat="1" outlineLevel="1">
      <c r="B274" s="113">
        <v>34334</v>
      </c>
      <c r="C274" s="69">
        <v>6.17</v>
      </c>
      <c r="D274" s="69">
        <v>6.68</v>
      </c>
      <c r="G274" s="77">
        <f t="shared" si="25"/>
        <v>6.17</v>
      </c>
      <c r="H274" s="77">
        <f t="shared" si="26"/>
        <v>6.68</v>
      </c>
      <c r="I274" s="77">
        <f t="shared" si="27"/>
        <v>0.50999999999999979</v>
      </c>
      <c r="J274" s="78">
        <f t="shared" si="28"/>
        <v>10.309999999999999</v>
      </c>
      <c r="K274" s="78">
        <f t="shared" si="29"/>
        <v>10.681999999999999</v>
      </c>
      <c r="L274" s="78">
        <f t="shared" si="24"/>
        <v>0.37199999999999989</v>
      </c>
    </row>
    <row r="275" spans="2:12" s="162" customFormat="1" outlineLevel="1">
      <c r="B275" s="113">
        <v>34365</v>
      </c>
      <c r="C275" s="69">
        <v>6.05</v>
      </c>
      <c r="D275" s="69">
        <v>6.36</v>
      </c>
      <c r="G275" s="77">
        <f t="shared" si="25"/>
        <v>6.05</v>
      </c>
      <c r="H275" s="77">
        <f t="shared" si="26"/>
        <v>6.36</v>
      </c>
      <c r="I275" s="77">
        <f t="shared" si="27"/>
        <v>0.3100000000000005</v>
      </c>
      <c r="J275" s="78">
        <f t="shared" si="28"/>
        <v>10.19</v>
      </c>
      <c r="K275" s="78">
        <f t="shared" si="29"/>
        <v>10.362</v>
      </c>
      <c r="L275" s="78">
        <f t="shared" si="24"/>
        <v>0.1720000000000006</v>
      </c>
    </row>
    <row r="276" spans="2:12" s="162" customFormat="1" outlineLevel="1">
      <c r="B276" s="113">
        <v>34393</v>
      </c>
      <c r="C276" s="69">
        <v>6.72</v>
      </c>
      <c r="D276" s="69">
        <v>7.05</v>
      </c>
      <c r="G276" s="77">
        <f t="shared" si="25"/>
        <v>6.72</v>
      </c>
      <c r="H276" s="77">
        <f t="shared" si="26"/>
        <v>7.05</v>
      </c>
      <c r="I276" s="77">
        <f t="shared" si="27"/>
        <v>0.33000000000000007</v>
      </c>
      <c r="J276" s="78">
        <f t="shared" si="28"/>
        <v>10.86</v>
      </c>
      <c r="K276" s="78">
        <f t="shared" si="29"/>
        <v>11.052</v>
      </c>
      <c r="L276" s="78">
        <f t="shared" si="24"/>
        <v>0.19200000000000017</v>
      </c>
    </row>
    <row r="277" spans="2:12" s="162" customFormat="1" outlineLevel="1">
      <c r="B277" s="113">
        <v>34424</v>
      </c>
      <c r="C277" s="69">
        <v>7.57</v>
      </c>
      <c r="D277" s="69">
        <v>7.95</v>
      </c>
      <c r="G277" s="77">
        <f t="shared" si="25"/>
        <v>7.57</v>
      </c>
      <c r="H277" s="77">
        <f t="shared" si="26"/>
        <v>7.95</v>
      </c>
      <c r="I277" s="77">
        <f t="shared" si="27"/>
        <v>0.37999999999999989</v>
      </c>
      <c r="J277" s="78">
        <f t="shared" si="28"/>
        <v>11.71</v>
      </c>
      <c r="K277" s="78">
        <f t="shared" si="29"/>
        <v>11.952</v>
      </c>
      <c r="L277" s="78">
        <f t="shared" si="24"/>
        <v>0.2419999999999991</v>
      </c>
    </row>
    <row r="278" spans="2:12" s="162" customFormat="1" outlineLevel="1">
      <c r="B278" s="113">
        <v>34454</v>
      </c>
      <c r="C278" s="69">
        <v>7.94</v>
      </c>
      <c r="D278" s="69">
        <v>8.44</v>
      </c>
      <c r="G278" s="77">
        <f t="shared" si="25"/>
        <v>7.94</v>
      </c>
      <c r="H278" s="77">
        <f t="shared" si="26"/>
        <v>8.44</v>
      </c>
      <c r="I278" s="77">
        <f t="shared" si="27"/>
        <v>0.49999999999999911</v>
      </c>
      <c r="J278" s="78">
        <f t="shared" si="28"/>
        <v>12.08</v>
      </c>
      <c r="K278" s="78">
        <f t="shared" si="29"/>
        <v>12.442</v>
      </c>
      <c r="L278" s="78">
        <f t="shared" si="24"/>
        <v>0.3620000000000001</v>
      </c>
    </row>
    <row r="279" spans="2:12" s="162" customFormat="1" outlineLevel="1">
      <c r="B279" s="113">
        <v>34485</v>
      </c>
      <c r="C279" s="69">
        <v>8.14</v>
      </c>
      <c r="D279" s="69">
        <v>8.7899999999999991</v>
      </c>
      <c r="G279" s="77">
        <f t="shared" si="25"/>
        <v>8.14</v>
      </c>
      <c r="H279" s="77">
        <f t="shared" si="26"/>
        <v>8.7899999999999991</v>
      </c>
      <c r="I279" s="77">
        <f t="shared" si="27"/>
        <v>0.64999999999999858</v>
      </c>
      <c r="J279" s="78">
        <f t="shared" si="28"/>
        <v>12.280000000000001</v>
      </c>
      <c r="K279" s="78">
        <f t="shared" si="29"/>
        <v>12.791999999999998</v>
      </c>
      <c r="L279" s="78">
        <f t="shared" si="24"/>
        <v>0.5119999999999969</v>
      </c>
    </row>
    <row r="280" spans="2:12" s="162" customFormat="1" outlineLevel="1">
      <c r="B280" s="113">
        <v>34515</v>
      </c>
      <c r="C280" s="69">
        <v>9.0399999999999991</v>
      </c>
      <c r="D280" s="69">
        <v>9.6300000000000008</v>
      </c>
      <c r="G280" s="77">
        <f t="shared" si="25"/>
        <v>9.0399999999999991</v>
      </c>
      <c r="H280" s="77">
        <f t="shared" si="26"/>
        <v>9.6300000000000008</v>
      </c>
      <c r="I280" s="77">
        <f t="shared" si="27"/>
        <v>0.59000000000000163</v>
      </c>
      <c r="J280" s="78">
        <f t="shared" si="28"/>
        <v>13.18</v>
      </c>
      <c r="K280" s="78">
        <f t="shared" si="29"/>
        <v>13.632000000000001</v>
      </c>
      <c r="L280" s="78">
        <f t="shared" si="24"/>
        <v>0.45200000000000173</v>
      </c>
    </row>
    <row r="281" spans="2:12" s="162" customFormat="1" outlineLevel="1">
      <c r="B281" s="113">
        <v>34546</v>
      </c>
      <c r="C281" s="69">
        <v>8.9600000000000009</v>
      </c>
      <c r="D281" s="69">
        <v>9.57</v>
      </c>
      <c r="G281" s="77">
        <f t="shared" si="25"/>
        <v>8.9600000000000009</v>
      </c>
      <c r="H281" s="77">
        <f t="shared" si="26"/>
        <v>9.57</v>
      </c>
      <c r="I281" s="77">
        <f t="shared" si="27"/>
        <v>0.60999999999999943</v>
      </c>
      <c r="J281" s="78">
        <f t="shared" si="28"/>
        <v>13.100000000000001</v>
      </c>
      <c r="K281" s="78">
        <f t="shared" si="29"/>
        <v>13.571999999999999</v>
      </c>
      <c r="L281" s="78">
        <f t="shared" si="24"/>
        <v>0.47199999999999775</v>
      </c>
    </row>
    <row r="282" spans="2:12" s="162" customFormat="1" outlineLevel="1">
      <c r="B282" s="113">
        <v>34577</v>
      </c>
      <c r="C282" s="69">
        <v>8.81</v>
      </c>
      <c r="D282" s="69">
        <v>9.36</v>
      </c>
      <c r="G282" s="77">
        <f t="shared" si="25"/>
        <v>8.81</v>
      </c>
      <c r="H282" s="77">
        <f t="shared" si="26"/>
        <v>9.36</v>
      </c>
      <c r="I282" s="77">
        <f t="shared" si="27"/>
        <v>0.54999999999999893</v>
      </c>
      <c r="J282" s="78">
        <f t="shared" si="28"/>
        <v>12.95</v>
      </c>
      <c r="K282" s="78">
        <f t="shared" si="29"/>
        <v>13.361999999999998</v>
      </c>
      <c r="L282" s="78">
        <f t="shared" si="24"/>
        <v>0.41199999999999903</v>
      </c>
    </row>
    <row r="283" spans="2:12" s="162" customFormat="1" outlineLevel="1">
      <c r="B283" s="113">
        <v>34607</v>
      </c>
      <c r="C283" s="69">
        <v>9.74</v>
      </c>
      <c r="D283" s="69">
        <v>10.33</v>
      </c>
      <c r="G283" s="77">
        <f t="shared" si="25"/>
        <v>9.74</v>
      </c>
      <c r="H283" s="77">
        <f t="shared" si="26"/>
        <v>10.33</v>
      </c>
      <c r="I283" s="77">
        <f t="shared" si="27"/>
        <v>0.58999999999999986</v>
      </c>
      <c r="J283" s="78">
        <f t="shared" si="28"/>
        <v>13.879999999999999</v>
      </c>
      <c r="K283" s="78">
        <f t="shared" si="29"/>
        <v>14.332000000000001</v>
      </c>
      <c r="L283" s="78">
        <f t="shared" si="24"/>
        <v>0.45200000000000173</v>
      </c>
    </row>
    <row r="284" spans="2:12" s="162" customFormat="1" outlineLevel="1">
      <c r="B284" s="113">
        <v>34638</v>
      </c>
      <c r="C284" s="69">
        <v>10.06</v>
      </c>
      <c r="D284" s="69">
        <v>10.51</v>
      </c>
      <c r="G284" s="77">
        <f t="shared" si="25"/>
        <v>10.06</v>
      </c>
      <c r="H284" s="77">
        <f t="shared" si="26"/>
        <v>10.51</v>
      </c>
      <c r="I284" s="77">
        <f t="shared" si="27"/>
        <v>0.44999999999999929</v>
      </c>
      <c r="J284" s="78">
        <f t="shared" si="28"/>
        <v>14.2</v>
      </c>
      <c r="K284" s="78">
        <f t="shared" si="29"/>
        <v>14.512</v>
      </c>
      <c r="L284" s="78">
        <f t="shared" si="24"/>
        <v>0.31200000000000117</v>
      </c>
    </row>
    <row r="285" spans="2:12" s="162" customFormat="1" outlineLevel="1">
      <c r="B285" s="113">
        <v>34668</v>
      </c>
      <c r="C285" s="69">
        <v>10.27</v>
      </c>
      <c r="D285" s="69">
        <v>10.47</v>
      </c>
      <c r="G285" s="77">
        <f t="shared" si="25"/>
        <v>10.27</v>
      </c>
      <c r="H285" s="77">
        <f t="shared" si="26"/>
        <v>10.47</v>
      </c>
      <c r="I285" s="77">
        <f t="shared" si="27"/>
        <v>0.20000000000000107</v>
      </c>
      <c r="J285" s="78">
        <f t="shared" si="28"/>
        <v>14.41</v>
      </c>
      <c r="K285" s="78">
        <f t="shared" si="29"/>
        <v>14.472000000000001</v>
      </c>
      <c r="L285" s="78">
        <f t="shared" si="24"/>
        <v>6.2000000000001165E-2</v>
      </c>
    </row>
    <row r="286" spans="2:12" s="162" customFormat="1" outlineLevel="1">
      <c r="B286" s="113">
        <v>34699</v>
      </c>
      <c r="C286" s="69">
        <v>10.06</v>
      </c>
      <c r="D286" s="69">
        <v>10.039999999999999</v>
      </c>
      <c r="G286" s="77">
        <f t="shared" si="25"/>
        <v>10.06</v>
      </c>
      <c r="H286" s="77">
        <f t="shared" si="26"/>
        <v>10.039999999999999</v>
      </c>
      <c r="I286" s="77">
        <f t="shared" si="27"/>
        <v>-2.000000000000135E-2</v>
      </c>
      <c r="J286" s="78">
        <f t="shared" si="28"/>
        <v>14.2</v>
      </c>
      <c r="K286" s="78">
        <f t="shared" si="29"/>
        <v>14.041999999999998</v>
      </c>
      <c r="L286" s="78">
        <f t="shared" si="24"/>
        <v>-0.15800000000000125</v>
      </c>
    </row>
    <row r="287" spans="2:12" s="162" customFormat="1" outlineLevel="1">
      <c r="B287" s="113">
        <v>34730</v>
      </c>
      <c r="C287" s="69">
        <v>10.305</v>
      </c>
      <c r="D287" s="69">
        <v>10.3345</v>
      </c>
      <c r="G287" s="77">
        <f t="shared" si="25"/>
        <v>10.305</v>
      </c>
      <c r="H287" s="77">
        <f t="shared" si="26"/>
        <v>10.3345</v>
      </c>
      <c r="I287" s="77">
        <f t="shared" si="27"/>
        <v>2.9500000000000526E-2</v>
      </c>
      <c r="J287" s="78">
        <f t="shared" si="28"/>
        <v>14.445</v>
      </c>
      <c r="K287" s="78">
        <f t="shared" si="29"/>
        <v>14.336500000000001</v>
      </c>
      <c r="L287" s="78">
        <f t="shared" si="24"/>
        <v>-0.10849999999999937</v>
      </c>
    </row>
    <row r="288" spans="2:12" s="162" customFormat="1" outlineLevel="1">
      <c r="B288" s="113">
        <v>34758</v>
      </c>
      <c r="C288" s="69">
        <v>9.9604999999999997</v>
      </c>
      <c r="D288" s="69">
        <v>10.146500000000001</v>
      </c>
      <c r="G288" s="77">
        <f t="shared" si="25"/>
        <v>9.9604999999999997</v>
      </c>
      <c r="H288" s="77">
        <f t="shared" si="26"/>
        <v>10.146500000000001</v>
      </c>
      <c r="I288" s="77">
        <f t="shared" si="27"/>
        <v>0.18600000000000172</v>
      </c>
      <c r="J288" s="78">
        <f t="shared" si="28"/>
        <v>14.1005</v>
      </c>
      <c r="K288" s="78">
        <f t="shared" si="29"/>
        <v>14.148500000000002</v>
      </c>
      <c r="L288" s="78">
        <f t="shared" si="24"/>
        <v>4.8000000000001819E-2</v>
      </c>
    </row>
    <row r="289" spans="2:12" s="162" customFormat="1" outlineLevel="1">
      <c r="B289" s="113">
        <v>34789</v>
      </c>
      <c r="C289" s="69">
        <v>9.80882608695652</v>
      </c>
      <c r="D289" s="69">
        <v>10.137826086956521</v>
      </c>
      <c r="G289" s="77">
        <f t="shared" si="25"/>
        <v>9.80882608695652</v>
      </c>
      <c r="H289" s="77">
        <f t="shared" si="26"/>
        <v>10.137826086956521</v>
      </c>
      <c r="I289" s="77">
        <f t="shared" si="27"/>
        <v>0.32900000000000063</v>
      </c>
      <c r="J289" s="78">
        <f t="shared" si="28"/>
        <v>13.948826086956519</v>
      </c>
      <c r="K289" s="78">
        <f t="shared" si="29"/>
        <v>14.139826086956521</v>
      </c>
      <c r="L289" s="78">
        <f t="shared" si="24"/>
        <v>0.1910000000000025</v>
      </c>
    </row>
    <row r="290" spans="2:12" s="162" customFormat="1" outlineLevel="1">
      <c r="B290" s="113">
        <v>34819</v>
      </c>
      <c r="C290" s="69">
        <v>9.460529411764707</v>
      </c>
      <c r="D290" s="69">
        <v>9.7988235294117629</v>
      </c>
      <c r="G290" s="77">
        <f t="shared" si="25"/>
        <v>9.460529411764707</v>
      </c>
      <c r="H290" s="77">
        <f t="shared" si="26"/>
        <v>9.7988235294117629</v>
      </c>
      <c r="I290" s="77">
        <f t="shared" si="27"/>
        <v>0.33829411764705597</v>
      </c>
      <c r="J290" s="78">
        <f t="shared" si="28"/>
        <v>13.600529411764708</v>
      </c>
      <c r="K290" s="78">
        <f t="shared" si="29"/>
        <v>13.800823529411762</v>
      </c>
      <c r="L290" s="78">
        <f t="shared" si="24"/>
        <v>0.20029411764705429</v>
      </c>
    </row>
    <row r="291" spans="2:12" s="162" customFormat="1" outlineLevel="1">
      <c r="B291" s="113">
        <v>34850</v>
      </c>
      <c r="C291" s="69">
        <v>8.6817391304347833</v>
      </c>
      <c r="D291" s="69">
        <v>9.1060869565217395</v>
      </c>
      <c r="G291" s="77">
        <f t="shared" si="25"/>
        <v>8.6817391304347833</v>
      </c>
      <c r="H291" s="77">
        <f t="shared" si="26"/>
        <v>9.1060869565217395</v>
      </c>
      <c r="I291" s="77">
        <f t="shared" si="27"/>
        <v>0.4243478260869562</v>
      </c>
      <c r="J291" s="78">
        <f t="shared" si="28"/>
        <v>12.821739130434782</v>
      </c>
      <c r="K291" s="78">
        <f t="shared" si="29"/>
        <v>13.108086956521738</v>
      </c>
      <c r="L291" s="78">
        <f t="shared" si="24"/>
        <v>0.2863478260869563</v>
      </c>
    </row>
    <row r="292" spans="2:12" s="162" customFormat="1" outlineLevel="1">
      <c r="B292" s="113">
        <v>34880</v>
      </c>
      <c r="C292" s="69">
        <v>8.2690476190476172</v>
      </c>
      <c r="D292" s="69">
        <v>8.8561904761904771</v>
      </c>
      <c r="G292" s="77">
        <f t="shared" si="25"/>
        <v>8.2690476190476172</v>
      </c>
      <c r="H292" s="77">
        <f t="shared" si="26"/>
        <v>8.8561904761904771</v>
      </c>
      <c r="I292" s="77">
        <f t="shared" si="27"/>
        <v>0.58714285714285985</v>
      </c>
      <c r="J292" s="78">
        <f t="shared" si="28"/>
        <v>12.409047619047616</v>
      </c>
      <c r="K292" s="78">
        <f t="shared" si="29"/>
        <v>12.858190476190476</v>
      </c>
      <c r="L292" s="78">
        <f t="shared" si="24"/>
        <v>0.44914285714285995</v>
      </c>
    </row>
    <row r="293" spans="2:12" s="162" customFormat="1" outlineLevel="1">
      <c r="B293" s="113">
        <v>34911</v>
      </c>
      <c r="C293" s="69">
        <v>8.4428571428571413</v>
      </c>
      <c r="D293" s="69">
        <v>9.0819047619047613</v>
      </c>
      <c r="G293" s="77">
        <f t="shared" si="25"/>
        <v>8.4428571428571413</v>
      </c>
      <c r="H293" s="77">
        <f t="shared" si="26"/>
        <v>9.0819047619047613</v>
      </c>
      <c r="I293" s="77">
        <f t="shared" si="27"/>
        <v>0.63904761904761997</v>
      </c>
      <c r="J293" s="78">
        <f t="shared" si="28"/>
        <v>12.58285714285714</v>
      </c>
      <c r="K293" s="78">
        <f t="shared" si="29"/>
        <v>13.083904761904762</v>
      </c>
      <c r="L293" s="78">
        <f t="shared" si="24"/>
        <v>0.50104761904762185</v>
      </c>
    </row>
    <row r="294" spans="2:12" s="162" customFormat="1" outlineLevel="1">
      <c r="B294" s="113">
        <v>34942</v>
      </c>
      <c r="C294" s="69">
        <v>8.5817391304347819</v>
      </c>
      <c r="D294" s="69">
        <v>9.1243478260869555</v>
      </c>
      <c r="G294" s="77">
        <f t="shared" si="25"/>
        <v>8.5817391304347819</v>
      </c>
      <c r="H294" s="77">
        <f t="shared" si="26"/>
        <v>9.1243478260869555</v>
      </c>
      <c r="I294" s="77">
        <f t="shared" si="27"/>
        <v>0.54260869565217362</v>
      </c>
      <c r="J294" s="78">
        <f t="shared" si="28"/>
        <v>12.721739130434781</v>
      </c>
      <c r="K294" s="78">
        <f t="shared" si="29"/>
        <v>13.126347826086956</v>
      </c>
      <c r="L294" s="78">
        <f t="shared" si="24"/>
        <v>0.4046086956521755</v>
      </c>
    </row>
    <row r="295" spans="2:12" s="162" customFormat="1" outlineLevel="1">
      <c r="B295" s="113">
        <v>34972</v>
      </c>
      <c r="C295" s="69">
        <v>8.1690476190476176</v>
      </c>
      <c r="D295" s="69">
        <v>8.6861904761904771</v>
      </c>
      <c r="G295" s="77">
        <f t="shared" si="25"/>
        <v>8.1690476190476176</v>
      </c>
      <c r="H295" s="77">
        <f t="shared" si="26"/>
        <v>8.6861904761904771</v>
      </c>
      <c r="I295" s="77">
        <f t="shared" si="27"/>
        <v>0.51714285714285957</v>
      </c>
      <c r="J295" s="78">
        <f t="shared" si="28"/>
        <v>12.309047619047618</v>
      </c>
      <c r="K295" s="78">
        <f t="shared" si="29"/>
        <v>12.688190476190478</v>
      </c>
      <c r="L295" s="78">
        <f t="shared" si="24"/>
        <v>0.37914285714285967</v>
      </c>
    </row>
    <row r="296" spans="2:12" s="162" customFormat="1" outlineLevel="1">
      <c r="B296" s="113">
        <v>35003</v>
      </c>
      <c r="C296" s="69">
        <v>8.0436363636363648</v>
      </c>
      <c r="D296" s="69">
        <v>8.5086363636363647</v>
      </c>
      <c r="G296" s="77">
        <f t="shared" si="25"/>
        <v>8.0436363636363648</v>
      </c>
      <c r="H296" s="77">
        <f t="shared" si="26"/>
        <v>8.5086363636363647</v>
      </c>
      <c r="I296" s="77">
        <f t="shared" si="27"/>
        <v>0.46499999999999986</v>
      </c>
      <c r="J296" s="78">
        <f t="shared" si="28"/>
        <v>12.183636363636364</v>
      </c>
      <c r="K296" s="78">
        <f t="shared" si="29"/>
        <v>12.510636363636365</v>
      </c>
      <c r="L296" s="78">
        <f t="shared" si="24"/>
        <v>0.32700000000000173</v>
      </c>
    </row>
    <row r="297" spans="2:12" s="162" customFormat="1" outlineLevel="1">
      <c r="B297" s="113">
        <v>35033</v>
      </c>
      <c r="C297" s="69">
        <v>8.0377272727272739</v>
      </c>
      <c r="D297" s="69">
        <v>8.4949999999999992</v>
      </c>
      <c r="G297" s="77">
        <f t="shared" si="25"/>
        <v>8.0377272727272739</v>
      </c>
      <c r="H297" s="77">
        <f t="shared" si="26"/>
        <v>8.4949999999999992</v>
      </c>
      <c r="I297" s="77">
        <f t="shared" si="27"/>
        <v>0.45727272727272528</v>
      </c>
      <c r="J297" s="78">
        <f t="shared" si="28"/>
        <v>12.177727272727275</v>
      </c>
      <c r="K297" s="78">
        <f t="shared" si="29"/>
        <v>12.497</v>
      </c>
      <c r="L297" s="78">
        <f t="shared" si="24"/>
        <v>0.31927272727272538</v>
      </c>
    </row>
    <row r="298" spans="2:12" s="162" customFormat="1" outlineLevel="1">
      <c r="B298" s="113">
        <v>35064</v>
      </c>
      <c r="C298" s="69">
        <v>7.8526315789473697</v>
      </c>
      <c r="D298" s="69">
        <v>8.2547368421052632</v>
      </c>
      <c r="G298" s="77">
        <f t="shared" si="25"/>
        <v>7.8526315789473697</v>
      </c>
      <c r="H298" s="77">
        <f t="shared" si="26"/>
        <v>8.2547368421052632</v>
      </c>
      <c r="I298" s="77">
        <f t="shared" si="27"/>
        <v>0.40210526315789341</v>
      </c>
      <c r="J298" s="78">
        <f t="shared" si="28"/>
        <v>11.992631578947369</v>
      </c>
      <c r="K298" s="78">
        <f t="shared" si="29"/>
        <v>12.256736842105262</v>
      </c>
      <c r="L298" s="78">
        <f t="shared" si="24"/>
        <v>0.26410526315789262</v>
      </c>
    </row>
    <row r="299" spans="2:12" s="162" customFormat="1" outlineLevel="1">
      <c r="B299" s="113">
        <v>35095</v>
      </c>
      <c r="C299" s="69">
        <v>7.7590476190476201</v>
      </c>
      <c r="D299" s="69">
        <v>8.1123809523809509</v>
      </c>
      <c r="G299" s="77">
        <f t="shared" si="25"/>
        <v>7.7590476190476201</v>
      </c>
      <c r="H299" s="77">
        <f t="shared" si="26"/>
        <v>8.1123809523809509</v>
      </c>
      <c r="I299" s="77">
        <f t="shared" si="27"/>
        <v>0.35333333333333083</v>
      </c>
      <c r="J299" s="78">
        <f t="shared" si="28"/>
        <v>11.89904761904762</v>
      </c>
      <c r="K299" s="78">
        <f t="shared" si="29"/>
        <v>12.114380952380952</v>
      </c>
      <c r="L299" s="78">
        <f t="shared" si="24"/>
        <v>0.21533333333333182</v>
      </c>
    </row>
    <row r="300" spans="2:12" s="162" customFormat="1" outlineLevel="1">
      <c r="B300" s="113">
        <v>35124</v>
      </c>
      <c r="C300" s="69">
        <v>7.8866666666666667</v>
      </c>
      <c r="D300" s="69">
        <v>8.2485714285714291</v>
      </c>
      <c r="G300" s="77">
        <f t="shared" si="25"/>
        <v>7.8866666666666667</v>
      </c>
      <c r="H300" s="77">
        <f t="shared" si="26"/>
        <v>8.2485714285714291</v>
      </c>
      <c r="I300" s="77">
        <f t="shared" si="27"/>
        <v>0.3619047619047624</v>
      </c>
      <c r="J300" s="78">
        <f t="shared" si="28"/>
        <v>12.026666666666667</v>
      </c>
      <c r="K300" s="78">
        <f t="shared" si="29"/>
        <v>12.25057142857143</v>
      </c>
      <c r="L300" s="78">
        <f t="shared" si="24"/>
        <v>0.22390476190476249</v>
      </c>
    </row>
    <row r="301" spans="2:12" s="162" customFormat="1" outlineLevel="1">
      <c r="B301" s="113">
        <v>35155</v>
      </c>
      <c r="C301" s="69">
        <v>8.4695238095238103</v>
      </c>
      <c r="D301" s="69">
        <v>8.8080952380952375</v>
      </c>
      <c r="G301" s="77">
        <f t="shared" si="25"/>
        <v>8.4695238095238103</v>
      </c>
      <c r="H301" s="77">
        <f t="shared" si="26"/>
        <v>8.8080952380952375</v>
      </c>
      <c r="I301" s="77">
        <f t="shared" si="27"/>
        <v>0.33857142857142719</v>
      </c>
      <c r="J301" s="78">
        <f t="shared" si="28"/>
        <v>12.609523809523811</v>
      </c>
      <c r="K301" s="78">
        <f t="shared" si="29"/>
        <v>12.810095238095236</v>
      </c>
      <c r="L301" s="78">
        <f t="shared" si="24"/>
        <v>0.20057142857142551</v>
      </c>
    </row>
    <row r="302" spans="2:12" s="162" customFormat="1" outlineLevel="1">
      <c r="B302" s="113">
        <v>35185</v>
      </c>
      <c r="C302" s="69">
        <v>8.6</v>
      </c>
      <c r="D302" s="69">
        <v>8.8736842105263154</v>
      </c>
      <c r="G302" s="77">
        <f t="shared" si="25"/>
        <v>8.6</v>
      </c>
      <c r="H302" s="77">
        <f t="shared" si="26"/>
        <v>8.8736842105263154</v>
      </c>
      <c r="I302" s="77">
        <f t="shared" si="27"/>
        <v>0.27368421052631575</v>
      </c>
      <c r="J302" s="78">
        <f t="shared" si="28"/>
        <v>12.739999999999998</v>
      </c>
      <c r="K302" s="78">
        <f t="shared" si="29"/>
        <v>12.875684210526316</v>
      </c>
      <c r="L302" s="78">
        <f t="shared" si="24"/>
        <v>0.13568421052631763</v>
      </c>
    </row>
    <row r="303" spans="2:12" s="162" customFormat="1" outlineLevel="1">
      <c r="B303" s="113">
        <v>35216</v>
      </c>
      <c r="C303" s="69">
        <v>8.5317391304347829</v>
      </c>
      <c r="D303" s="69">
        <v>8.83217391304348</v>
      </c>
      <c r="G303" s="77">
        <f t="shared" si="25"/>
        <v>8.5317391304347829</v>
      </c>
      <c r="H303" s="77">
        <f t="shared" si="26"/>
        <v>8.83217391304348</v>
      </c>
      <c r="I303" s="77">
        <f t="shared" si="27"/>
        <v>0.30043478260869705</v>
      </c>
      <c r="J303" s="78">
        <f t="shared" si="28"/>
        <v>12.671739130434784</v>
      </c>
      <c r="K303" s="78">
        <f t="shared" si="29"/>
        <v>12.834173913043479</v>
      </c>
      <c r="L303" s="78">
        <f t="shared" si="24"/>
        <v>0.16243478260869537</v>
      </c>
    </row>
    <row r="304" spans="2:12" s="162" customFormat="1" outlineLevel="1">
      <c r="B304" s="113">
        <v>35246</v>
      </c>
      <c r="C304" s="69">
        <v>8.6221052631578967</v>
      </c>
      <c r="D304" s="69">
        <v>8.9315789473684237</v>
      </c>
      <c r="G304" s="77">
        <f t="shared" si="25"/>
        <v>8.6221052631578967</v>
      </c>
      <c r="H304" s="77">
        <f t="shared" si="26"/>
        <v>8.9315789473684237</v>
      </c>
      <c r="I304" s="77">
        <f t="shared" si="27"/>
        <v>0.30947368421052701</v>
      </c>
      <c r="J304" s="78">
        <f t="shared" si="28"/>
        <v>12.762105263157896</v>
      </c>
      <c r="K304" s="78">
        <f t="shared" si="29"/>
        <v>12.933578947368424</v>
      </c>
      <c r="L304" s="78">
        <f t="shared" si="24"/>
        <v>0.17147368421052889</v>
      </c>
    </row>
    <row r="305" spans="2:12" s="162" customFormat="1" outlineLevel="1">
      <c r="B305" s="113">
        <v>35277</v>
      </c>
      <c r="C305" s="69">
        <v>8.346521739130436</v>
      </c>
      <c r="D305" s="69">
        <v>8.6295652173913027</v>
      </c>
      <c r="G305" s="77">
        <f t="shared" si="25"/>
        <v>8.346521739130436</v>
      </c>
      <c r="H305" s="77">
        <f t="shared" si="26"/>
        <v>8.6295652173913027</v>
      </c>
      <c r="I305" s="77">
        <f t="shared" si="27"/>
        <v>0.28304347826086662</v>
      </c>
      <c r="J305" s="78">
        <f t="shared" si="28"/>
        <v>12.486521739130435</v>
      </c>
      <c r="K305" s="78">
        <f t="shared" si="29"/>
        <v>12.631565217391302</v>
      </c>
      <c r="L305" s="78">
        <f t="shared" si="24"/>
        <v>0.14504347826086672</v>
      </c>
    </row>
    <row r="306" spans="2:12" s="162" customFormat="1" outlineLevel="1">
      <c r="B306" s="113">
        <v>35308</v>
      </c>
      <c r="C306" s="69">
        <v>7.5927272727272737</v>
      </c>
      <c r="D306" s="69">
        <v>8.0399999999999991</v>
      </c>
      <c r="G306" s="77">
        <f t="shared" si="25"/>
        <v>7.5927272727272737</v>
      </c>
      <c r="H306" s="77">
        <f t="shared" si="26"/>
        <v>8.0399999999999991</v>
      </c>
      <c r="I306" s="77">
        <f t="shared" si="27"/>
        <v>0.44727272727272549</v>
      </c>
      <c r="J306" s="78">
        <f t="shared" si="28"/>
        <v>11.732727272727274</v>
      </c>
      <c r="K306" s="78">
        <f t="shared" si="29"/>
        <v>12.041999999999998</v>
      </c>
      <c r="L306" s="78">
        <f t="shared" si="24"/>
        <v>0.30927272727272381</v>
      </c>
    </row>
    <row r="307" spans="2:12" s="162" customFormat="1" outlineLevel="1">
      <c r="B307" s="113">
        <v>35338</v>
      </c>
      <c r="C307" s="69">
        <v>7.5728571428571438</v>
      </c>
      <c r="D307" s="69">
        <v>8.0033333333333339</v>
      </c>
      <c r="G307" s="77">
        <f t="shared" si="25"/>
        <v>7.5728571428571438</v>
      </c>
      <c r="H307" s="77">
        <f t="shared" si="26"/>
        <v>8.0033333333333339</v>
      </c>
      <c r="I307" s="77">
        <f t="shared" si="27"/>
        <v>0.43047619047619001</v>
      </c>
      <c r="J307" s="78">
        <f t="shared" si="28"/>
        <v>11.712857142857143</v>
      </c>
      <c r="K307" s="78">
        <f t="shared" si="29"/>
        <v>12.005333333333333</v>
      </c>
      <c r="L307" s="78">
        <f t="shared" si="24"/>
        <v>0.29247619047619011</v>
      </c>
    </row>
    <row r="308" spans="2:12" s="162" customFormat="1" outlineLevel="1">
      <c r="B308" s="113">
        <v>35369</v>
      </c>
      <c r="C308" s="69">
        <v>7.1691304347826081</v>
      </c>
      <c r="D308" s="69">
        <v>7.5504347826086953</v>
      </c>
      <c r="G308" s="77">
        <f t="shared" si="25"/>
        <v>7.1691304347826081</v>
      </c>
      <c r="H308" s="77">
        <f t="shared" si="26"/>
        <v>7.5504347826086953</v>
      </c>
      <c r="I308" s="77">
        <f t="shared" si="27"/>
        <v>0.38130434782608713</v>
      </c>
      <c r="J308" s="78">
        <f t="shared" si="28"/>
        <v>11.309130434782608</v>
      </c>
      <c r="K308" s="78">
        <f t="shared" si="29"/>
        <v>11.552434782608696</v>
      </c>
      <c r="L308" s="78">
        <f t="shared" si="24"/>
        <v>0.24330434782608812</v>
      </c>
    </row>
    <row r="309" spans="2:12" s="162" customFormat="1" outlineLevel="1">
      <c r="B309" s="113">
        <v>35399</v>
      </c>
      <c r="C309" s="69">
        <v>6.838571428571429</v>
      </c>
      <c r="D309" s="69">
        <v>7.1566666666666663</v>
      </c>
      <c r="G309" s="77">
        <f t="shared" si="25"/>
        <v>6.838571428571429</v>
      </c>
      <c r="H309" s="77">
        <f t="shared" si="26"/>
        <v>7.1566666666666663</v>
      </c>
      <c r="I309" s="77">
        <f t="shared" si="27"/>
        <v>0.31809523809523732</v>
      </c>
      <c r="J309" s="78">
        <f t="shared" si="28"/>
        <v>10.978571428571428</v>
      </c>
      <c r="K309" s="78">
        <f t="shared" si="29"/>
        <v>11.158666666666665</v>
      </c>
      <c r="L309" s="78">
        <f t="shared" si="24"/>
        <v>0.18009523809523742</v>
      </c>
    </row>
    <row r="310" spans="2:12" s="162" customFormat="1" outlineLevel="1">
      <c r="B310" s="113">
        <v>35430</v>
      </c>
      <c r="C310" s="69">
        <v>6.9264999999999999</v>
      </c>
      <c r="D310" s="69">
        <v>7.3239999999999998</v>
      </c>
      <c r="G310" s="77">
        <f t="shared" si="25"/>
        <v>6.9264999999999999</v>
      </c>
      <c r="H310" s="77">
        <f t="shared" si="26"/>
        <v>7.3239999999999998</v>
      </c>
      <c r="I310" s="77">
        <f t="shared" si="27"/>
        <v>0.39749999999999996</v>
      </c>
      <c r="J310" s="78">
        <f t="shared" si="28"/>
        <v>11.0665</v>
      </c>
      <c r="K310" s="78">
        <f t="shared" si="29"/>
        <v>11.326000000000001</v>
      </c>
      <c r="L310" s="78">
        <f t="shared" si="24"/>
        <v>0.25950000000000095</v>
      </c>
    </row>
    <row r="311" spans="2:12" s="162" customFormat="1" outlineLevel="1">
      <c r="B311" s="113">
        <v>35461</v>
      </c>
      <c r="C311" s="69">
        <v>6.9895238095238081</v>
      </c>
      <c r="D311" s="69">
        <v>7.4590476190476185</v>
      </c>
      <c r="G311" s="77">
        <f t="shared" si="25"/>
        <v>6.9895238095238081</v>
      </c>
      <c r="H311" s="77">
        <f t="shared" si="26"/>
        <v>7.4590476190476185</v>
      </c>
      <c r="I311" s="77">
        <f t="shared" si="27"/>
        <v>0.46952380952381034</v>
      </c>
      <c r="J311" s="78">
        <f t="shared" si="28"/>
        <v>11.129523809523807</v>
      </c>
      <c r="K311" s="78">
        <f t="shared" si="29"/>
        <v>11.461047619047619</v>
      </c>
      <c r="L311" s="78">
        <f t="shared" si="24"/>
        <v>0.33152380952381222</v>
      </c>
    </row>
    <row r="312" spans="2:12" s="162" customFormat="1" outlineLevel="1">
      <c r="B312" s="113">
        <v>35489</v>
      </c>
      <c r="C312" s="69">
        <v>7.0334999999999992</v>
      </c>
      <c r="D312" s="69">
        <v>7.394000000000001</v>
      </c>
      <c r="G312" s="77">
        <f t="shared" si="25"/>
        <v>7.0334999999999992</v>
      </c>
      <c r="H312" s="77">
        <f t="shared" si="26"/>
        <v>7.394000000000001</v>
      </c>
      <c r="I312" s="77">
        <f t="shared" si="27"/>
        <v>0.36050000000000182</v>
      </c>
      <c r="J312" s="78">
        <f t="shared" si="28"/>
        <v>11.173499999999999</v>
      </c>
      <c r="K312" s="78">
        <f t="shared" si="29"/>
        <v>11.396000000000001</v>
      </c>
      <c r="L312" s="78">
        <f t="shared" si="24"/>
        <v>0.22250000000000192</v>
      </c>
    </row>
    <row r="313" spans="2:12" s="162" customFormat="1" outlineLevel="1">
      <c r="B313" s="113">
        <v>35520</v>
      </c>
      <c r="C313" s="69">
        <v>7.4947368421052634</v>
      </c>
      <c r="D313" s="69">
        <v>7.8994736842105269</v>
      </c>
      <c r="G313" s="77">
        <f t="shared" si="25"/>
        <v>7.4947368421052634</v>
      </c>
      <c r="H313" s="77">
        <f t="shared" si="26"/>
        <v>7.8994736842105269</v>
      </c>
      <c r="I313" s="77">
        <f t="shared" si="27"/>
        <v>0.40473684210526351</v>
      </c>
      <c r="J313" s="78">
        <f t="shared" si="28"/>
        <v>11.634736842105262</v>
      </c>
      <c r="K313" s="78">
        <f t="shared" si="29"/>
        <v>11.901473684210526</v>
      </c>
      <c r="L313" s="78">
        <f t="shared" si="24"/>
        <v>0.26673684210526361</v>
      </c>
    </row>
    <row r="314" spans="2:12" s="162" customFormat="1" outlineLevel="1">
      <c r="B314" s="113">
        <v>35550</v>
      </c>
      <c r="C314" s="69">
        <v>7.4</v>
      </c>
      <c r="D314" s="69">
        <v>7.9238095238095223</v>
      </c>
      <c r="G314" s="77">
        <f t="shared" si="25"/>
        <v>7.4</v>
      </c>
      <c r="H314" s="77">
        <f t="shared" si="26"/>
        <v>7.9238095238095223</v>
      </c>
      <c r="I314" s="77">
        <f t="shared" si="27"/>
        <v>0.52380952380952195</v>
      </c>
      <c r="J314" s="78">
        <f t="shared" si="28"/>
        <v>11.54</v>
      </c>
      <c r="K314" s="78">
        <f t="shared" si="29"/>
        <v>11.925809523809523</v>
      </c>
      <c r="L314" s="78">
        <f t="shared" si="24"/>
        <v>0.38580952380952382</v>
      </c>
    </row>
    <row r="315" spans="2:12" s="162" customFormat="1" outlineLevel="1">
      <c r="B315" s="113">
        <v>35581</v>
      </c>
      <c r="C315" s="69">
        <v>7.165909090909091</v>
      </c>
      <c r="D315" s="69">
        <v>7.6745454545454548</v>
      </c>
      <c r="G315" s="77">
        <f t="shared" si="25"/>
        <v>7.165909090909091</v>
      </c>
      <c r="H315" s="77">
        <f t="shared" si="26"/>
        <v>7.6745454545454548</v>
      </c>
      <c r="I315" s="77">
        <f t="shared" si="27"/>
        <v>0.50863636363636378</v>
      </c>
      <c r="J315" s="78">
        <f t="shared" si="28"/>
        <v>11.30590909090909</v>
      </c>
      <c r="K315" s="78">
        <f t="shared" si="29"/>
        <v>11.676545454545455</v>
      </c>
      <c r="L315" s="78">
        <f t="shared" si="24"/>
        <v>0.37063636363636476</v>
      </c>
    </row>
    <row r="316" spans="2:12" s="162" customFormat="1" outlineLevel="1">
      <c r="B316" s="113">
        <v>35611</v>
      </c>
      <c r="C316" s="69">
        <v>6.5405000000000015</v>
      </c>
      <c r="D316" s="69">
        <v>7.1510000000000016</v>
      </c>
      <c r="G316" s="77">
        <f t="shared" si="25"/>
        <v>6.5405000000000015</v>
      </c>
      <c r="H316" s="77">
        <f t="shared" si="26"/>
        <v>7.1510000000000016</v>
      </c>
      <c r="I316" s="77">
        <f t="shared" si="27"/>
        <v>0.61050000000000004</v>
      </c>
      <c r="J316" s="78">
        <f t="shared" si="28"/>
        <v>10.680500000000002</v>
      </c>
      <c r="K316" s="78">
        <f t="shared" si="29"/>
        <v>11.153000000000002</v>
      </c>
      <c r="L316" s="78">
        <f t="shared" si="24"/>
        <v>0.47250000000000014</v>
      </c>
    </row>
    <row r="317" spans="2:12" s="162" customFormat="1" outlineLevel="1">
      <c r="B317" s="113">
        <v>35642</v>
      </c>
      <c r="C317" s="69">
        <v>6.1517391304347822</v>
      </c>
      <c r="D317" s="69">
        <v>6.6426086956521742</v>
      </c>
      <c r="G317" s="77">
        <f t="shared" si="25"/>
        <v>6.1517391304347822</v>
      </c>
      <c r="H317" s="77">
        <f t="shared" si="26"/>
        <v>6.6426086956521742</v>
      </c>
      <c r="I317" s="77">
        <f t="shared" si="27"/>
        <v>0.490869565217392</v>
      </c>
      <c r="J317" s="78">
        <f t="shared" si="28"/>
        <v>10.291739130434781</v>
      </c>
      <c r="K317" s="78">
        <f t="shared" si="29"/>
        <v>10.644608695652174</v>
      </c>
      <c r="L317" s="78">
        <f t="shared" si="24"/>
        <v>0.35286956521739299</v>
      </c>
    </row>
    <row r="318" spans="2:12" s="162" customFormat="1" outlineLevel="1">
      <c r="B318" s="113">
        <v>35673</v>
      </c>
      <c r="C318" s="69">
        <v>6.1076190476190471</v>
      </c>
      <c r="D318" s="69">
        <v>6.6509523809523818</v>
      </c>
      <c r="G318" s="77">
        <f t="shared" si="25"/>
        <v>6.1076190476190471</v>
      </c>
      <c r="H318" s="77">
        <f t="shared" si="26"/>
        <v>6.6509523809523818</v>
      </c>
      <c r="I318" s="77">
        <f t="shared" si="27"/>
        <v>0.54333333333333478</v>
      </c>
      <c r="J318" s="78">
        <f t="shared" si="28"/>
        <v>10.247619047619047</v>
      </c>
      <c r="K318" s="78">
        <f t="shared" si="29"/>
        <v>10.652952380952382</v>
      </c>
      <c r="L318" s="78">
        <f t="shared" si="24"/>
        <v>0.40533333333333488</v>
      </c>
    </row>
    <row r="319" spans="2:12" s="162" customFormat="1" outlineLevel="1">
      <c r="B319" s="113">
        <v>35703</v>
      </c>
      <c r="C319" s="69">
        <v>5.8209090909090895</v>
      </c>
      <c r="D319" s="69">
        <v>6.3113636363636374</v>
      </c>
      <c r="G319" s="77">
        <f t="shared" si="25"/>
        <v>5.8209090909090895</v>
      </c>
      <c r="H319" s="77">
        <f t="shared" si="26"/>
        <v>6.3113636363636374</v>
      </c>
      <c r="I319" s="77">
        <f t="shared" si="27"/>
        <v>0.49045454545454792</v>
      </c>
      <c r="J319" s="78">
        <f t="shared" si="28"/>
        <v>9.9609090909090892</v>
      </c>
      <c r="K319" s="78">
        <f t="shared" si="29"/>
        <v>10.313363636363636</v>
      </c>
      <c r="L319" s="78">
        <f t="shared" si="24"/>
        <v>0.35245454545454713</v>
      </c>
    </row>
    <row r="320" spans="2:12" s="162" customFormat="1" outlineLevel="1">
      <c r="B320" s="113">
        <v>35734</v>
      </c>
      <c r="C320" s="69">
        <v>5.775652173913044</v>
      </c>
      <c r="D320" s="69">
        <v>6.1821739130434779</v>
      </c>
      <c r="G320" s="77">
        <f t="shared" si="25"/>
        <v>5.775652173913044</v>
      </c>
      <c r="H320" s="77">
        <f t="shared" si="26"/>
        <v>6.1821739130434779</v>
      </c>
      <c r="I320" s="77">
        <f t="shared" si="27"/>
        <v>0.40652173913043388</v>
      </c>
      <c r="J320" s="78">
        <f t="shared" si="28"/>
        <v>9.9156521739130437</v>
      </c>
      <c r="K320" s="78">
        <f t="shared" si="29"/>
        <v>10.184173913043477</v>
      </c>
      <c r="L320" s="78">
        <f t="shared" si="24"/>
        <v>0.26852173913043309</v>
      </c>
    </row>
    <row r="321" spans="2:12" s="162" customFormat="1" outlineLevel="1">
      <c r="B321" s="113">
        <v>35764</v>
      </c>
      <c r="C321" s="69">
        <v>5.72</v>
      </c>
      <c r="D321" s="69">
        <v>6.0310000000000006</v>
      </c>
      <c r="G321" s="77">
        <f t="shared" si="25"/>
        <v>5.72</v>
      </c>
      <c r="H321" s="77">
        <f t="shared" si="26"/>
        <v>6.0310000000000006</v>
      </c>
      <c r="I321" s="77">
        <f t="shared" si="27"/>
        <v>0.31100000000000083</v>
      </c>
      <c r="J321" s="78">
        <f t="shared" si="28"/>
        <v>9.86</v>
      </c>
      <c r="K321" s="78">
        <f t="shared" si="29"/>
        <v>10.033000000000001</v>
      </c>
      <c r="L321" s="78">
        <f t="shared" si="24"/>
        <v>0.17300000000000182</v>
      </c>
    </row>
    <row r="322" spans="2:12" s="162" customFormat="1" outlineLevel="1">
      <c r="B322" s="113">
        <v>35795</v>
      </c>
      <c r="C322" s="69">
        <v>5.8257142857142856</v>
      </c>
      <c r="D322" s="69">
        <v>6.13904761904762</v>
      </c>
      <c r="G322" s="77">
        <f t="shared" si="25"/>
        <v>5.8257142857142856</v>
      </c>
      <c r="H322" s="77">
        <f t="shared" si="26"/>
        <v>6.13904761904762</v>
      </c>
      <c r="I322" s="77">
        <f t="shared" si="27"/>
        <v>0.31333333333333435</v>
      </c>
      <c r="J322" s="78">
        <f t="shared" si="28"/>
        <v>9.9657142857142844</v>
      </c>
      <c r="K322" s="78">
        <f t="shared" si="29"/>
        <v>10.141047619047619</v>
      </c>
      <c r="L322" s="78">
        <f t="shared" si="24"/>
        <v>0.17533333333333445</v>
      </c>
    </row>
    <row r="323" spans="2:12" s="162" customFormat="1" outlineLevel="1">
      <c r="B323" s="113">
        <v>35826</v>
      </c>
      <c r="C323" s="69">
        <v>5.5055000000000005</v>
      </c>
      <c r="D323" s="69">
        <v>5.8060000000000009</v>
      </c>
      <c r="G323" s="77">
        <f t="shared" si="25"/>
        <v>5.5055000000000005</v>
      </c>
      <c r="H323" s="77">
        <f t="shared" si="26"/>
        <v>5.8060000000000009</v>
      </c>
      <c r="I323" s="77">
        <f t="shared" si="27"/>
        <v>0.30050000000000043</v>
      </c>
      <c r="J323" s="78">
        <f t="shared" si="28"/>
        <v>9.6455000000000002</v>
      </c>
      <c r="K323" s="78">
        <f t="shared" si="29"/>
        <v>9.8079999999999998</v>
      </c>
      <c r="L323" s="78">
        <f t="shared" si="24"/>
        <v>0.16249999999999964</v>
      </c>
    </row>
    <row r="324" spans="2:12" s="162" customFormat="1" outlineLevel="1">
      <c r="B324" s="113">
        <v>35854</v>
      </c>
      <c r="C324" s="69">
        <v>5.5329999999999995</v>
      </c>
      <c r="D324" s="69">
        <v>5.8870000000000005</v>
      </c>
      <c r="G324" s="77">
        <f t="shared" si="25"/>
        <v>5.5329999999999995</v>
      </c>
      <c r="H324" s="77">
        <f t="shared" si="26"/>
        <v>5.8870000000000005</v>
      </c>
      <c r="I324" s="77">
        <f t="shared" si="27"/>
        <v>0.35400000000000098</v>
      </c>
      <c r="J324" s="78">
        <f t="shared" si="28"/>
        <v>9.6729999999999983</v>
      </c>
      <c r="K324" s="78">
        <f t="shared" si="29"/>
        <v>9.8889999999999993</v>
      </c>
      <c r="L324" s="78">
        <f t="shared" si="24"/>
        <v>0.21600000000000108</v>
      </c>
    </row>
    <row r="325" spans="2:12" s="162" customFormat="1" outlineLevel="1">
      <c r="B325" s="113">
        <v>35885</v>
      </c>
      <c r="C325" s="69">
        <v>5.4877272727272732</v>
      </c>
      <c r="D325" s="69">
        <v>5.8650000000000002</v>
      </c>
      <c r="G325" s="77">
        <f t="shared" si="25"/>
        <v>5.4877272727272732</v>
      </c>
      <c r="H325" s="77">
        <f t="shared" si="26"/>
        <v>5.8650000000000002</v>
      </c>
      <c r="I325" s="77">
        <f t="shared" si="27"/>
        <v>0.37727272727272698</v>
      </c>
      <c r="J325" s="78">
        <f t="shared" si="28"/>
        <v>9.6277272727272738</v>
      </c>
      <c r="K325" s="78">
        <f t="shared" si="29"/>
        <v>9.8670000000000009</v>
      </c>
      <c r="L325" s="78">
        <f t="shared" si="24"/>
        <v>0.23927272727272708</v>
      </c>
    </row>
    <row r="326" spans="2:12" s="162" customFormat="1" outlineLevel="1">
      <c r="B326" s="113">
        <v>35915</v>
      </c>
      <c r="C326" s="69">
        <v>5.3150000000000004</v>
      </c>
      <c r="D326" s="69">
        <v>5.6849999999999996</v>
      </c>
      <c r="G326" s="77">
        <f t="shared" si="25"/>
        <v>5.3150000000000004</v>
      </c>
      <c r="H326" s="77">
        <f t="shared" si="26"/>
        <v>5.6849999999999996</v>
      </c>
      <c r="I326" s="77">
        <f t="shared" si="27"/>
        <v>0.36999999999999922</v>
      </c>
      <c r="J326" s="78">
        <f t="shared" si="28"/>
        <v>9.4550000000000001</v>
      </c>
      <c r="K326" s="78">
        <f t="shared" si="29"/>
        <v>9.6869999999999994</v>
      </c>
      <c r="L326" s="78">
        <f t="shared" si="24"/>
        <v>0.23199999999999932</v>
      </c>
    </row>
    <row r="327" spans="2:12" s="162" customFormat="1" outlineLevel="1">
      <c r="B327" s="113">
        <v>35946</v>
      </c>
      <c r="C327" s="69">
        <v>5.3119047619047608</v>
      </c>
      <c r="D327" s="69">
        <v>5.6390476190476191</v>
      </c>
      <c r="G327" s="77">
        <f t="shared" si="25"/>
        <v>5.3119047619047608</v>
      </c>
      <c r="H327" s="77">
        <f t="shared" si="26"/>
        <v>5.6390476190476191</v>
      </c>
      <c r="I327" s="77">
        <f t="shared" si="27"/>
        <v>0.32714285714285829</v>
      </c>
      <c r="J327" s="78">
        <f t="shared" si="28"/>
        <v>9.4519047619047605</v>
      </c>
      <c r="K327" s="78">
        <f t="shared" si="29"/>
        <v>9.6410476190476189</v>
      </c>
      <c r="L327" s="78">
        <f t="shared" si="24"/>
        <v>0.18914285714285839</v>
      </c>
    </row>
    <row r="328" spans="2:12" s="162" customFormat="1" outlineLevel="1">
      <c r="B328" s="113">
        <v>35976</v>
      </c>
      <c r="C328" s="69">
        <v>5.4066666666666672</v>
      </c>
      <c r="D328" s="69">
        <v>5.5761904761904759</v>
      </c>
      <c r="G328" s="77">
        <f t="shared" si="25"/>
        <v>5.4066666666666672</v>
      </c>
      <c r="H328" s="77">
        <f t="shared" si="26"/>
        <v>5.5761904761904759</v>
      </c>
      <c r="I328" s="77">
        <f t="shared" si="27"/>
        <v>0.16952380952380874</v>
      </c>
      <c r="J328" s="78">
        <f t="shared" si="28"/>
        <v>9.5466666666666669</v>
      </c>
      <c r="K328" s="78">
        <f t="shared" si="29"/>
        <v>9.5781904761904748</v>
      </c>
      <c r="L328" s="78">
        <f t="shared" si="24"/>
        <v>3.1523809523807955E-2</v>
      </c>
    </row>
    <row r="329" spans="2:12" s="162" customFormat="1" outlineLevel="1">
      <c r="B329" s="113">
        <v>36007</v>
      </c>
      <c r="C329" s="69">
        <v>5.3460869565217388</v>
      </c>
      <c r="D329" s="69">
        <v>5.5213043478260877</v>
      </c>
      <c r="G329" s="77">
        <f t="shared" si="25"/>
        <v>5.3460869565217388</v>
      </c>
      <c r="H329" s="77">
        <f t="shared" si="26"/>
        <v>5.5213043478260877</v>
      </c>
      <c r="I329" s="77">
        <f t="shared" si="27"/>
        <v>0.17521739130434888</v>
      </c>
      <c r="J329" s="78">
        <f t="shared" si="28"/>
        <v>9.4860869565217385</v>
      </c>
      <c r="K329" s="78">
        <f t="shared" si="29"/>
        <v>9.5233043478260875</v>
      </c>
      <c r="L329" s="78">
        <f t="shared" si="24"/>
        <v>3.7217391304348979E-2</v>
      </c>
    </row>
    <row r="330" spans="2:12" s="162" customFormat="1" outlineLevel="1">
      <c r="B330" s="113">
        <v>36038</v>
      </c>
      <c r="C330" s="69">
        <v>5.48</v>
      </c>
      <c r="D330" s="69">
        <v>5.6385714285714288</v>
      </c>
      <c r="G330" s="77">
        <f t="shared" si="25"/>
        <v>5.48</v>
      </c>
      <c r="H330" s="77">
        <f t="shared" si="26"/>
        <v>5.6385714285714288</v>
      </c>
      <c r="I330" s="77">
        <f t="shared" si="27"/>
        <v>0.15857142857142836</v>
      </c>
      <c r="J330" s="78">
        <f t="shared" si="28"/>
        <v>9.620000000000001</v>
      </c>
      <c r="K330" s="78">
        <f t="shared" si="29"/>
        <v>9.6405714285714286</v>
      </c>
      <c r="L330" s="78">
        <f t="shared" si="24"/>
        <v>2.0571428571427575E-2</v>
      </c>
    </row>
    <row r="331" spans="2:12" s="162" customFormat="1" outlineLevel="1">
      <c r="B331" s="113">
        <v>36068</v>
      </c>
      <c r="C331" s="69">
        <v>5.13</v>
      </c>
      <c r="D331" s="69">
        <v>5.3459090909090907</v>
      </c>
      <c r="G331" s="77">
        <f t="shared" si="25"/>
        <v>5.13</v>
      </c>
      <c r="H331" s="77">
        <f t="shared" si="26"/>
        <v>5.3459090909090907</v>
      </c>
      <c r="I331" s="77">
        <f t="shared" si="27"/>
        <v>0.21590909090909083</v>
      </c>
      <c r="J331" s="78">
        <f t="shared" si="28"/>
        <v>9.27</v>
      </c>
      <c r="K331" s="78">
        <f t="shared" si="29"/>
        <v>9.3479090909090914</v>
      </c>
      <c r="L331" s="78">
        <f t="shared" ref="L331:L394" si="30">K331-J331</f>
        <v>7.7909090909091816E-2</v>
      </c>
    </row>
    <row r="332" spans="2:12" s="162" customFormat="1" outlineLevel="1">
      <c r="B332" s="113">
        <v>36099</v>
      </c>
      <c r="C332" s="69">
        <v>4.6281818181818188</v>
      </c>
      <c r="D332" s="69">
        <v>4.9659090909090917</v>
      </c>
      <c r="G332" s="77">
        <f t="shared" ref="G332:G395" si="31">IF(C332="",E332,C332)</f>
        <v>4.6281818181818188</v>
      </c>
      <c r="H332" s="77">
        <f t="shared" ref="H332:H395" si="32">IF(D332="",F332,D332)</f>
        <v>4.9659090909090917</v>
      </c>
      <c r="I332" s="77">
        <f t="shared" ref="I332:I395" si="33">H332-G332</f>
        <v>0.33772727272727288</v>
      </c>
      <c r="J332" s="78">
        <f t="shared" ref="J332:J395" si="34">G332  +  0.6  *  6.9</f>
        <v>8.7681818181818194</v>
      </c>
      <c r="K332" s="78">
        <f t="shared" ref="K332:K395" si="35">H332  +  0.6  *  6.67</f>
        <v>8.9679090909090924</v>
      </c>
      <c r="L332" s="78">
        <f t="shared" si="30"/>
        <v>0.19972727272727298</v>
      </c>
    </row>
    <row r="333" spans="2:12" s="162" customFormat="1" outlineLevel="1">
      <c r="B333" s="113">
        <v>36129</v>
      </c>
      <c r="C333" s="69">
        <v>4.8266666666666662</v>
      </c>
      <c r="D333" s="69">
        <v>5.1309523809523805</v>
      </c>
      <c r="G333" s="77">
        <f t="shared" si="31"/>
        <v>4.8266666666666662</v>
      </c>
      <c r="H333" s="77">
        <f t="shared" si="32"/>
        <v>5.1309523809523805</v>
      </c>
      <c r="I333" s="77">
        <f t="shared" si="33"/>
        <v>0.30428571428571427</v>
      </c>
      <c r="J333" s="78">
        <f t="shared" si="34"/>
        <v>8.966666666666665</v>
      </c>
      <c r="K333" s="78">
        <f t="shared" si="35"/>
        <v>9.1329523809523803</v>
      </c>
      <c r="L333" s="78">
        <f t="shared" si="30"/>
        <v>0.16628571428571526</v>
      </c>
    </row>
    <row r="334" spans="2:12" s="162" customFormat="1" outlineLevel="1">
      <c r="B334" s="113">
        <v>36160</v>
      </c>
      <c r="C334" s="69">
        <v>4.6104761904761906</v>
      </c>
      <c r="D334" s="69">
        <v>4.8547619047619053</v>
      </c>
      <c r="G334" s="77">
        <f t="shared" si="31"/>
        <v>4.6104761904761906</v>
      </c>
      <c r="H334" s="77">
        <f t="shared" si="32"/>
        <v>4.8547619047619053</v>
      </c>
      <c r="I334" s="77">
        <f t="shared" si="33"/>
        <v>0.24428571428571466</v>
      </c>
      <c r="J334" s="78">
        <f t="shared" si="34"/>
        <v>8.7504761904761903</v>
      </c>
      <c r="K334" s="78">
        <f t="shared" si="35"/>
        <v>8.8567619047619051</v>
      </c>
      <c r="L334" s="78">
        <f t="shared" si="30"/>
        <v>0.10628571428571476</v>
      </c>
    </row>
    <row r="335" spans="2:12" s="162" customFormat="1" outlineLevel="1">
      <c r="B335" s="113">
        <v>36191</v>
      </c>
      <c r="C335" s="69">
        <v>4.9147368421052633</v>
      </c>
      <c r="D335" s="69">
        <v>5.1278947368421059</v>
      </c>
      <c r="G335" s="77">
        <f t="shared" si="31"/>
        <v>4.9147368421052633</v>
      </c>
      <c r="H335" s="77">
        <f t="shared" si="32"/>
        <v>5.1278947368421059</v>
      </c>
      <c r="I335" s="77">
        <f t="shared" si="33"/>
        <v>0.21315789473684266</v>
      </c>
      <c r="J335" s="78">
        <f t="shared" si="34"/>
        <v>9.0547368421052639</v>
      </c>
      <c r="K335" s="78">
        <f t="shared" si="35"/>
        <v>9.1298947368421057</v>
      </c>
      <c r="L335" s="78">
        <f t="shared" si="30"/>
        <v>7.5157894736841868E-2</v>
      </c>
    </row>
    <row r="336" spans="2:12" s="162" customFormat="1" outlineLevel="1">
      <c r="B336" s="113">
        <v>36219</v>
      </c>
      <c r="C336" s="69">
        <v>5.0594999999999999</v>
      </c>
      <c r="D336" s="69">
        <v>5.3</v>
      </c>
      <c r="G336" s="77">
        <f t="shared" si="31"/>
        <v>5.0594999999999999</v>
      </c>
      <c r="H336" s="77">
        <f t="shared" si="32"/>
        <v>5.3</v>
      </c>
      <c r="I336" s="77">
        <f t="shared" si="33"/>
        <v>0.24049999999999994</v>
      </c>
      <c r="J336" s="78">
        <f t="shared" si="34"/>
        <v>9.1995000000000005</v>
      </c>
      <c r="K336" s="78">
        <f t="shared" si="35"/>
        <v>9.3019999999999996</v>
      </c>
      <c r="L336" s="78">
        <f t="shared" si="30"/>
        <v>0.10249999999999915</v>
      </c>
    </row>
    <row r="337" spans="2:12" s="162" customFormat="1" outlineLevel="1">
      <c r="B337" s="113">
        <v>36250</v>
      </c>
      <c r="C337" s="69">
        <v>5.2408695652173902</v>
      </c>
      <c r="D337" s="69">
        <v>5.5265217391304349</v>
      </c>
      <c r="G337" s="77">
        <f t="shared" si="31"/>
        <v>5.2408695652173902</v>
      </c>
      <c r="H337" s="77">
        <f t="shared" si="32"/>
        <v>5.5265217391304349</v>
      </c>
      <c r="I337" s="77">
        <f t="shared" si="33"/>
        <v>0.28565217391304465</v>
      </c>
      <c r="J337" s="78">
        <f t="shared" si="34"/>
        <v>9.3808695652173899</v>
      </c>
      <c r="K337" s="78">
        <f t="shared" si="35"/>
        <v>9.5285217391304347</v>
      </c>
      <c r="L337" s="78">
        <f t="shared" si="30"/>
        <v>0.14765217391304475</v>
      </c>
    </row>
    <row r="338" spans="2:12" s="162" customFormat="1" outlineLevel="1">
      <c r="B338" s="113">
        <v>36280</v>
      </c>
      <c r="C338" s="69">
        <v>5.0425000000000004</v>
      </c>
      <c r="D338" s="69">
        <v>5.3574999999999999</v>
      </c>
      <c r="G338" s="77">
        <f t="shared" si="31"/>
        <v>5.0425000000000004</v>
      </c>
      <c r="H338" s="77">
        <f t="shared" si="32"/>
        <v>5.3574999999999999</v>
      </c>
      <c r="I338" s="77">
        <f t="shared" si="33"/>
        <v>0.3149999999999995</v>
      </c>
      <c r="J338" s="78">
        <f t="shared" si="34"/>
        <v>9.182500000000001</v>
      </c>
      <c r="K338" s="78">
        <f t="shared" si="35"/>
        <v>9.3595000000000006</v>
      </c>
      <c r="L338" s="78">
        <f t="shared" si="30"/>
        <v>0.1769999999999996</v>
      </c>
    </row>
    <row r="339" spans="2:12" s="162" customFormat="1" outlineLevel="1">
      <c r="B339" s="113">
        <v>36311</v>
      </c>
      <c r="C339" s="69">
        <v>5.5757142857142856</v>
      </c>
      <c r="D339" s="69">
        <v>5.8757142857142854</v>
      </c>
      <c r="G339" s="77">
        <f t="shared" si="31"/>
        <v>5.5757142857142856</v>
      </c>
      <c r="H339" s="77">
        <f t="shared" si="32"/>
        <v>5.8757142857142854</v>
      </c>
      <c r="I339" s="77">
        <f t="shared" si="33"/>
        <v>0.29999999999999982</v>
      </c>
      <c r="J339" s="78">
        <f t="shared" si="34"/>
        <v>9.7157142857142844</v>
      </c>
      <c r="K339" s="78">
        <f t="shared" si="35"/>
        <v>9.8777142857142852</v>
      </c>
      <c r="L339" s="78">
        <f t="shared" si="30"/>
        <v>0.16200000000000081</v>
      </c>
    </row>
    <row r="340" spans="2:12" s="162" customFormat="1" outlineLevel="1">
      <c r="B340" s="113">
        <v>36341</v>
      </c>
      <c r="C340" s="69">
        <v>5.8357142857142872</v>
      </c>
      <c r="D340" s="69">
        <v>6.206666666666667</v>
      </c>
      <c r="G340" s="77">
        <f t="shared" si="31"/>
        <v>5.8357142857142872</v>
      </c>
      <c r="H340" s="77">
        <f t="shared" si="32"/>
        <v>6.206666666666667</v>
      </c>
      <c r="I340" s="77">
        <f t="shared" si="33"/>
        <v>0.37095238095237981</v>
      </c>
      <c r="J340" s="78">
        <f t="shared" si="34"/>
        <v>9.975714285714286</v>
      </c>
      <c r="K340" s="78">
        <f t="shared" si="35"/>
        <v>10.208666666666666</v>
      </c>
      <c r="L340" s="78">
        <f t="shared" si="30"/>
        <v>0.23295238095237991</v>
      </c>
    </row>
    <row r="341" spans="2:12" s="162" customFormat="1" outlineLevel="1">
      <c r="B341" s="113">
        <v>36372</v>
      </c>
      <c r="C341" s="69">
        <v>5.7631818181818177</v>
      </c>
      <c r="D341" s="69">
        <v>6.1359090909090916</v>
      </c>
      <c r="G341" s="77">
        <f t="shared" si="31"/>
        <v>5.7631818181818177</v>
      </c>
      <c r="H341" s="77">
        <f t="shared" si="32"/>
        <v>6.1359090909090916</v>
      </c>
      <c r="I341" s="77">
        <f t="shared" si="33"/>
        <v>0.37272727272727391</v>
      </c>
      <c r="J341" s="78">
        <f t="shared" si="34"/>
        <v>9.9031818181818174</v>
      </c>
      <c r="K341" s="78">
        <f t="shared" si="35"/>
        <v>10.137909090909091</v>
      </c>
      <c r="L341" s="78">
        <f t="shared" si="30"/>
        <v>0.23472727272727312</v>
      </c>
    </row>
    <row r="342" spans="2:12" s="162" customFormat="1" outlineLevel="1">
      <c r="B342" s="113">
        <v>36403</v>
      </c>
      <c r="C342" s="69">
        <v>5.9409090909090905</v>
      </c>
      <c r="D342" s="69">
        <v>6.34</v>
      </c>
      <c r="G342" s="77">
        <f t="shared" si="31"/>
        <v>5.9409090909090905</v>
      </c>
      <c r="H342" s="77">
        <f t="shared" si="32"/>
        <v>6.34</v>
      </c>
      <c r="I342" s="77">
        <f t="shared" si="33"/>
        <v>0.39909090909090938</v>
      </c>
      <c r="J342" s="78">
        <f t="shared" si="34"/>
        <v>10.08090909090909</v>
      </c>
      <c r="K342" s="78">
        <f t="shared" si="35"/>
        <v>10.341999999999999</v>
      </c>
      <c r="L342" s="78">
        <f t="shared" si="30"/>
        <v>0.2610909090909086</v>
      </c>
    </row>
    <row r="343" spans="2:12" s="162" customFormat="1" outlineLevel="1">
      <c r="B343" s="113">
        <v>36433</v>
      </c>
      <c r="C343" s="69">
        <v>5.9981818181818172</v>
      </c>
      <c r="D343" s="69">
        <v>6.3413636363636376</v>
      </c>
      <c r="G343" s="77">
        <f t="shared" si="31"/>
        <v>5.9981818181818172</v>
      </c>
      <c r="H343" s="77">
        <f t="shared" si="32"/>
        <v>6.3413636363636376</v>
      </c>
      <c r="I343" s="77">
        <f t="shared" si="33"/>
        <v>0.34318181818182047</v>
      </c>
      <c r="J343" s="78">
        <f t="shared" si="34"/>
        <v>10.138181818181817</v>
      </c>
      <c r="K343" s="78">
        <f t="shared" si="35"/>
        <v>10.343363636363637</v>
      </c>
      <c r="L343" s="78">
        <f t="shared" si="30"/>
        <v>0.20518181818182057</v>
      </c>
    </row>
    <row r="344" spans="2:12" s="162" customFormat="1" outlineLevel="1">
      <c r="B344" s="113">
        <v>36464</v>
      </c>
      <c r="C344" s="69">
        <v>6.2857142857142856</v>
      </c>
      <c r="D344" s="69">
        <v>6.6066666666666674</v>
      </c>
      <c r="G344" s="77">
        <f t="shared" si="31"/>
        <v>6.2857142857142856</v>
      </c>
      <c r="H344" s="77">
        <f t="shared" si="32"/>
        <v>6.6066666666666674</v>
      </c>
      <c r="I344" s="77">
        <f t="shared" si="33"/>
        <v>0.32095238095238177</v>
      </c>
      <c r="J344" s="78">
        <f t="shared" si="34"/>
        <v>10.425714285714285</v>
      </c>
      <c r="K344" s="78">
        <f t="shared" si="35"/>
        <v>10.608666666666668</v>
      </c>
      <c r="L344" s="78">
        <f t="shared" si="30"/>
        <v>0.18295238095238275</v>
      </c>
    </row>
    <row r="345" spans="2:12" s="162" customFormat="1" outlineLevel="1">
      <c r="B345" s="113">
        <v>36494</v>
      </c>
      <c r="C345" s="69">
        <v>6.3113636363636365</v>
      </c>
      <c r="D345" s="69">
        <v>6.5563636363636366</v>
      </c>
      <c r="G345" s="77">
        <f t="shared" si="31"/>
        <v>6.3113636363636365</v>
      </c>
      <c r="H345" s="77">
        <f t="shared" si="32"/>
        <v>6.5563636363636366</v>
      </c>
      <c r="I345" s="77">
        <f t="shared" si="33"/>
        <v>0.24500000000000011</v>
      </c>
      <c r="J345" s="78">
        <f t="shared" si="34"/>
        <v>10.451363636363636</v>
      </c>
      <c r="K345" s="78">
        <f t="shared" si="35"/>
        <v>10.558363636363637</v>
      </c>
      <c r="L345" s="78">
        <f t="shared" si="30"/>
        <v>0.10700000000000109</v>
      </c>
    </row>
    <row r="346" spans="2:12" s="162" customFormat="1" outlineLevel="1">
      <c r="B346" s="113">
        <v>36525</v>
      </c>
      <c r="C346" s="69">
        <v>6.4880952380952381</v>
      </c>
      <c r="D346" s="69">
        <v>6.7371428571428584</v>
      </c>
      <c r="G346" s="77">
        <f t="shared" si="31"/>
        <v>6.4880952380952381</v>
      </c>
      <c r="H346" s="77">
        <f t="shared" si="32"/>
        <v>6.7371428571428584</v>
      </c>
      <c r="I346" s="77">
        <f t="shared" si="33"/>
        <v>0.24904761904762029</v>
      </c>
      <c r="J346" s="78">
        <f t="shared" si="34"/>
        <v>10.628095238095238</v>
      </c>
      <c r="K346" s="78">
        <f t="shared" si="35"/>
        <v>10.739142857142859</v>
      </c>
      <c r="L346" s="78">
        <f t="shared" si="30"/>
        <v>0.11104761904762128</v>
      </c>
    </row>
    <row r="347" spans="2:12" s="162" customFormat="1" outlineLevel="1">
      <c r="B347" s="113">
        <v>36556</v>
      </c>
      <c r="C347" s="69">
        <v>6.9942105263157899</v>
      </c>
      <c r="D347" s="69">
        <v>7.1778947368421049</v>
      </c>
      <c r="G347" s="77">
        <f t="shared" si="31"/>
        <v>6.9942105263157899</v>
      </c>
      <c r="H347" s="77">
        <f t="shared" si="32"/>
        <v>7.1778947368421049</v>
      </c>
      <c r="I347" s="77">
        <f t="shared" si="33"/>
        <v>0.18368421052631501</v>
      </c>
      <c r="J347" s="78">
        <f t="shared" si="34"/>
        <v>11.13421052631579</v>
      </c>
      <c r="K347" s="78">
        <f t="shared" si="35"/>
        <v>11.179894736842105</v>
      </c>
      <c r="L347" s="78">
        <f t="shared" si="30"/>
        <v>4.5684210526314217E-2</v>
      </c>
    </row>
    <row r="348" spans="2:12" s="162" customFormat="1" outlineLevel="1">
      <c r="B348" s="113">
        <v>36585</v>
      </c>
      <c r="C348" s="69">
        <v>6.8995238095238092</v>
      </c>
      <c r="D348" s="69">
        <v>6.9576190476190485</v>
      </c>
      <c r="G348" s="77">
        <f t="shared" si="31"/>
        <v>6.8995238095238092</v>
      </c>
      <c r="H348" s="77">
        <f t="shared" si="32"/>
        <v>6.9576190476190485</v>
      </c>
      <c r="I348" s="77">
        <f t="shared" si="33"/>
        <v>5.809523809523931E-2</v>
      </c>
      <c r="J348" s="78">
        <f t="shared" si="34"/>
        <v>11.039523809523809</v>
      </c>
      <c r="K348" s="78">
        <f t="shared" si="35"/>
        <v>10.959619047619048</v>
      </c>
      <c r="L348" s="78">
        <f t="shared" si="30"/>
        <v>-7.9904761904760591E-2</v>
      </c>
    </row>
    <row r="349" spans="2:12" s="162" customFormat="1" outlineLevel="1">
      <c r="B349" s="113">
        <v>36616</v>
      </c>
      <c r="C349" s="69">
        <v>6.5647826086956522</v>
      </c>
      <c r="D349" s="69">
        <v>6.5704347826086957</v>
      </c>
      <c r="G349" s="77">
        <f t="shared" si="31"/>
        <v>6.5647826086956522</v>
      </c>
      <c r="H349" s="77">
        <f t="shared" si="32"/>
        <v>6.5704347826086957</v>
      </c>
      <c r="I349" s="77">
        <f t="shared" si="33"/>
        <v>5.6521739130435122E-3</v>
      </c>
      <c r="J349" s="78">
        <f t="shared" si="34"/>
        <v>10.704782608695652</v>
      </c>
      <c r="K349" s="78">
        <f t="shared" si="35"/>
        <v>10.572434782608696</v>
      </c>
      <c r="L349" s="78">
        <f t="shared" si="30"/>
        <v>-0.13234782608695639</v>
      </c>
    </row>
    <row r="350" spans="2:12" s="162" customFormat="1" outlineLevel="1">
      <c r="B350" s="113">
        <v>36646</v>
      </c>
      <c r="C350" s="69">
        <v>6.2970588235294125</v>
      </c>
      <c r="D350" s="69">
        <v>6.2647058823529411</v>
      </c>
      <c r="G350" s="77">
        <f t="shared" si="31"/>
        <v>6.2970588235294125</v>
      </c>
      <c r="H350" s="77">
        <f t="shared" si="32"/>
        <v>6.2647058823529411</v>
      </c>
      <c r="I350" s="77">
        <f t="shared" si="33"/>
        <v>-3.2352941176471361E-2</v>
      </c>
      <c r="J350" s="78">
        <f t="shared" si="34"/>
        <v>10.437058823529412</v>
      </c>
      <c r="K350" s="78">
        <f t="shared" si="35"/>
        <v>10.266705882352941</v>
      </c>
      <c r="L350" s="78">
        <f t="shared" si="30"/>
        <v>-0.17035294117647126</v>
      </c>
    </row>
    <row r="351" spans="2:12" s="162" customFormat="1" outlineLevel="1">
      <c r="B351" s="113">
        <v>36677</v>
      </c>
      <c r="C351" s="69">
        <v>6.446956521739132</v>
      </c>
      <c r="D351" s="69">
        <v>6.4656521739130435</v>
      </c>
      <c r="G351" s="77">
        <f t="shared" si="31"/>
        <v>6.446956521739132</v>
      </c>
      <c r="H351" s="77">
        <f t="shared" si="32"/>
        <v>6.4656521739130435</v>
      </c>
      <c r="I351" s="77">
        <f t="shared" si="33"/>
        <v>1.8695652173911448E-2</v>
      </c>
      <c r="J351" s="78">
        <f t="shared" si="34"/>
        <v>10.586956521739133</v>
      </c>
      <c r="K351" s="78">
        <f t="shared" si="35"/>
        <v>10.467652173913043</v>
      </c>
      <c r="L351" s="78">
        <f t="shared" si="30"/>
        <v>-0.11930434782608934</v>
      </c>
    </row>
    <row r="352" spans="2:12" s="162" customFormat="1" outlineLevel="1">
      <c r="B352" s="113">
        <v>36707</v>
      </c>
      <c r="C352" s="69">
        <v>6.1028571428571423</v>
      </c>
      <c r="D352" s="69">
        <v>6.1723809523809523</v>
      </c>
      <c r="G352" s="77">
        <f t="shared" si="31"/>
        <v>6.1028571428571423</v>
      </c>
      <c r="H352" s="77">
        <f t="shared" si="32"/>
        <v>6.1723809523809523</v>
      </c>
      <c r="I352" s="77">
        <f t="shared" si="33"/>
        <v>6.9523809523809987E-2</v>
      </c>
      <c r="J352" s="78">
        <f t="shared" si="34"/>
        <v>10.242857142857142</v>
      </c>
      <c r="K352" s="78">
        <f t="shared" si="35"/>
        <v>10.174380952380952</v>
      </c>
      <c r="L352" s="78">
        <f t="shared" si="30"/>
        <v>-6.8476190476189913E-2</v>
      </c>
    </row>
    <row r="353" spans="2:12" s="162" customFormat="1" outlineLevel="1">
      <c r="B353" s="113">
        <v>36738</v>
      </c>
      <c r="C353" s="69">
        <v>6.0652380952380947</v>
      </c>
      <c r="D353" s="69">
        <v>6.1619047619047631</v>
      </c>
      <c r="G353" s="77">
        <f t="shared" si="31"/>
        <v>6.0652380952380947</v>
      </c>
      <c r="H353" s="77">
        <f t="shared" si="32"/>
        <v>6.1619047619047631</v>
      </c>
      <c r="I353" s="77">
        <f t="shared" si="33"/>
        <v>9.6666666666668455E-2</v>
      </c>
      <c r="J353" s="78">
        <f t="shared" si="34"/>
        <v>10.205238095238094</v>
      </c>
      <c r="K353" s="78">
        <f t="shared" si="35"/>
        <v>10.163904761904764</v>
      </c>
      <c r="L353" s="78">
        <f t="shared" si="30"/>
        <v>-4.1333333333330557E-2</v>
      </c>
    </row>
    <row r="354" spans="2:12" s="162" customFormat="1" outlineLevel="1">
      <c r="B354" s="113">
        <v>36769</v>
      </c>
      <c r="C354" s="69">
        <v>6.2760869565217385</v>
      </c>
      <c r="D354" s="69">
        <v>6.227391304347826</v>
      </c>
      <c r="G354" s="77">
        <f t="shared" si="31"/>
        <v>6.2760869565217385</v>
      </c>
      <c r="H354" s="77">
        <f t="shared" si="32"/>
        <v>6.227391304347826</v>
      </c>
      <c r="I354" s="77">
        <f t="shared" si="33"/>
        <v>-4.8695652173912585E-2</v>
      </c>
      <c r="J354" s="78">
        <f t="shared" si="34"/>
        <v>10.416086956521738</v>
      </c>
      <c r="K354" s="78">
        <f t="shared" si="35"/>
        <v>10.229391304347825</v>
      </c>
      <c r="L354" s="78">
        <f t="shared" si="30"/>
        <v>-0.18669565217391337</v>
      </c>
    </row>
    <row r="355" spans="2:12" s="162" customFormat="1" outlineLevel="1">
      <c r="B355" s="113">
        <v>36799</v>
      </c>
      <c r="C355" s="69">
        <v>6.1783333333333337</v>
      </c>
      <c r="D355" s="69">
        <v>6.1361904761904755</v>
      </c>
      <c r="G355" s="77">
        <f t="shared" si="31"/>
        <v>6.1783333333333337</v>
      </c>
      <c r="H355" s="77">
        <f t="shared" si="32"/>
        <v>6.1361904761904755</v>
      </c>
      <c r="I355" s="77">
        <f t="shared" si="33"/>
        <v>-4.2142857142858148E-2</v>
      </c>
      <c r="J355" s="78">
        <f t="shared" si="34"/>
        <v>10.318333333333333</v>
      </c>
      <c r="K355" s="78">
        <f t="shared" si="35"/>
        <v>10.138190476190475</v>
      </c>
      <c r="L355" s="78">
        <f t="shared" si="30"/>
        <v>-0.18014285714285805</v>
      </c>
    </row>
    <row r="356" spans="2:12" s="162" customFormat="1" outlineLevel="1">
      <c r="B356" s="113">
        <v>36830</v>
      </c>
      <c r="C356" s="69">
        <v>6.0597727272727262</v>
      </c>
      <c r="D356" s="69">
        <v>6.1079545454545459</v>
      </c>
      <c r="G356" s="77">
        <f t="shared" si="31"/>
        <v>6.0597727272727262</v>
      </c>
      <c r="H356" s="77">
        <f t="shared" si="32"/>
        <v>6.1079545454545459</v>
      </c>
      <c r="I356" s="77">
        <f t="shared" si="33"/>
        <v>4.8181818181819658E-2</v>
      </c>
      <c r="J356" s="78">
        <f t="shared" si="34"/>
        <v>10.199772727272727</v>
      </c>
      <c r="K356" s="78">
        <f t="shared" si="35"/>
        <v>10.109954545454546</v>
      </c>
      <c r="L356" s="78">
        <f t="shared" si="30"/>
        <v>-8.9818181818181131E-2</v>
      </c>
    </row>
    <row r="357" spans="2:12" s="162" customFormat="1" outlineLevel="1">
      <c r="B357" s="113">
        <v>36860</v>
      </c>
      <c r="C357" s="69">
        <v>5.933863636363637</v>
      </c>
      <c r="D357" s="69">
        <v>5.9895454545454534</v>
      </c>
      <c r="G357" s="77">
        <f t="shared" si="31"/>
        <v>5.933863636363637</v>
      </c>
      <c r="H357" s="77">
        <f t="shared" si="32"/>
        <v>5.9895454545454534</v>
      </c>
      <c r="I357" s="77">
        <f t="shared" si="33"/>
        <v>5.5681818181816389E-2</v>
      </c>
      <c r="J357" s="78">
        <f t="shared" si="34"/>
        <v>10.073863636363637</v>
      </c>
      <c r="K357" s="78">
        <f t="shared" si="35"/>
        <v>9.9915454545454523</v>
      </c>
      <c r="L357" s="78">
        <f t="shared" si="30"/>
        <v>-8.2318181818184399E-2</v>
      </c>
    </row>
    <row r="358" spans="2:12" s="162" customFormat="1" outlineLevel="1">
      <c r="B358" s="113">
        <v>36891</v>
      </c>
      <c r="C358" s="69">
        <v>5.4371052631578936</v>
      </c>
      <c r="D358" s="69">
        <v>5.5431578947368418</v>
      </c>
      <c r="G358" s="77">
        <f t="shared" si="31"/>
        <v>5.4371052631578936</v>
      </c>
      <c r="H358" s="77">
        <f t="shared" si="32"/>
        <v>5.5431578947368418</v>
      </c>
      <c r="I358" s="77">
        <f t="shared" si="33"/>
        <v>0.10605263157894829</v>
      </c>
      <c r="J358" s="78">
        <f t="shared" si="34"/>
        <v>9.5771052631578932</v>
      </c>
      <c r="K358" s="78">
        <f t="shared" si="35"/>
        <v>9.5451578947368425</v>
      </c>
      <c r="L358" s="78">
        <f t="shared" si="30"/>
        <v>-3.1947368421050726E-2</v>
      </c>
    </row>
    <row r="359" spans="2:12" s="162" customFormat="1" outlineLevel="1">
      <c r="B359" s="113">
        <v>36922</v>
      </c>
      <c r="C359" s="69">
        <v>5.1516666666666655</v>
      </c>
      <c r="D359" s="69">
        <v>5.4054761904761905</v>
      </c>
      <c r="G359" s="77">
        <f t="shared" si="31"/>
        <v>5.1516666666666655</v>
      </c>
      <c r="H359" s="77">
        <f t="shared" si="32"/>
        <v>5.4054761904761905</v>
      </c>
      <c r="I359" s="77">
        <f t="shared" si="33"/>
        <v>0.25380952380952504</v>
      </c>
      <c r="J359" s="78">
        <f t="shared" si="34"/>
        <v>9.2916666666666643</v>
      </c>
      <c r="K359" s="78">
        <f t="shared" si="35"/>
        <v>9.4074761904761903</v>
      </c>
      <c r="L359" s="78">
        <f t="shared" si="30"/>
        <v>0.11580952380952603</v>
      </c>
    </row>
    <row r="360" spans="2:12" s="162" customFormat="1" outlineLevel="1">
      <c r="B360" s="113">
        <v>36950</v>
      </c>
      <c r="C360" s="69">
        <v>5.0547500000000003</v>
      </c>
      <c r="D360" s="69">
        <v>5.32125</v>
      </c>
      <c r="G360" s="77">
        <f t="shared" si="31"/>
        <v>5.0547500000000003</v>
      </c>
      <c r="H360" s="77">
        <f t="shared" si="32"/>
        <v>5.32125</v>
      </c>
      <c r="I360" s="77">
        <f t="shared" si="33"/>
        <v>0.26649999999999974</v>
      </c>
      <c r="J360" s="78">
        <f t="shared" si="34"/>
        <v>9.1947499999999991</v>
      </c>
      <c r="K360" s="78">
        <f t="shared" si="35"/>
        <v>9.3232499999999998</v>
      </c>
      <c r="L360" s="78">
        <f t="shared" si="30"/>
        <v>0.12850000000000072</v>
      </c>
    </row>
    <row r="361" spans="2:12" s="162" customFormat="1" outlineLevel="1">
      <c r="B361" s="113">
        <v>36981</v>
      </c>
      <c r="C361" s="69">
        <v>4.8015909090909092</v>
      </c>
      <c r="D361" s="69">
        <v>5.1306818181818192</v>
      </c>
      <c r="G361" s="77">
        <f t="shared" si="31"/>
        <v>4.8015909090909092</v>
      </c>
      <c r="H361" s="77">
        <f t="shared" si="32"/>
        <v>5.1306818181818192</v>
      </c>
      <c r="I361" s="77">
        <f t="shared" si="33"/>
        <v>0.32909090909090999</v>
      </c>
      <c r="J361" s="78">
        <f t="shared" si="34"/>
        <v>8.9415909090909089</v>
      </c>
      <c r="K361" s="78">
        <f t="shared" si="35"/>
        <v>9.132681818181819</v>
      </c>
      <c r="L361" s="78">
        <f t="shared" si="30"/>
        <v>0.19109090909091009</v>
      </c>
    </row>
    <row r="362" spans="2:12" s="162" customFormat="1" outlineLevel="1">
      <c r="B362" s="113">
        <v>37011</v>
      </c>
      <c r="C362" s="69">
        <v>5.1613888888888901</v>
      </c>
      <c r="D362" s="69">
        <v>5.5772222222222227</v>
      </c>
      <c r="G362" s="77">
        <f t="shared" si="31"/>
        <v>5.1613888888888901</v>
      </c>
      <c r="H362" s="77">
        <f t="shared" si="32"/>
        <v>5.5772222222222227</v>
      </c>
      <c r="I362" s="77">
        <f t="shared" si="33"/>
        <v>0.41583333333333261</v>
      </c>
      <c r="J362" s="78">
        <f t="shared" si="34"/>
        <v>9.3013888888888907</v>
      </c>
      <c r="K362" s="78">
        <f t="shared" si="35"/>
        <v>9.5792222222222225</v>
      </c>
      <c r="L362" s="78">
        <f t="shared" si="30"/>
        <v>0.27783333333333182</v>
      </c>
    </row>
    <row r="363" spans="2:12" s="162" customFormat="1" outlineLevel="1">
      <c r="B363" s="113">
        <v>37042</v>
      </c>
      <c r="C363" s="69">
        <v>5.5047826086956526</v>
      </c>
      <c r="D363" s="69">
        <v>5.9434782608695658</v>
      </c>
      <c r="G363" s="77">
        <f t="shared" si="31"/>
        <v>5.5047826086956526</v>
      </c>
      <c r="H363" s="77">
        <f t="shared" si="32"/>
        <v>5.9434782608695658</v>
      </c>
      <c r="I363" s="77">
        <f t="shared" si="33"/>
        <v>0.43869565217391315</v>
      </c>
      <c r="J363" s="78">
        <f t="shared" si="34"/>
        <v>9.6447826086956532</v>
      </c>
      <c r="K363" s="78">
        <f t="shared" si="35"/>
        <v>9.9454782608695655</v>
      </c>
      <c r="L363" s="78">
        <f t="shared" si="30"/>
        <v>0.30069565217391236</v>
      </c>
    </row>
    <row r="364" spans="2:12" s="162" customFormat="1" outlineLevel="1">
      <c r="B364" s="113">
        <v>37072</v>
      </c>
      <c r="C364" s="69">
        <v>5.5855000000000006</v>
      </c>
      <c r="D364" s="69">
        <v>5.8967499999999999</v>
      </c>
      <c r="G364" s="77">
        <f t="shared" si="31"/>
        <v>5.5855000000000006</v>
      </c>
      <c r="H364" s="77">
        <f t="shared" si="32"/>
        <v>5.8967499999999999</v>
      </c>
      <c r="I364" s="77">
        <f t="shared" si="33"/>
        <v>0.31124999999999936</v>
      </c>
      <c r="J364" s="78">
        <f t="shared" si="34"/>
        <v>9.7255000000000003</v>
      </c>
      <c r="K364" s="78">
        <f t="shared" si="35"/>
        <v>9.8987499999999997</v>
      </c>
      <c r="L364" s="78">
        <f t="shared" si="30"/>
        <v>0.17324999999999946</v>
      </c>
    </row>
    <row r="365" spans="2:12" s="162" customFormat="1" outlineLevel="1">
      <c r="B365" s="113">
        <v>37103</v>
      </c>
      <c r="C365" s="69">
        <v>5.8393181818181823</v>
      </c>
      <c r="D365" s="69">
        <v>6.0863636363636351</v>
      </c>
      <c r="G365" s="77">
        <f t="shared" si="31"/>
        <v>5.8393181818181823</v>
      </c>
      <c r="H365" s="77">
        <f t="shared" si="32"/>
        <v>6.0863636363636351</v>
      </c>
      <c r="I365" s="77">
        <f t="shared" si="33"/>
        <v>0.24704545454545279</v>
      </c>
      <c r="J365" s="78">
        <f t="shared" si="34"/>
        <v>9.9793181818181829</v>
      </c>
      <c r="K365" s="78">
        <f t="shared" si="35"/>
        <v>10.088363636363635</v>
      </c>
      <c r="L365" s="78">
        <f t="shared" si="30"/>
        <v>0.109045454545452</v>
      </c>
    </row>
    <row r="366" spans="2:12" s="162" customFormat="1" outlineLevel="1">
      <c r="B366" s="113">
        <v>37134</v>
      </c>
      <c r="C366" s="69">
        <v>5.4904347826086957</v>
      </c>
      <c r="D366" s="69">
        <v>5.7615217391304352</v>
      </c>
      <c r="G366" s="77">
        <f t="shared" si="31"/>
        <v>5.4904347826086957</v>
      </c>
      <c r="H366" s="77">
        <f t="shared" si="32"/>
        <v>5.7615217391304352</v>
      </c>
      <c r="I366" s="77">
        <f t="shared" si="33"/>
        <v>0.27108695652173953</v>
      </c>
      <c r="J366" s="78">
        <f t="shared" si="34"/>
        <v>9.6304347826086953</v>
      </c>
      <c r="K366" s="78">
        <f t="shared" si="35"/>
        <v>9.7635217391304359</v>
      </c>
      <c r="L366" s="78">
        <f t="shared" si="30"/>
        <v>0.13308695652174052</v>
      </c>
    </row>
    <row r="367" spans="2:12" s="162" customFormat="1" outlineLevel="1">
      <c r="B367" s="113">
        <v>37164</v>
      </c>
      <c r="C367" s="69">
        <v>5.0784999999999991</v>
      </c>
      <c r="D367" s="69">
        <v>5.5782500000000006</v>
      </c>
      <c r="G367" s="77">
        <f t="shared" si="31"/>
        <v>5.0784999999999991</v>
      </c>
      <c r="H367" s="77">
        <f t="shared" si="32"/>
        <v>5.5782500000000006</v>
      </c>
      <c r="I367" s="77">
        <f t="shared" si="33"/>
        <v>0.49975000000000147</v>
      </c>
      <c r="J367" s="78">
        <f t="shared" si="34"/>
        <v>9.2184999999999988</v>
      </c>
      <c r="K367" s="78">
        <f t="shared" si="35"/>
        <v>9.5802499999999995</v>
      </c>
      <c r="L367" s="78">
        <f t="shared" si="30"/>
        <v>0.36175000000000068</v>
      </c>
    </row>
    <row r="368" spans="2:12" s="162" customFormat="1" outlineLevel="1">
      <c r="B368" s="113">
        <v>37195</v>
      </c>
      <c r="C368" s="69">
        <v>4.8150000000000004</v>
      </c>
      <c r="D368" s="69">
        <v>5.4076086956521738</v>
      </c>
      <c r="G368" s="77">
        <f t="shared" si="31"/>
        <v>4.8150000000000004</v>
      </c>
      <c r="H368" s="77">
        <f t="shared" si="32"/>
        <v>5.4076086956521738</v>
      </c>
      <c r="I368" s="77">
        <f t="shared" si="33"/>
        <v>0.59260869565217345</v>
      </c>
      <c r="J368" s="78">
        <f t="shared" si="34"/>
        <v>8.9550000000000001</v>
      </c>
      <c r="K368" s="78">
        <f t="shared" si="35"/>
        <v>9.4096086956521745</v>
      </c>
      <c r="L368" s="78">
        <f t="shared" si="30"/>
        <v>0.45460869565217443</v>
      </c>
    </row>
    <row r="369" spans="2:12" s="162" customFormat="1" outlineLevel="1">
      <c r="B369" s="113">
        <v>37225</v>
      </c>
      <c r="C369" s="69">
        <v>4.9334090909090911</v>
      </c>
      <c r="D369" s="69">
        <v>5.457727272727273</v>
      </c>
      <c r="G369" s="77">
        <f t="shared" si="31"/>
        <v>4.9334090909090911</v>
      </c>
      <c r="H369" s="77">
        <f t="shared" si="32"/>
        <v>5.457727272727273</v>
      </c>
      <c r="I369" s="77">
        <f t="shared" si="33"/>
        <v>0.52431818181818191</v>
      </c>
      <c r="J369" s="78">
        <f t="shared" si="34"/>
        <v>9.0734090909090916</v>
      </c>
      <c r="K369" s="78">
        <f t="shared" si="35"/>
        <v>9.4597272727272728</v>
      </c>
      <c r="L369" s="78">
        <f t="shared" si="30"/>
        <v>0.38631818181818112</v>
      </c>
    </row>
    <row r="370" spans="2:12" s="162" customFormat="1" outlineLevel="1">
      <c r="B370" s="113">
        <v>37256</v>
      </c>
      <c r="C370" s="69">
        <v>5.3278947368421044</v>
      </c>
      <c r="D370" s="69">
        <v>5.8168421052631567</v>
      </c>
      <c r="G370" s="77">
        <f t="shared" si="31"/>
        <v>5.3278947368421044</v>
      </c>
      <c r="H370" s="77">
        <f t="shared" si="32"/>
        <v>5.8168421052631567</v>
      </c>
      <c r="I370" s="77">
        <f t="shared" si="33"/>
        <v>0.48894736842105235</v>
      </c>
      <c r="J370" s="78">
        <f t="shared" si="34"/>
        <v>9.4678947368421049</v>
      </c>
      <c r="K370" s="78">
        <f t="shared" si="35"/>
        <v>9.8188421052631565</v>
      </c>
      <c r="L370" s="78">
        <f t="shared" si="30"/>
        <v>0.35094736842105156</v>
      </c>
    </row>
    <row r="371" spans="2:12" s="162" customFormat="1" outlineLevel="1">
      <c r="B371" s="113">
        <v>37287</v>
      </c>
      <c r="C371" s="69">
        <v>5.4119047619047613</v>
      </c>
      <c r="D371" s="69">
        <v>5.8583333333333325</v>
      </c>
      <c r="G371" s="77">
        <f t="shared" si="31"/>
        <v>5.4119047619047613</v>
      </c>
      <c r="H371" s="77">
        <f t="shared" si="32"/>
        <v>5.8583333333333325</v>
      </c>
      <c r="I371" s="77">
        <f t="shared" si="33"/>
        <v>0.44642857142857117</v>
      </c>
      <c r="J371" s="78">
        <f t="shared" si="34"/>
        <v>9.5519047619047619</v>
      </c>
      <c r="K371" s="78">
        <f t="shared" si="35"/>
        <v>9.8603333333333332</v>
      </c>
      <c r="L371" s="78">
        <f t="shared" si="30"/>
        <v>0.30842857142857127</v>
      </c>
    </row>
    <row r="372" spans="2:12" s="162" customFormat="1" outlineLevel="1">
      <c r="B372" s="113">
        <v>37315</v>
      </c>
      <c r="C372" s="69">
        <v>5.6317499999999994</v>
      </c>
      <c r="D372" s="69">
        <v>5.9457500000000012</v>
      </c>
      <c r="G372" s="77">
        <f t="shared" si="31"/>
        <v>5.6317499999999994</v>
      </c>
      <c r="H372" s="77">
        <f t="shared" si="32"/>
        <v>5.9457500000000012</v>
      </c>
      <c r="I372" s="77">
        <f t="shared" si="33"/>
        <v>0.31400000000000183</v>
      </c>
      <c r="J372" s="78">
        <f t="shared" si="34"/>
        <v>9.771749999999999</v>
      </c>
      <c r="K372" s="78">
        <f t="shared" si="35"/>
        <v>9.947750000000001</v>
      </c>
      <c r="L372" s="78">
        <f t="shared" si="30"/>
        <v>0.17600000000000193</v>
      </c>
    </row>
    <row r="373" spans="2:12" s="162" customFormat="1" outlineLevel="1">
      <c r="B373" s="113">
        <v>37346</v>
      </c>
      <c r="C373" s="69">
        <v>5.9974999999999996</v>
      </c>
      <c r="D373" s="69">
        <v>6.3089999999999993</v>
      </c>
      <c r="G373" s="77">
        <f t="shared" si="31"/>
        <v>5.9974999999999996</v>
      </c>
      <c r="H373" s="77">
        <f t="shared" si="32"/>
        <v>6.3089999999999993</v>
      </c>
      <c r="I373" s="77">
        <f t="shared" si="33"/>
        <v>0.31149999999999967</v>
      </c>
      <c r="J373" s="78">
        <f t="shared" si="34"/>
        <v>10.137499999999999</v>
      </c>
      <c r="K373" s="78">
        <f t="shared" si="35"/>
        <v>10.311</v>
      </c>
      <c r="L373" s="78">
        <f t="shared" si="30"/>
        <v>0.17350000000000065</v>
      </c>
    </row>
    <row r="374" spans="2:12" s="162" customFormat="1" outlineLevel="1">
      <c r="B374" s="113">
        <v>37376</v>
      </c>
      <c r="C374" s="69">
        <v>5.9634999999999998</v>
      </c>
      <c r="D374" s="69">
        <v>6.2939999999999996</v>
      </c>
      <c r="G374" s="77">
        <f t="shared" si="31"/>
        <v>5.9634999999999998</v>
      </c>
      <c r="H374" s="77">
        <f t="shared" si="32"/>
        <v>6.2939999999999996</v>
      </c>
      <c r="I374" s="77">
        <f t="shared" si="33"/>
        <v>0.33049999999999979</v>
      </c>
      <c r="J374" s="78">
        <f t="shared" si="34"/>
        <v>10.1035</v>
      </c>
      <c r="K374" s="78">
        <f t="shared" si="35"/>
        <v>10.295999999999999</v>
      </c>
      <c r="L374" s="78">
        <f t="shared" si="30"/>
        <v>0.19249999999999901</v>
      </c>
    </row>
    <row r="375" spans="2:12" s="162" customFormat="1" outlineLevel="1">
      <c r="B375" s="113">
        <v>37407</v>
      </c>
      <c r="C375" s="69">
        <v>5.9628260869565208</v>
      </c>
      <c r="D375" s="69">
        <v>6.2152173913043489</v>
      </c>
      <c r="G375" s="77">
        <f t="shared" si="31"/>
        <v>5.9628260869565208</v>
      </c>
      <c r="H375" s="77">
        <f t="shared" si="32"/>
        <v>6.2152173913043489</v>
      </c>
      <c r="I375" s="77">
        <f t="shared" si="33"/>
        <v>0.25239130434782808</v>
      </c>
      <c r="J375" s="78">
        <f t="shared" si="34"/>
        <v>10.102826086956521</v>
      </c>
      <c r="K375" s="78">
        <f t="shared" si="35"/>
        <v>10.217217391304349</v>
      </c>
      <c r="L375" s="78">
        <f t="shared" si="30"/>
        <v>0.11439130434782818</v>
      </c>
    </row>
    <row r="376" spans="2:12" s="162" customFormat="1" outlineLevel="1">
      <c r="B376" s="113">
        <v>37437</v>
      </c>
      <c r="C376" s="69">
        <v>5.833157894736841</v>
      </c>
      <c r="D376" s="69">
        <v>6.0076315789473691</v>
      </c>
      <c r="G376" s="77">
        <f t="shared" si="31"/>
        <v>5.833157894736841</v>
      </c>
      <c r="H376" s="77">
        <f t="shared" si="32"/>
        <v>6.0076315789473691</v>
      </c>
      <c r="I376" s="77">
        <f t="shared" si="33"/>
        <v>0.17447368421052811</v>
      </c>
      <c r="J376" s="78">
        <f t="shared" si="34"/>
        <v>9.9731578947368398</v>
      </c>
      <c r="K376" s="78">
        <f t="shared" si="35"/>
        <v>10.009631578947369</v>
      </c>
      <c r="L376" s="78">
        <f t="shared" si="30"/>
        <v>3.64736842105291E-2</v>
      </c>
    </row>
    <row r="377" spans="2:12" s="162" customFormat="1" outlineLevel="1">
      <c r="B377" s="113">
        <v>37468</v>
      </c>
      <c r="C377" s="69">
        <v>5.6169565217391302</v>
      </c>
      <c r="D377" s="69">
        <v>5.8597826086956539</v>
      </c>
      <c r="G377" s="77">
        <f t="shared" si="31"/>
        <v>5.6169565217391302</v>
      </c>
      <c r="H377" s="77">
        <f t="shared" si="32"/>
        <v>5.8597826086956539</v>
      </c>
      <c r="I377" s="77">
        <f t="shared" si="33"/>
        <v>0.24282608695652375</v>
      </c>
      <c r="J377" s="78">
        <f t="shared" si="34"/>
        <v>9.7569565217391307</v>
      </c>
      <c r="K377" s="78">
        <f t="shared" si="35"/>
        <v>9.8617826086956537</v>
      </c>
      <c r="L377" s="78">
        <f t="shared" si="30"/>
        <v>0.10482608695652296</v>
      </c>
    </row>
    <row r="378" spans="2:12" s="162" customFormat="1" outlineLevel="1">
      <c r="B378" s="113">
        <v>37499</v>
      </c>
      <c r="C378" s="69">
        <v>5.3904545454545456</v>
      </c>
      <c r="D378" s="69">
        <v>5.6484090909090909</v>
      </c>
      <c r="G378" s="77">
        <f t="shared" si="31"/>
        <v>5.3904545454545456</v>
      </c>
      <c r="H378" s="77">
        <f t="shared" si="32"/>
        <v>5.6484090909090909</v>
      </c>
      <c r="I378" s="77">
        <f t="shared" si="33"/>
        <v>0.25795454545454533</v>
      </c>
      <c r="J378" s="78">
        <f t="shared" si="34"/>
        <v>9.5304545454545462</v>
      </c>
      <c r="K378" s="78">
        <f t="shared" si="35"/>
        <v>9.6504090909090898</v>
      </c>
      <c r="L378" s="78">
        <f t="shared" si="30"/>
        <v>0.11995454545454365</v>
      </c>
    </row>
    <row r="379" spans="2:12" s="162" customFormat="1" outlineLevel="1">
      <c r="B379" s="113">
        <v>37529</v>
      </c>
      <c r="C379" s="69">
        <v>5.2278571428571441</v>
      </c>
      <c r="D379" s="69">
        <v>5.4357142857142851</v>
      </c>
      <c r="G379" s="77">
        <f t="shared" si="31"/>
        <v>5.2278571428571441</v>
      </c>
      <c r="H379" s="77">
        <f t="shared" si="32"/>
        <v>5.4357142857142851</v>
      </c>
      <c r="I379" s="77">
        <f t="shared" si="33"/>
        <v>0.20785714285714096</v>
      </c>
      <c r="J379" s="78">
        <f t="shared" si="34"/>
        <v>9.3678571428571438</v>
      </c>
      <c r="K379" s="78">
        <f t="shared" si="35"/>
        <v>9.4377142857142857</v>
      </c>
      <c r="L379" s="78">
        <f t="shared" si="30"/>
        <v>6.9857142857141952E-2</v>
      </c>
    </row>
    <row r="380" spans="2:12" s="162" customFormat="1" outlineLevel="1">
      <c r="B380" s="113">
        <v>37560</v>
      </c>
      <c r="C380" s="69">
        <v>5.3160869565217386</v>
      </c>
      <c r="D380" s="69">
        <v>5.6591304347826075</v>
      </c>
      <c r="G380" s="77">
        <f t="shared" si="31"/>
        <v>5.3160869565217386</v>
      </c>
      <c r="H380" s="77">
        <f t="shared" si="32"/>
        <v>5.6591304347826075</v>
      </c>
      <c r="I380" s="77">
        <f t="shared" si="33"/>
        <v>0.34304347826086889</v>
      </c>
      <c r="J380" s="78">
        <f t="shared" si="34"/>
        <v>9.4560869565217374</v>
      </c>
      <c r="K380" s="78">
        <f t="shared" si="35"/>
        <v>9.6611304347826064</v>
      </c>
      <c r="L380" s="78">
        <f t="shared" si="30"/>
        <v>0.20504347826086899</v>
      </c>
    </row>
    <row r="381" spans="2:12" s="162" customFormat="1" outlineLevel="1">
      <c r="B381" s="113">
        <v>37590</v>
      </c>
      <c r="C381" s="69">
        <v>5.10952380952381</v>
      </c>
      <c r="D381" s="69">
        <v>5.4995238095238097</v>
      </c>
      <c r="G381" s="77">
        <f t="shared" si="31"/>
        <v>5.10952380952381</v>
      </c>
      <c r="H381" s="77">
        <f t="shared" si="32"/>
        <v>5.4995238095238097</v>
      </c>
      <c r="I381" s="77">
        <f t="shared" si="33"/>
        <v>0.38999999999999968</v>
      </c>
      <c r="J381" s="78">
        <f t="shared" si="34"/>
        <v>9.2495238095238097</v>
      </c>
      <c r="K381" s="78">
        <f t="shared" si="35"/>
        <v>9.5015238095238104</v>
      </c>
      <c r="L381" s="78">
        <f t="shared" si="30"/>
        <v>0.25200000000000067</v>
      </c>
    </row>
    <row r="382" spans="2:12" s="162" customFormat="1" outlineLevel="1">
      <c r="B382" s="113">
        <v>37621</v>
      </c>
      <c r="C382" s="69">
        <v>4.9967499999999987</v>
      </c>
      <c r="D382" s="69">
        <v>5.3949999999999996</v>
      </c>
      <c r="G382" s="77">
        <f t="shared" si="31"/>
        <v>4.9967499999999987</v>
      </c>
      <c r="H382" s="77">
        <f t="shared" si="32"/>
        <v>5.3949999999999996</v>
      </c>
      <c r="I382" s="77">
        <f t="shared" si="33"/>
        <v>0.39825000000000088</v>
      </c>
      <c r="J382" s="78">
        <f t="shared" si="34"/>
        <v>9.1367499999999993</v>
      </c>
      <c r="K382" s="78">
        <f t="shared" si="35"/>
        <v>9.3969999999999985</v>
      </c>
      <c r="L382" s="78">
        <f t="shared" si="30"/>
        <v>0.2602499999999992</v>
      </c>
    </row>
    <row r="383" spans="2:12" s="162" customFormat="1" outlineLevel="1">
      <c r="B383" s="113">
        <v>37652</v>
      </c>
      <c r="C383" s="69">
        <v>4.9059523809523808</v>
      </c>
      <c r="D383" s="69">
        <v>5.2750000000000004</v>
      </c>
      <c r="G383" s="77">
        <f t="shared" si="31"/>
        <v>4.9059523809523808</v>
      </c>
      <c r="H383" s="77">
        <f t="shared" si="32"/>
        <v>5.2750000000000004</v>
      </c>
      <c r="I383" s="77">
        <f t="shared" si="33"/>
        <v>0.36904761904761951</v>
      </c>
      <c r="J383" s="78">
        <f t="shared" si="34"/>
        <v>9.0459523809523805</v>
      </c>
      <c r="K383" s="78">
        <f t="shared" si="35"/>
        <v>9.277000000000001</v>
      </c>
      <c r="L383" s="78">
        <f t="shared" si="30"/>
        <v>0.2310476190476205</v>
      </c>
    </row>
    <row r="384" spans="2:12" s="162" customFormat="1" outlineLevel="1">
      <c r="B384" s="113">
        <v>37680</v>
      </c>
      <c r="C384" s="69">
        <v>4.7420000000000009</v>
      </c>
      <c r="D384" s="69">
        <v>5.1677500000000007</v>
      </c>
      <c r="G384" s="77">
        <f t="shared" si="31"/>
        <v>4.7420000000000009</v>
      </c>
      <c r="H384" s="77">
        <f t="shared" si="32"/>
        <v>5.1677500000000007</v>
      </c>
      <c r="I384" s="77">
        <f t="shared" si="33"/>
        <v>0.42574999999999985</v>
      </c>
      <c r="J384" s="78">
        <f t="shared" si="34"/>
        <v>8.8820000000000014</v>
      </c>
      <c r="K384" s="78">
        <f t="shared" si="35"/>
        <v>9.1697500000000005</v>
      </c>
      <c r="L384" s="78">
        <f t="shared" si="30"/>
        <v>0.28774999999999906</v>
      </c>
    </row>
    <row r="385" spans="2:12" s="162" customFormat="1" outlineLevel="1">
      <c r="B385" s="113">
        <v>37711</v>
      </c>
      <c r="C385" s="69">
        <v>4.8423809523809522</v>
      </c>
      <c r="D385" s="69">
        <v>5.2716666666666656</v>
      </c>
      <c r="G385" s="77">
        <f t="shared" si="31"/>
        <v>4.8423809523809522</v>
      </c>
      <c r="H385" s="77">
        <f t="shared" si="32"/>
        <v>5.2716666666666656</v>
      </c>
      <c r="I385" s="77">
        <f t="shared" si="33"/>
        <v>0.42928571428571338</v>
      </c>
      <c r="J385" s="78">
        <f t="shared" si="34"/>
        <v>8.9823809523809519</v>
      </c>
      <c r="K385" s="78">
        <f t="shared" si="35"/>
        <v>9.2736666666666654</v>
      </c>
      <c r="L385" s="78">
        <f t="shared" si="30"/>
        <v>0.29128571428571348</v>
      </c>
    </row>
    <row r="386" spans="2:12" s="162" customFormat="1" outlineLevel="1">
      <c r="B386" s="113">
        <v>37741</v>
      </c>
      <c r="C386" s="69">
        <v>4.9576315789473684</v>
      </c>
      <c r="D386" s="69">
        <v>5.3460526315789467</v>
      </c>
      <c r="G386" s="77">
        <f t="shared" si="31"/>
        <v>4.9576315789473684</v>
      </c>
      <c r="H386" s="77">
        <f t="shared" si="32"/>
        <v>5.3460526315789467</v>
      </c>
      <c r="I386" s="77">
        <f t="shared" si="33"/>
        <v>0.38842105263157833</v>
      </c>
      <c r="J386" s="78">
        <f t="shared" si="34"/>
        <v>9.0976315789473681</v>
      </c>
      <c r="K386" s="78">
        <f t="shared" si="35"/>
        <v>9.3480526315789465</v>
      </c>
      <c r="L386" s="78">
        <f t="shared" si="30"/>
        <v>0.25042105263157843</v>
      </c>
    </row>
    <row r="387" spans="2:12" s="162" customFormat="1" outlineLevel="1">
      <c r="B387" s="113">
        <v>37772</v>
      </c>
      <c r="C387" s="69">
        <v>4.7438636363636357</v>
      </c>
      <c r="D387" s="69">
        <v>5.0281818181818183</v>
      </c>
      <c r="G387" s="77">
        <f t="shared" si="31"/>
        <v>4.7438636363636357</v>
      </c>
      <c r="H387" s="77">
        <f t="shared" si="32"/>
        <v>5.0281818181818183</v>
      </c>
      <c r="I387" s="77">
        <f t="shared" si="33"/>
        <v>0.28431818181818258</v>
      </c>
      <c r="J387" s="78">
        <f t="shared" si="34"/>
        <v>8.8838636363636354</v>
      </c>
      <c r="K387" s="78">
        <f t="shared" si="35"/>
        <v>9.0301818181818181</v>
      </c>
      <c r="L387" s="78">
        <f t="shared" si="30"/>
        <v>0.14631818181818268</v>
      </c>
    </row>
    <row r="388" spans="2:12" s="162" customFormat="1" outlineLevel="1">
      <c r="B388" s="113">
        <v>37802</v>
      </c>
      <c r="C388" s="69">
        <v>4.4930000000000003</v>
      </c>
      <c r="D388" s="69">
        <v>4.8027499999999987</v>
      </c>
      <c r="G388" s="77">
        <f t="shared" si="31"/>
        <v>4.4930000000000003</v>
      </c>
      <c r="H388" s="77">
        <f t="shared" si="32"/>
        <v>4.8027499999999987</v>
      </c>
      <c r="I388" s="77">
        <f t="shared" si="33"/>
        <v>0.30974999999999842</v>
      </c>
      <c r="J388" s="78">
        <f t="shared" si="34"/>
        <v>8.6329999999999991</v>
      </c>
      <c r="K388" s="78">
        <f t="shared" si="35"/>
        <v>8.8047499999999985</v>
      </c>
      <c r="L388" s="78">
        <f t="shared" si="30"/>
        <v>0.1717499999999994</v>
      </c>
    </row>
    <row r="389" spans="2:12" s="162" customFormat="1" outlineLevel="1">
      <c r="B389" s="113">
        <v>37833</v>
      </c>
      <c r="C389" s="69">
        <v>4.894347826086956</v>
      </c>
      <c r="D389" s="69">
        <v>5.2328260869565222</v>
      </c>
      <c r="G389" s="77">
        <f t="shared" si="31"/>
        <v>4.894347826086956</v>
      </c>
      <c r="H389" s="77">
        <f t="shared" si="32"/>
        <v>5.2328260869565222</v>
      </c>
      <c r="I389" s="77">
        <f t="shared" si="33"/>
        <v>0.33847826086956623</v>
      </c>
      <c r="J389" s="78">
        <f t="shared" si="34"/>
        <v>9.0343478260869556</v>
      </c>
      <c r="K389" s="78">
        <f t="shared" si="35"/>
        <v>9.234826086956522</v>
      </c>
      <c r="L389" s="78">
        <f t="shared" si="30"/>
        <v>0.20047826086956633</v>
      </c>
    </row>
    <row r="390" spans="2:12" s="162" customFormat="1" outlineLevel="1">
      <c r="B390" s="113">
        <v>37864</v>
      </c>
      <c r="C390" s="69">
        <v>5.2223809523809521</v>
      </c>
      <c r="D390" s="69">
        <v>5.5240476190476189</v>
      </c>
      <c r="G390" s="77">
        <f t="shared" si="31"/>
        <v>5.2223809523809521</v>
      </c>
      <c r="H390" s="77">
        <f t="shared" si="32"/>
        <v>5.5240476190476189</v>
      </c>
      <c r="I390" s="77">
        <f t="shared" si="33"/>
        <v>0.30166666666666675</v>
      </c>
      <c r="J390" s="78">
        <f t="shared" si="34"/>
        <v>9.3623809523809527</v>
      </c>
      <c r="K390" s="78">
        <f t="shared" si="35"/>
        <v>9.5260476190476187</v>
      </c>
      <c r="L390" s="78">
        <f t="shared" si="30"/>
        <v>0.16366666666666596</v>
      </c>
    </row>
    <row r="391" spans="2:12" s="162" customFormat="1" outlineLevel="1">
      <c r="B391" s="113">
        <v>37894</v>
      </c>
      <c r="C391" s="69">
        <v>5.3140909090909094</v>
      </c>
      <c r="D391" s="69">
        <v>5.5129545454545452</v>
      </c>
      <c r="G391" s="77">
        <f t="shared" si="31"/>
        <v>5.3140909090909094</v>
      </c>
      <c r="H391" s="77">
        <f t="shared" si="32"/>
        <v>5.5129545454545452</v>
      </c>
      <c r="I391" s="77">
        <f t="shared" si="33"/>
        <v>0.1988636363636358</v>
      </c>
      <c r="J391" s="78">
        <f t="shared" si="34"/>
        <v>9.4540909090909082</v>
      </c>
      <c r="K391" s="78">
        <f t="shared" si="35"/>
        <v>9.514954545454545</v>
      </c>
      <c r="L391" s="78">
        <f t="shared" si="30"/>
        <v>6.0863636363636786E-2</v>
      </c>
    </row>
    <row r="392" spans="2:12" s="162" customFormat="1" outlineLevel="1">
      <c r="B392" s="113">
        <v>37925</v>
      </c>
      <c r="C392" s="69">
        <v>5.4739130434782615</v>
      </c>
      <c r="D392" s="69">
        <v>5.6086956521739131</v>
      </c>
      <c r="G392" s="77">
        <f t="shared" si="31"/>
        <v>5.4739130434782615</v>
      </c>
      <c r="H392" s="77">
        <f t="shared" si="32"/>
        <v>5.6086956521739131</v>
      </c>
      <c r="I392" s="77">
        <f t="shared" si="33"/>
        <v>0.13478260869565162</v>
      </c>
      <c r="J392" s="78">
        <f t="shared" si="34"/>
        <v>9.6139130434782611</v>
      </c>
      <c r="K392" s="78">
        <f t="shared" si="35"/>
        <v>9.6106956521739129</v>
      </c>
      <c r="L392" s="78">
        <f t="shared" si="30"/>
        <v>-3.2173913043482827E-3</v>
      </c>
    </row>
    <row r="393" spans="2:12" s="162" customFormat="1" outlineLevel="1">
      <c r="B393" s="113">
        <v>37955</v>
      </c>
      <c r="C393" s="69">
        <v>5.8274999999999997</v>
      </c>
      <c r="D393" s="69">
        <v>5.8739999999999997</v>
      </c>
      <c r="G393" s="77">
        <f t="shared" si="31"/>
        <v>5.8274999999999997</v>
      </c>
      <c r="H393" s="77">
        <f t="shared" si="32"/>
        <v>5.8739999999999997</v>
      </c>
      <c r="I393" s="77">
        <f t="shared" si="33"/>
        <v>4.6499999999999986E-2</v>
      </c>
      <c r="J393" s="78">
        <f t="shared" si="34"/>
        <v>9.9674999999999994</v>
      </c>
      <c r="K393" s="78">
        <f t="shared" si="35"/>
        <v>9.8759999999999994</v>
      </c>
      <c r="L393" s="78">
        <f t="shared" si="30"/>
        <v>-9.1499999999999915E-2</v>
      </c>
    </row>
    <row r="394" spans="2:12" s="162" customFormat="1" outlineLevel="1">
      <c r="B394" s="113">
        <v>37986</v>
      </c>
      <c r="C394" s="69">
        <v>5.7054761904761913</v>
      </c>
      <c r="D394" s="69">
        <v>5.7573809523809523</v>
      </c>
      <c r="G394" s="77">
        <f t="shared" si="31"/>
        <v>5.7054761904761913</v>
      </c>
      <c r="H394" s="77">
        <f t="shared" si="32"/>
        <v>5.7573809523809523</v>
      </c>
      <c r="I394" s="77">
        <f t="shared" si="33"/>
        <v>5.190476190476101E-2</v>
      </c>
      <c r="J394" s="78">
        <f t="shared" si="34"/>
        <v>9.8454761904761909</v>
      </c>
      <c r="K394" s="78">
        <f t="shared" si="35"/>
        <v>9.7593809523809512</v>
      </c>
      <c r="L394" s="78">
        <f t="shared" si="30"/>
        <v>-8.6095238095239779E-2</v>
      </c>
    </row>
    <row r="395" spans="2:12" s="162" customFormat="1" outlineLevel="1">
      <c r="B395" s="113">
        <v>38017</v>
      </c>
      <c r="C395" s="69">
        <v>5.6340000000000021</v>
      </c>
      <c r="D395" s="69">
        <v>5.7004999999999999</v>
      </c>
      <c r="G395" s="77">
        <f t="shared" si="31"/>
        <v>5.6340000000000021</v>
      </c>
      <c r="H395" s="77">
        <f t="shared" si="32"/>
        <v>5.7004999999999999</v>
      </c>
      <c r="I395" s="77">
        <f t="shared" si="33"/>
        <v>6.6499999999997783E-2</v>
      </c>
      <c r="J395" s="78">
        <f t="shared" si="34"/>
        <v>9.7740000000000009</v>
      </c>
      <c r="K395" s="78">
        <f t="shared" si="35"/>
        <v>9.7025000000000006</v>
      </c>
      <c r="L395" s="78">
        <f t="shared" ref="L395:L458" si="36">K395-J395</f>
        <v>-7.1500000000000341E-2</v>
      </c>
    </row>
    <row r="396" spans="2:12" s="162" customFormat="1" outlineLevel="1">
      <c r="B396" s="113">
        <v>38046</v>
      </c>
      <c r="C396" s="69">
        <v>5.5592500000000005</v>
      </c>
      <c r="D396" s="69">
        <v>5.6205000000000007</v>
      </c>
      <c r="G396" s="77">
        <f t="shared" ref="G396:G459" si="37">IF(C396="",E396,C396)</f>
        <v>5.5592500000000005</v>
      </c>
      <c r="H396" s="77">
        <f t="shared" ref="H396:H459" si="38">IF(D396="",F396,D396)</f>
        <v>5.6205000000000007</v>
      </c>
      <c r="I396" s="77">
        <f t="shared" ref="I396:I459" si="39">H396-G396</f>
        <v>6.1250000000000249E-2</v>
      </c>
      <c r="J396" s="78">
        <f t="shared" ref="J396:J459" si="40">G396  +  0.6  *  6.9</f>
        <v>9.6992499999999993</v>
      </c>
      <c r="K396" s="78">
        <f t="shared" ref="K396:K459" si="41">H396  +  0.6  *  6.67</f>
        <v>9.6225000000000005</v>
      </c>
      <c r="L396" s="78">
        <f t="shared" si="36"/>
        <v>-7.6749999999998764E-2</v>
      </c>
    </row>
    <row r="397" spans="2:12" s="162" customFormat="1" outlineLevel="1">
      <c r="B397" s="113">
        <v>38077</v>
      </c>
      <c r="C397" s="69">
        <v>5.3047826086956515</v>
      </c>
      <c r="D397" s="69">
        <v>5.4154347826086964</v>
      </c>
      <c r="G397" s="77">
        <f t="shared" si="37"/>
        <v>5.3047826086956515</v>
      </c>
      <c r="H397" s="77">
        <f t="shared" si="38"/>
        <v>5.4154347826086964</v>
      </c>
      <c r="I397" s="77">
        <f t="shared" si="39"/>
        <v>0.11065217391304483</v>
      </c>
      <c r="J397" s="78">
        <f t="shared" si="40"/>
        <v>9.4447826086956503</v>
      </c>
      <c r="K397" s="78">
        <f t="shared" si="41"/>
        <v>9.4174347826086962</v>
      </c>
      <c r="L397" s="78">
        <f t="shared" si="36"/>
        <v>-2.7347826086954186E-2</v>
      </c>
    </row>
    <row r="398" spans="2:12" s="162" customFormat="1" outlineLevel="1">
      <c r="B398" s="113">
        <v>38107</v>
      </c>
      <c r="C398" s="69">
        <v>5.584249999999999</v>
      </c>
      <c r="D398" s="69">
        <v>5.802999999999999</v>
      </c>
      <c r="G398" s="77">
        <f t="shared" si="37"/>
        <v>5.584249999999999</v>
      </c>
      <c r="H398" s="77">
        <f t="shared" si="38"/>
        <v>5.802999999999999</v>
      </c>
      <c r="I398" s="77">
        <f t="shared" si="39"/>
        <v>0.21875</v>
      </c>
      <c r="J398" s="78">
        <f t="shared" si="40"/>
        <v>9.7242499999999978</v>
      </c>
      <c r="K398" s="78">
        <f t="shared" si="41"/>
        <v>9.8049999999999997</v>
      </c>
      <c r="L398" s="78">
        <f t="shared" si="36"/>
        <v>8.0750000000001876E-2</v>
      </c>
    </row>
    <row r="399" spans="2:12" s="162" customFormat="1" outlineLevel="1">
      <c r="B399" s="113">
        <v>38138</v>
      </c>
      <c r="C399" s="69">
        <v>5.7102380952380942</v>
      </c>
      <c r="D399" s="69">
        <v>5.9580952380952379</v>
      </c>
      <c r="G399" s="77">
        <f t="shared" si="37"/>
        <v>5.7102380952380942</v>
      </c>
      <c r="H399" s="77">
        <f t="shared" si="38"/>
        <v>5.9580952380952379</v>
      </c>
      <c r="I399" s="77">
        <f t="shared" si="39"/>
        <v>0.24785714285714366</v>
      </c>
      <c r="J399" s="78">
        <f t="shared" si="40"/>
        <v>9.8502380952380939</v>
      </c>
      <c r="K399" s="78">
        <f t="shared" si="41"/>
        <v>9.9600952380952386</v>
      </c>
      <c r="L399" s="78">
        <f t="shared" si="36"/>
        <v>0.10985714285714465</v>
      </c>
    </row>
    <row r="400" spans="2:12" s="162" customFormat="1" outlineLevel="1">
      <c r="B400" s="113">
        <v>38168</v>
      </c>
      <c r="C400" s="69">
        <v>5.5623809523809529</v>
      </c>
      <c r="D400" s="69">
        <v>5.8454761904761892</v>
      </c>
      <c r="G400" s="77">
        <f t="shared" si="37"/>
        <v>5.5623809523809529</v>
      </c>
      <c r="H400" s="77">
        <f t="shared" si="38"/>
        <v>5.8454761904761892</v>
      </c>
      <c r="I400" s="77">
        <f t="shared" si="39"/>
        <v>0.28309523809523629</v>
      </c>
      <c r="J400" s="78">
        <f t="shared" si="40"/>
        <v>9.7023809523809526</v>
      </c>
      <c r="K400" s="78">
        <f t="shared" si="41"/>
        <v>9.8474761904761898</v>
      </c>
      <c r="L400" s="78">
        <f t="shared" si="36"/>
        <v>0.14509523809523728</v>
      </c>
    </row>
    <row r="401" spans="2:12" s="162" customFormat="1" outlineLevel="1">
      <c r="B401" s="113">
        <v>38199</v>
      </c>
      <c r="C401" s="69">
        <v>5.5597727272727289</v>
      </c>
      <c r="D401" s="69">
        <v>5.7177272727272728</v>
      </c>
      <c r="G401" s="77">
        <f t="shared" si="37"/>
        <v>5.5597727272727289</v>
      </c>
      <c r="H401" s="77">
        <f t="shared" si="38"/>
        <v>5.7177272727272728</v>
      </c>
      <c r="I401" s="77">
        <f t="shared" si="39"/>
        <v>0.1579545454545439</v>
      </c>
      <c r="J401" s="78">
        <f t="shared" si="40"/>
        <v>9.6997727272727285</v>
      </c>
      <c r="K401" s="78">
        <f t="shared" si="41"/>
        <v>9.7197272727272725</v>
      </c>
      <c r="L401" s="78">
        <f t="shared" si="36"/>
        <v>1.9954545454544004E-2</v>
      </c>
    </row>
    <row r="402" spans="2:12" s="162" customFormat="1" outlineLevel="1">
      <c r="B402" s="113">
        <v>38230</v>
      </c>
      <c r="C402" s="69">
        <v>5.4640909090909098</v>
      </c>
      <c r="D402" s="69">
        <v>5.5831818181818171</v>
      </c>
      <c r="G402" s="77">
        <f t="shared" si="37"/>
        <v>5.4640909090909098</v>
      </c>
      <c r="H402" s="77">
        <f t="shared" si="38"/>
        <v>5.5831818181818171</v>
      </c>
      <c r="I402" s="77">
        <f t="shared" si="39"/>
        <v>0.11909090909090736</v>
      </c>
      <c r="J402" s="78">
        <f t="shared" si="40"/>
        <v>9.6040909090909103</v>
      </c>
      <c r="K402" s="78">
        <f t="shared" si="41"/>
        <v>9.585181818181816</v>
      </c>
      <c r="L402" s="78">
        <f t="shared" si="36"/>
        <v>-1.8909090909094317E-2</v>
      </c>
    </row>
    <row r="403" spans="2:12" s="162" customFormat="1" outlineLevel="1">
      <c r="B403" s="113">
        <v>38260</v>
      </c>
      <c r="C403" s="69">
        <v>5.3090909090909069</v>
      </c>
      <c r="D403" s="69">
        <v>5.4120454545454555</v>
      </c>
      <c r="G403" s="77">
        <f t="shared" si="37"/>
        <v>5.3090909090909069</v>
      </c>
      <c r="H403" s="77">
        <f t="shared" si="38"/>
        <v>5.4120454545454555</v>
      </c>
      <c r="I403" s="77">
        <f t="shared" si="39"/>
        <v>0.10295454545454863</v>
      </c>
      <c r="J403" s="78">
        <f t="shared" si="40"/>
        <v>9.4490909090909057</v>
      </c>
      <c r="K403" s="78">
        <f t="shared" si="41"/>
        <v>9.4140454545454553</v>
      </c>
      <c r="L403" s="78">
        <f t="shared" si="36"/>
        <v>-3.5045454545450383E-2</v>
      </c>
    </row>
    <row r="404" spans="2:12" s="162" customFormat="1" outlineLevel="1">
      <c r="B404" s="113">
        <v>38291</v>
      </c>
      <c r="C404" s="69">
        <v>5.2702380952380947</v>
      </c>
      <c r="D404" s="69">
        <v>5.4014285714285712</v>
      </c>
      <c r="G404" s="77">
        <f t="shared" si="37"/>
        <v>5.2702380952380947</v>
      </c>
      <c r="H404" s="77">
        <f t="shared" si="38"/>
        <v>5.4014285714285712</v>
      </c>
      <c r="I404" s="77">
        <f t="shared" si="39"/>
        <v>0.13119047619047652</v>
      </c>
      <c r="J404" s="78">
        <f t="shared" si="40"/>
        <v>9.4102380952380944</v>
      </c>
      <c r="K404" s="78">
        <f t="shared" si="41"/>
        <v>9.4034285714285701</v>
      </c>
      <c r="L404" s="78">
        <f t="shared" si="36"/>
        <v>-6.8095238095242649E-3</v>
      </c>
    </row>
    <row r="405" spans="2:12" s="162" customFormat="1" outlineLevel="1">
      <c r="B405" s="113">
        <v>38321</v>
      </c>
      <c r="C405" s="69">
        <v>5.273863636363636</v>
      </c>
      <c r="D405" s="69">
        <v>5.4</v>
      </c>
      <c r="G405" s="77">
        <f t="shared" si="37"/>
        <v>5.273863636363636</v>
      </c>
      <c r="H405" s="77">
        <f t="shared" si="38"/>
        <v>5.4</v>
      </c>
      <c r="I405" s="77">
        <f t="shared" si="39"/>
        <v>0.12613636363636438</v>
      </c>
      <c r="J405" s="78">
        <f t="shared" si="40"/>
        <v>9.4138636363636365</v>
      </c>
      <c r="K405" s="78">
        <f t="shared" si="41"/>
        <v>9.402000000000001</v>
      </c>
      <c r="L405" s="78">
        <f t="shared" si="36"/>
        <v>-1.1863636363635521E-2</v>
      </c>
    </row>
    <row r="406" spans="2:12" s="162" customFormat="1" outlineLevel="1">
      <c r="B406" s="113">
        <v>38352</v>
      </c>
      <c r="C406" s="69">
        <v>5.0999999999999996</v>
      </c>
      <c r="D406" s="69">
        <v>5.2319047619047616</v>
      </c>
      <c r="G406" s="77">
        <f t="shared" si="37"/>
        <v>5.0999999999999996</v>
      </c>
      <c r="H406" s="77">
        <f t="shared" si="38"/>
        <v>5.2319047619047616</v>
      </c>
      <c r="I406" s="77">
        <f t="shared" si="39"/>
        <v>0.13190476190476197</v>
      </c>
      <c r="J406" s="78">
        <f t="shared" si="40"/>
        <v>9.2399999999999984</v>
      </c>
      <c r="K406" s="78">
        <f t="shared" si="41"/>
        <v>9.2339047619047605</v>
      </c>
      <c r="L406" s="78">
        <f t="shared" si="36"/>
        <v>-6.0952380952379315E-3</v>
      </c>
    </row>
    <row r="407" spans="2:12" s="162" customFormat="1" outlineLevel="1">
      <c r="B407" s="113">
        <v>38383</v>
      </c>
      <c r="C407" s="69">
        <v>5.2571052631578947</v>
      </c>
      <c r="D407" s="69">
        <v>5.3518421052631568</v>
      </c>
      <c r="G407" s="77">
        <f t="shared" si="37"/>
        <v>5.2571052631578947</v>
      </c>
      <c r="H407" s="77">
        <f t="shared" si="38"/>
        <v>5.3518421052631568</v>
      </c>
      <c r="I407" s="77">
        <f t="shared" si="39"/>
        <v>9.473684210526212E-2</v>
      </c>
      <c r="J407" s="78">
        <f t="shared" si="40"/>
        <v>9.3971052631578935</v>
      </c>
      <c r="K407" s="78">
        <f t="shared" si="41"/>
        <v>9.3538421052631566</v>
      </c>
      <c r="L407" s="78">
        <f t="shared" si="36"/>
        <v>-4.3263157894736892E-2</v>
      </c>
    </row>
    <row r="408" spans="2:12" s="162" customFormat="1" outlineLevel="1">
      <c r="B408" s="113">
        <v>38411</v>
      </c>
      <c r="C408" s="69">
        <v>5.41</v>
      </c>
      <c r="D408" s="69">
        <v>5.3977500000000003</v>
      </c>
      <c r="G408" s="77">
        <f t="shared" si="37"/>
        <v>5.41</v>
      </c>
      <c r="H408" s="77">
        <f t="shared" si="38"/>
        <v>5.3977500000000003</v>
      </c>
      <c r="I408" s="77">
        <f t="shared" si="39"/>
        <v>-1.2249999999999872E-2</v>
      </c>
      <c r="J408" s="78">
        <f t="shared" si="40"/>
        <v>9.5500000000000007</v>
      </c>
      <c r="K408" s="78">
        <f t="shared" si="41"/>
        <v>9.3997500000000009</v>
      </c>
      <c r="L408" s="78">
        <f t="shared" si="36"/>
        <v>-0.15024999999999977</v>
      </c>
    </row>
    <row r="409" spans="2:12" s="162" customFormat="1" outlineLevel="1">
      <c r="B409" s="113">
        <v>38442</v>
      </c>
      <c r="C409" s="69">
        <v>5.6342857142857152</v>
      </c>
      <c r="D409" s="69">
        <v>5.6526190476190479</v>
      </c>
      <c r="G409" s="77">
        <f t="shared" si="37"/>
        <v>5.6342857142857152</v>
      </c>
      <c r="H409" s="77">
        <f t="shared" si="38"/>
        <v>5.6526190476190479</v>
      </c>
      <c r="I409" s="77">
        <f t="shared" si="39"/>
        <v>1.8333333333332646E-2</v>
      </c>
      <c r="J409" s="78">
        <f t="shared" si="40"/>
        <v>9.774285714285714</v>
      </c>
      <c r="K409" s="78">
        <f t="shared" si="41"/>
        <v>9.6546190476190468</v>
      </c>
      <c r="L409" s="78">
        <f t="shared" si="36"/>
        <v>-0.11966666666666725</v>
      </c>
    </row>
    <row r="410" spans="2:12" s="162" customFormat="1" outlineLevel="1">
      <c r="B410" s="113">
        <v>38472</v>
      </c>
      <c r="C410" s="69">
        <v>5.4455000000000009</v>
      </c>
      <c r="D410" s="69">
        <v>5.4719999999999995</v>
      </c>
      <c r="G410" s="77">
        <f t="shared" si="37"/>
        <v>5.4455000000000009</v>
      </c>
      <c r="H410" s="77">
        <f t="shared" si="38"/>
        <v>5.4719999999999995</v>
      </c>
      <c r="I410" s="77">
        <f t="shared" si="39"/>
        <v>2.6499999999998636E-2</v>
      </c>
      <c r="J410" s="78">
        <f t="shared" si="40"/>
        <v>9.5854999999999997</v>
      </c>
      <c r="K410" s="78">
        <f t="shared" si="41"/>
        <v>9.4740000000000002</v>
      </c>
      <c r="L410" s="78">
        <f t="shared" si="36"/>
        <v>-0.11149999999999949</v>
      </c>
    </row>
    <row r="411" spans="2:12" s="162" customFormat="1" outlineLevel="1">
      <c r="B411" s="113">
        <v>38503</v>
      </c>
      <c r="C411" s="69">
        <v>5.2477272727272721</v>
      </c>
      <c r="D411" s="69">
        <v>5.2877272727272731</v>
      </c>
      <c r="G411" s="77">
        <f t="shared" si="37"/>
        <v>5.2477272727272721</v>
      </c>
      <c r="H411" s="77">
        <f t="shared" si="38"/>
        <v>5.2877272727272731</v>
      </c>
      <c r="I411" s="77">
        <f t="shared" si="39"/>
        <v>4.0000000000000924E-2</v>
      </c>
      <c r="J411" s="78">
        <f t="shared" si="40"/>
        <v>9.3877272727272718</v>
      </c>
      <c r="K411" s="78">
        <f t="shared" si="41"/>
        <v>9.2897272727272728</v>
      </c>
      <c r="L411" s="78">
        <f t="shared" si="36"/>
        <v>-9.7999999999998977E-2</v>
      </c>
    </row>
    <row r="412" spans="2:12" s="162" customFormat="1" outlineLevel="1">
      <c r="B412" s="113">
        <v>38533</v>
      </c>
      <c r="C412" s="69">
        <v>5.1383333333333319</v>
      </c>
      <c r="D412" s="69">
        <v>5.1404761904761909</v>
      </c>
      <c r="G412" s="77">
        <f t="shared" si="37"/>
        <v>5.1383333333333319</v>
      </c>
      <c r="H412" s="77">
        <f t="shared" si="38"/>
        <v>5.1404761904761909</v>
      </c>
      <c r="I412" s="77">
        <f t="shared" si="39"/>
        <v>2.1428571428590004E-3</v>
      </c>
      <c r="J412" s="78">
        <f t="shared" si="40"/>
        <v>9.2783333333333324</v>
      </c>
      <c r="K412" s="78">
        <f t="shared" si="41"/>
        <v>9.1424761904761915</v>
      </c>
      <c r="L412" s="78">
        <f t="shared" si="36"/>
        <v>-0.1358571428571409</v>
      </c>
    </row>
    <row r="413" spans="2:12" s="162" customFormat="1" outlineLevel="1">
      <c r="B413" s="113">
        <v>38564</v>
      </c>
      <c r="C413" s="69">
        <v>5.1935714285714285</v>
      </c>
      <c r="D413" s="69">
        <v>5.1902380952380955</v>
      </c>
      <c r="G413" s="77">
        <f t="shared" si="37"/>
        <v>5.1935714285714285</v>
      </c>
      <c r="H413" s="77">
        <f t="shared" si="38"/>
        <v>5.1902380952380955</v>
      </c>
      <c r="I413" s="77">
        <f t="shared" si="39"/>
        <v>-3.3333333333329662E-3</v>
      </c>
      <c r="J413" s="78">
        <f t="shared" si="40"/>
        <v>9.3335714285714282</v>
      </c>
      <c r="K413" s="78">
        <f t="shared" si="41"/>
        <v>9.1922380952380962</v>
      </c>
      <c r="L413" s="78">
        <f t="shared" si="36"/>
        <v>-0.14133333333333198</v>
      </c>
    </row>
    <row r="414" spans="2:12" s="162" customFormat="1" outlineLevel="1">
      <c r="B414" s="113">
        <v>38595</v>
      </c>
      <c r="C414" s="69">
        <v>5.1715217391304336</v>
      </c>
      <c r="D414" s="69">
        <v>5.2186956521739134</v>
      </c>
      <c r="G414" s="77">
        <f t="shared" si="37"/>
        <v>5.1715217391304336</v>
      </c>
      <c r="H414" s="77">
        <f t="shared" si="38"/>
        <v>5.2186956521739134</v>
      </c>
      <c r="I414" s="77">
        <f t="shared" si="39"/>
        <v>4.7173913043479843E-2</v>
      </c>
      <c r="J414" s="78">
        <f t="shared" si="40"/>
        <v>9.3115217391304341</v>
      </c>
      <c r="K414" s="78">
        <f t="shared" si="41"/>
        <v>9.2206956521739123</v>
      </c>
      <c r="L414" s="78">
        <f t="shared" si="36"/>
        <v>-9.0826086956521834E-2</v>
      </c>
    </row>
    <row r="415" spans="2:12" s="162" customFormat="1" outlineLevel="1">
      <c r="B415" s="113">
        <v>38625</v>
      </c>
      <c r="C415" s="69">
        <v>5.1479545454545468</v>
      </c>
      <c r="D415" s="69">
        <v>5.1863636363636365</v>
      </c>
      <c r="G415" s="77">
        <f t="shared" si="37"/>
        <v>5.1479545454545468</v>
      </c>
      <c r="H415" s="77">
        <f t="shared" si="38"/>
        <v>5.1863636363636365</v>
      </c>
      <c r="I415" s="77">
        <f t="shared" si="39"/>
        <v>3.8409090909089727E-2</v>
      </c>
      <c r="J415" s="78">
        <f t="shared" si="40"/>
        <v>9.2879545454545465</v>
      </c>
      <c r="K415" s="78">
        <f t="shared" si="41"/>
        <v>9.1883636363636363</v>
      </c>
      <c r="L415" s="78">
        <f t="shared" si="36"/>
        <v>-9.9590909090910174E-2</v>
      </c>
    </row>
    <row r="416" spans="2:12" s="162" customFormat="1" outlineLevel="1">
      <c r="B416" s="113">
        <v>38656</v>
      </c>
      <c r="C416" s="69">
        <v>5.3621428571428575</v>
      </c>
      <c r="D416" s="69">
        <v>5.4002380952380955</v>
      </c>
      <c r="G416" s="77">
        <f t="shared" si="37"/>
        <v>5.3621428571428575</v>
      </c>
      <c r="H416" s="77">
        <f t="shared" si="38"/>
        <v>5.4002380952380955</v>
      </c>
      <c r="I416" s="77">
        <f t="shared" si="39"/>
        <v>3.809523809523796E-2</v>
      </c>
      <c r="J416" s="78">
        <f t="shared" si="40"/>
        <v>9.5021428571428572</v>
      </c>
      <c r="K416" s="78">
        <f t="shared" si="41"/>
        <v>9.4022380952380953</v>
      </c>
      <c r="L416" s="78">
        <f t="shared" si="36"/>
        <v>-9.9904761904761941E-2</v>
      </c>
    </row>
    <row r="417" spans="2:12" s="162" customFormat="1" outlineLevel="1">
      <c r="B417" s="113">
        <v>38686</v>
      </c>
      <c r="C417" s="69">
        <v>5.373636363636364</v>
      </c>
      <c r="D417" s="69">
        <v>5.4352272727272721</v>
      </c>
      <c r="G417" s="77">
        <f t="shared" si="37"/>
        <v>5.373636363636364</v>
      </c>
      <c r="H417" s="77">
        <f t="shared" si="38"/>
        <v>5.4352272727272721</v>
      </c>
      <c r="I417" s="77">
        <f t="shared" si="39"/>
        <v>6.1590909090908141E-2</v>
      </c>
      <c r="J417" s="78">
        <f t="shared" si="40"/>
        <v>9.5136363636363637</v>
      </c>
      <c r="K417" s="78">
        <f t="shared" si="41"/>
        <v>9.4372272727272719</v>
      </c>
      <c r="L417" s="78">
        <f t="shared" si="36"/>
        <v>-7.6409090909091759E-2</v>
      </c>
    </row>
    <row r="418" spans="2:12" s="162" customFormat="1" outlineLevel="1">
      <c r="B418" s="113">
        <v>38717</v>
      </c>
      <c r="C418" s="69">
        <v>5.3427500000000006</v>
      </c>
      <c r="D418" s="69">
        <v>5.3465000000000007</v>
      </c>
      <c r="G418" s="77">
        <f t="shared" si="37"/>
        <v>5.3427500000000006</v>
      </c>
      <c r="H418" s="77">
        <f t="shared" si="38"/>
        <v>5.3465000000000007</v>
      </c>
      <c r="I418" s="77">
        <f t="shared" si="39"/>
        <v>3.7500000000001421E-3</v>
      </c>
      <c r="J418" s="78">
        <f t="shared" si="40"/>
        <v>9.4827499999999993</v>
      </c>
      <c r="K418" s="78">
        <f t="shared" si="41"/>
        <v>9.3485000000000014</v>
      </c>
      <c r="L418" s="78">
        <f t="shared" si="36"/>
        <v>-0.13424999999999798</v>
      </c>
    </row>
    <row r="419" spans="2:12" s="162" customFormat="1" outlineLevel="1">
      <c r="B419" s="113">
        <v>38748</v>
      </c>
      <c r="C419" s="69">
        <v>5.1765000000000008</v>
      </c>
      <c r="D419" s="69">
        <v>5.2035</v>
      </c>
      <c r="G419" s="77">
        <f t="shared" si="37"/>
        <v>5.1765000000000008</v>
      </c>
      <c r="H419" s="77">
        <f t="shared" si="38"/>
        <v>5.2035</v>
      </c>
      <c r="I419" s="77">
        <f t="shared" si="39"/>
        <v>2.6999999999999247E-2</v>
      </c>
      <c r="J419" s="78">
        <f t="shared" si="40"/>
        <v>9.3165000000000013</v>
      </c>
      <c r="K419" s="78">
        <f t="shared" si="41"/>
        <v>9.2055000000000007</v>
      </c>
      <c r="L419" s="78">
        <f t="shared" si="36"/>
        <v>-0.11100000000000065</v>
      </c>
    </row>
    <row r="420" spans="2:12" s="162" customFormat="1" outlineLevel="1">
      <c r="B420" s="113">
        <v>38776</v>
      </c>
      <c r="C420" s="69">
        <v>5.2385000000000002</v>
      </c>
      <c r="D420" s="69">
        <v>5.2720000000000011</v>
      </c>
      <c r="G420" s="77">
        <f t="shared" si="37"/>
        <v>5.2385000000000002</v>
      </c>
      <c r="H420" s="77">
        <f t="shared" si="38"/>
        <v>5.2720000000000011</v>
      </c>
      <c r="I420" s="77">
        <f t="shared" si="39"/>
        <v>3.3500000000000973E-2</v>
      </c>
      <c r="J420" s="78">
        <f t="shared" si="40"/>
        <v>9.3784999999999989</v>
      </c>
      <c r="K420" s="78">
        <f t="shared" si="41"/>
        <v>9.2740000000000009</v>
      </c>
      <c r="L420" s="78">
        <f t="shared" si="36"/>
        <v>-0.10449999999999804</v>
      </c>
    </row>
    <row r="421" spans="2:12" s="162" customFormat="1" outlineLevel="1">
      <c r="B421" s="113">
        <v>38807</v>
      </c>
      <c r="C421" s="69">
        <v>5.2976086956521735</v>
      </c>
      <c r="D421" s="69">
        <v>5.341304347826088</v>
      </c>
      <c r="G421" s="77">
        <f t="shared" si="37"/>
        <v>5.2976086956521735</v>
      </c>
      <c r="H421" s="77">
        <f t="shared" si="38"/>
        <v>5.341304347826088</v>
      </c>
      <c r="I421" s="77">
        <f t="shared" si="39"/>
        <v>4.3695652173914468E-2</v>
      </c>
      <c r="J421" s="78">
        <f t="shared" si="40"/>
        <v>9.4376086956521732</v>
      </c>
      <c r="K421" s="78">
        <f t="shared" si="41"/>
        <v>9.3433043478260878</v>
      </c>
      <c r="L421" s="78">
        <f t="shared" si="36"/>
        <v>-9.4304347826085433E-2</v>
      </c>
    </row>
    <row r="422" spans="2:12" s="162" customFormat="1" outlineLevel="1">
      <c r="B422" s="113">
        <v>38837</v>
      </c>
      <c r="C422" s="69">
        <v>5.55</v>
      </c>
      <c r="D422" s="69">
        <v>5.5797058823529415</v>
      </c>
      <c r="G422" s="77">
        <f t="shared" si="37"/>
        <v>5.55</v>
      </c>
      <c r="H422" s="77">
        <f t="shared" si="38"/>
        <v>5.5797058823529415</v>
      </c>
      <c r="I422" s="77">
        <f t="shared" si="39"/>
        <v>2.9705882352941693E-2</v>
      </c>
      <c r="J422" s="78">
        <f t="shared" si="40"/>
        <v>9.69</v>
      </c>
      <c r="K422" s="78">
        <f t="shared" si="41"/>
        <v>9.5817058823529422</v>
      </c>
      <c r="L422" s="78">
        <f t="shared" si="36"/>
        <v>-0.10829411764705732</v>
      </c>
    </row>
    <row r="423" spans="2:12" s="162" customFormat="1" outlineLevel="1">
      <c r="B423" s="113">
        <v>38868</v>
      </c>
      <c r="C423" s="69">
        <v>5.7308695652173913</v>
      </c>
      <c r="D423" s="69">
        <v>5.75</v>
      </c>
      <c r="G423" s="77">
        <f t="shared" si="37"/>
        <v>5.7308695652173913</v>
      </c>
      <c r="H423" s="77">
        <f t="shared" si="38"/>
        <v>5.75</v>
      </c>
      <c r="I423" s="77">
        <f t="shared" si="39"/>
        <v>1.9130434782608674E-2</v>
      </c>
      <c r="J423" s="78">
        <f t="shared" si="40"/>
        <v>9.8708695652173901</v>
      </c>
      <c r="K423" s="78">
        <f t="shared" si="41"/>
        <v>9.7519999999999989</v>
      </c>
      <c r="L423" s="78">
        <f t="shared" si="36"/>
        <v>-0.11886956521739123</v>
      </c>
    </row>
    <row r="424" spans="2:12" s="162" customFormat="1" outlineLevel="1">
      <c r="B424" s="113">
        <v>38898</v>
      </c>
      <c r="C424" s="69">
        <v>5.7483333333333331</v>
      </c>
      <c r="D424" s="69">
        <v>5.7378571428571421</v>
      </c>
      <c r="G424" s="77">
        <f t="shared" si="37"/>
        <v>5.7483333333333331</v>
      </c>
      <c r="H424" s="77">
        <f t="shared" si="38"/>
        <v>5.7378571428571421</v>
      </c>
      <c r="I424" s="77">
        <f t="shared" si="39"/>
        <v>-1.0476190476190972E-2</v>
      </c>
      <c r="J424" s="78">
        <f t="shared" si="40"/>
        <v>9.8883333333333319</v>
      </c>
      <c r="K424" s="78">
        <f t="shared" si="41"/>
        <v>9.7398571428571419</v>
      </c>
      <c r="L424" s="78">
        <f t="shared" si="36"/>
        <v>-0.14847619047618998</v>
      </c>
    </row>
    <row r="425" spans="2:12" s="162" customFormat="1" outlineLevel="1">
      <c r="B425" s="113">
        <v>38929</v>
      </c>
      <c r="C425" s="69">
        <v>5.8688095238095235</v>
      </c>
      <c r="D425" s="69">
        <v>5.8340476190476194</v>
      </c>
      <c r="G425" s="77">
        <f t="shared" si="37"/>
        <v>5.8688095238095235</v>
      </c>
      <c r="H425" s="77">
        <f t="shared" si="38"/>
        <v>5.8340476190476194</v>
      </c>
      <c r="I425" s="77">
        <f t="shared" si="39"/>
        <v>-3.4761904761904105E-2</v>
      </c>
      <c r="J425" s="78">
        <f t="shared" si="40"/>
        <v>10.008809523809523</v>
      </c>
      <c r="K425" s="78">
        <f t="shared" si="41"/>
        <v>9.8360476190476192</v>
      </c>
      <c r="L425" s="78">
        <f t="shared" si="36"/>
        <v>-0.17276190476190401</v>
      </c>
    </row>
    <row r="426" spans="2:12" s="162" customFormat="1" outlineLevel="1">
      <c r="B426" s="113">
        <v>38960</v>
      </c>
      <c r="C426" s="69">
        <v>5.8402173913043471</v>
      </c>
      <c r="D426" s="69">
        <v>5.7732608695652177</v>
      </c>
      <c r="G426" s="77">
        <f t="shared" si="37"/>
        <v>5.8402173913043471</v>
      </c>
      <c r="H426" s="77">
        <f t="shared" si="38"/>
        <v>5.7732608695652177</v>
      </c>
      <c r="I426" s="77">
        <f t="shared" si="39"/>
        <v>-6.6956521739129471E-2</v>
      </c>
      <c r="J426" s="78">
        <f t="shared" si="40"/>
        <v>9.9802173913043468</v>
      </c>
      <c r="K426" s="78">
        <f t="shared" si="41"/>
        <v>9.7752608695652174</v>
      </c>
      <c r="L426" s="78">
        <f t="shared" si="36"/>
        <v>-0.20495652173912937</v>
      </c>
    </row>
    <row r="427" spans="2:12" s="162" customFormat="1" outlineLevel="1">
      <c r="B427" s="113">
        <v>38990</v>
      </c>
      <c r="C427" s="69">
        <v>5.7390476190476196</v>
      </c>
      <c r="D427" s="69">
        <v>5.6016666666666657</v>
      </c>
      <c r="G427" s="77">
        <f t="shared" si="37"/>
        <v>5.7390476190476196</v>
      </c>
      <c r="H427" s="77">
        <f t="shared" si="38"/>
        <v>5.6016666666666657</v>
      </c>
      <c r="I427" s="77">
        <f t="shared" si="39"/>
        <v>-0.13738095238095394</v>
      </c>
      <c r="J427" s="78">
        <f t="shared" si="40"/>
        <v>9.8790476190476184</v>
      </c>
      <c r="K427" s="78">
        <f t="shared" si="41"/>
        <v>9.6036666666666655</v>
      </c>
      <c r="L427" s="78">
        <f t="shared" si="36"/>
        <v>-0.27538095238095295</v>
      </c>
    </row>
    <row r="428" spans="2:12" s="162" customFormat="1" outlineLevel="1">
      <c r="B428" s="113">
        <v>39021</v>
      </c>
      <c r="C428" s="69">
        <v>5.8290476190476195</v>
      </c>
      <c r="D428" s="69">
        <v>5.665</v>
      </c>
      <c r="G428" s="77">
        <f t="shared" si="37"/>
        <v>5.8290476190476195</v>
      </c>
      <c r="H428" s="77">
        <f t="shared" si="38"/>
        <v>5.665</v>
      </c>
      <c r="I428" s="77">
        <f t="shared" si="39"/>
        <v>-0.16404761904761944</v>
      </c>
      <c r="J428" s="78">
        <f t="shared" si="40"/>
        <v>9.9690476190476183</v>
      </c>
      <c r="K428" s="78">
        <f t="shared" si="41"/>
        <v>9.6669999999999998</v>
      </c>
      <c r="L428" s="78">
        <f t="shared" si="36"/>
        <v>-0.30204761904761845</v>
      </c>
    </row>
    <row r="429" spans="2:12" s="162" customFormat="1" outlineLevel="1">
      <c r="B429" s="113">
        <v>39051</v>
      </c>
      <c r="C429" s="69">
        <v>5.7956818181818184</v>
      </c>
      <c r="D429" s="69">
        <v>5.5995454545454546</v>
      </c>
      <c r="G429" s="77">
        <f t="shared" si="37"/>
        <v>5.7956818181818184</v>
      </c>
      <c r="H429" s="77">
        <f t="shared" si="38"/>
        <v>5.5995454545454546</v>
      </c>
      <c r="I429" s="77">
        <f t="shared" si="39"/>
        <v>-0.19613636363636378</v>
      </c>
      <c r="J429" s="78">
        <f t="shared" si="40"/>
        <v>9.9356818181818181</v>
      </c>
      <c r="K429" s="78">
        <f t="shared" si="41"/>
        <v>9.6015454545454553</v>
      </c>
      <c r="L429" s="78">
        <f t="shared" si="36"/>
        <v>-0.33413636363636279</v>
      </c>
    </row>
    <row r="430" spans="2:12" s="162" customFormat="1" outlineLevel="1">
      <c r="B430" s="113">
        <v>39082</v>
      </c>
      <c r="C430" s="69">
        <v>5.8684210526315788</v>
      </c>
      <c r="D430" s="69">
        <v>5.6965789473684216</v>
      </c>
      <c r="G430" s="77">
        <f t="shared" si="37"/>
        <v>5.8684210526315788</v>
      </c>
      <c r="H430" s="77">
        <f t="shared" si="38"/>
        <v>5.6965789473684216</v>
      </c>
      <c r="I430" s="77">
        <f t="shared" si="39"/>
        <v>-0.17184210526315713</v>
      </c>
      <c r="J430" s="78">
        <f t="shared" si="40"/>
        <v>10.008421052631579</v>
      </c>
      <c r="K430" s="78">
        <f t="shared" si="41"/>
        <v>9.6985789473684214</v>
      </c>
      <c r="L430" s="78">
        <f t="shared" si="36"/>
        <v>-0.30984210526315792</v>
      </c>
    </row>
    <row r="431" spans="2:12" s="162" customFormat="1" outlineLevel="1">
      <c r="B431" s="113">
        <v>39113</v>
      </c>
      <c r="C431" s="69">
        <v>6.0471428571428572</v>
      </c>
      <c r="D431" s="69">
        <v>5.8776190476190475</v>
      </c>
      <c r="G431" s="77">
        <f t="shared" si="37"/>
        <v>6.0471428571428572</v>
      </c>
      <c r="H431" s="77">
        <f t="shared" si="38"/>
        <v>5.8776190476190475</v>
      </c>
      <c r="I431" s="77">
        <f t="shared" si="39"/>
        <v>-0.16952380952380963</v>
      </c>
      <c r="J431" s="78">
        <f t="shared" si="40"/>
        <v>10.187142857142856</v>
      </c>
      <c r="K431" s="78">
        <f t="shared" si="41"/>
        <v>9.8796190476190482</v>
      </c>
      <c r="L431" s="78">
        <f t="shared" si="36"/>
        <v>-0.30752380952380776</v>
      </c>
    </row>
    <row r="432" spans="2:12" s="162" customFormat="1" outlineLevel="1">
      <c r="B432" s="113">
        <v>39141</v>
      </c>
      <c r="C432" s="69">
        <v>5.9649999999999999</v>
      </c>
      <c r="D432" s="69">
        <v>5.8092499999999996</v>
      </c>
      <c r="G432" s="77">
        <f t="shared" si="37"/>
        <v>5.9649999999999999</v>
      </c>
      <c r="H432" s="77">
        <f t="shared" si="38"/>
        <v>5.8092499999999996</v>
      </c>
      <c r="I432" s="77">
        <f t="shared" si="39"/>
        <v>-0.15575000000000028</v>
      </c>
      <c r="J432" s="78">
        <f t="shared" si="40"/>
        <v>10.105</v>
      </c>
      <c r="K432" s="78">
        <f t="shared" si="41"/>
        <v>9.8112499999999994</v>
      </c>
      <c r="L432" s="78">
        <f t="shared" si="36"/>
        <v>-0.29375000000000107</v>
      </c>
    </row>
    <row r="433" spans="2:12" s="162" customFormat="1" outlineLevel="1">
      <c r="B433" s="113">
        <v>39172</v>
      </c>
      <c r="C433" s="69">
        <v>5.9493181818181817</v>
      </c>
      <c r="D433" s="69">
        <v>5.7368181818181814</v>
      </c>
      <c r="G433" s="77">
        <f t="shared" si="37"/>
        <v>5.9493181818181817</v>
      </c>
      <c r="H433" s="77">
        <f t="shared" si="38"/>
        <v>5.7368181818181814</v>
      </c>
      <c r="I433" s="77">
        <f t="shared" si="39"/>
        <v>-0.21250000000000036</v>
      </c>
      <c r="J433" s="78">
        <f t="shared" si="40"/>
        <v>10.089318181818182</v>
      </c>
      <c r="K433" s="78">
        <f t="shared" si="41"/>
        <v>9.738818181818182</v>
      </c>
      <c r="L433" s="78">
        <f t="shared" si="36"/>
        <v>-0.35050000000000026</v>
      </c>
    </row>
    <row r="434" spans="2:12" s="162" customFormat="1" outlineLevel="1">
      <c r="B434" s="113">
        <v>39202</v>
      </c>
      <c r="C434" s="69">
        <v>6.1083333333333334</v>
      </c>
      <c r="D434" s="69">
        <v>5.9097222222222223</v>
      </c>
      <c r="G434" s="77">
        <f t="shared" si="37"/>
        <v>6.1083333333333334</v>
      </c>
      <c r="H434" s="77">
        <f t="shared" si="38"/>
        <v>5.9097222222222223</v>
      </c>
      <c r="I434" s="77">
        <f t="shared" si="39"/>
        <v>-0.19861111111111107</v>
      </c>
      <c r="J434" s="78">
        <f t="shared" si="40"/>
        <v>10.248333333333333</v>
      </c>
      <c r="K434" s="78">
        <f t="shared" si="41"/>
        <v>9.9117222222222221</v>
      </c>
      <c r="L434" s="78">
        <f t="shared" si="36"/>
        <v>-0.33661111111111097</v>
      </c>
    </row>
    <row r="435" spans="2:12" s="162" customFormat="1" outlineLevel="1">
      <c r="B435" s="113">
        <v>39233</v>
      </c>
      <c r="C435" s="69">
        <v>6.071739130434783</v>
      </c>
      <c r="D435" s="69">
        <v>5.9208695652173899</v>
      </c>
      <c r="G435" s="77">
        <f t="shared" si="37"/>
        <v>6.071739130434783</v>
      </c>
      <c r="H435" s="77">
        <f t="shared" si="38"/>
        <v>5.9208695652173899</v>
      </c>
      <c r="I435" s="77">
        <f t="shared" si="39"/>
        <v>-0.15086956521739303</v>
      </c>
      <c r="J435" s="78">
        <f t="shared" si="40"/>
        <v>10.211739130434783</v>
      </c>
      <c r="K435" s="78">
        <f t="shared" si="41"/>
        <v>9.9228695652173897</v>
      </c>
      <c r="L435" s="78">
        <f t="shared" si="36"/>
        <v>-0.28886956521739293</v>
      </c>
    </row>
    <row r="436" spans="2:12" s="162" customFormat="1" outlineLevel="1">
      <c r="B436" s="113">
        <v>39263</v>
      </c>
      <c r="C436" s="69">
        <v>6.3359999999999985</v>
      </c>
      <c r="D436" s="69">
        <v>6.2047499999999998</v>
      </c>
      <c r="G436" s="77">
        <f t="shared" si="37"/>
        <v>6.3359999999999985</v>
      </c>
      <c r="H436" s="77">
        <f t="shared" si="38"/>
        <v>6.2047499999999998</v>
      </c>
      <c r="I436" s="77">
        <f t="shared" si="39"/>
        <v>-0.13124999999999876</v>
      </c>
      <c r="J436" s="78">
        <f t="shared" si="40"/>
        <v>10.475999999999999</v>
      </c>
      <c r="K436" s="78">
        <f t="shared" si="41"/>
        <v>10.20675</v>
      </c>
      <c r="L436" s="78">
        <f t="shared" si="36"/>
        <v>-0.26924999999999955</v>
      </c>
    </row>
    <row r="437" spans="2:12" s="162" customFormat="1" outlineLevel="1">
      <c r="B437" s="113">
        <v>39294</v>
      </c>
      <c r="C437" s="69">
        <v>6.3040909090909079</v>
      </c>
      <c r="D437" s="69">
        <v>6.1497727272727269</v>
      </c>
      <c r="G437" s="77">
        <f t="shared" si="37"/>
        <v>6.3040909090909079</v>
      </c>
      <c r="H437" s="77">
        <f t="shared" si="38"/>
        <v>6.1497727272727269</v>
      </c>
      <c r="I437" s="77">
        <f t="shared" si="39"/>
        <v>-0.15431818181818091</v>
      </c>
      <c r="J437" s="78">
        <f t="shared" si="40"/>
        <v>10.444090909090907</v>
      </c>
      <c r="K437" s="78">
        <f t="shared" si="41"/>
        <v>10.151772727272727</v>
      </c>
      <c r="L437" s="78">
        <f t="shared" si="36"/>
        <v>-0.29231818181817992</v>
      </c>
    </row>
    <row r="438" spans="2:12" s="162" customFormat="1" outlineLevel="1">
      <c r="B438" s="113">
        <v>39325</v>
      </c>
      <c r="C438" s="69">
        <v>6.1315909090909093</v>
      </c>
      <c r="D438" s="69">
        <v>5.9259090909090899</v>
      </c>
      <c r="G438" s="77">
        <f t="shared" si="37"/>
        <v>6.1315909090909093</v>
      </c>
      <c r="H438" s="77">
        <f t="shared" si="38"/>
        <v>5.9259090909090899</v>
      </c>
      <c r="I438" s="77">
        <f t="shared" si="39"/>
        <v>-0.20568181818181941</v>
      </c>
      <c r="J438" s="78">
        <f t="shared" si="40"/>
        <v>10.271590909090909</v>
      </c>
      <c r="K438" s="78">
        <f t="shared" si="41"/>
        <v>9.9279090909090897</v>
      </c>
      <c r="L438" s="78">
        <f t="shared" si="36"/>
        <v>-0.34368181818181931</v>
      </c>
    </row>
    <row r="439" spans="2:12" s="162" customFormat="1" outlineLevel="1">
      <c r="B439" s="113">
        <v>39355</v>
      </c>
      <c r="C439" s="69">
        <v>6.2073684210526316</v>
      </c>
      <c r="D439" s="69">
        <v>5.9921052631578942</v>
      </c>
      <c r="G439" s="77">
        <f t="shared" si="37"/>
        <v>6.2073684210526316</v>
      </c>
      <c r="H439" s="77">
        <f t="shared" si="38"/>
        <v>5.9921052631578942</v>
      </c>
      <c r="I439" s="77">
        <f t="shared" si="39"/>
        <v>-0.21526315789473749</v>
      </c>
      <c r="J439" s="78">
        <f t="shared" si="40"/>
        <v>10.347368421052632</v>
      </c>
      <c r="K439" s="78">
        <f t="shared" si="41"/>
        <v>9.9941052631578948</v>
      </c>
      <c r="L439" s="78">
        <f t="shared" si="36"/>
        <v>-0.35326315789473739</v>
      </c>
    </row>
    <row r="440" spans="2:12" s="162" customFormat="1" outlineLevel="1">
      <c r="B440" s="113">
        <v>39386</v>
      </c>
      <c r="C440" s="69">
        <v>6.4547826086956528</v>
      </c>
      <c r="D440" s="69">
        <v>6.1743478260869562</v>
      </c>
      <c r="G440" s="77">
        <f t="shared" si="37"/>
        <v>6.4547826086956528</v>
      </c>
      <c r="H440" s="77">
        <f t="shared" si="38"/>
        <v>6.1743478260869562</v>
      </c>
      <c r="I440" s="77">
        <f t="shared" si="39"/>
        <v>-0.28043478260869659</v>
      </c>
      <c r="J440" s="78">
        <f t="shared" si="40"/>
        <v>10.594782608695652</v>
      </c>
      <c r="K440" s="78">
        <f t="shared" si="41"/>
        <v>10.176347826086957</v>
      </c>
      <c r="L440" s="78">
        <f t="shared" si="36"/>
        <v>-0.4184347826086956</v>
      </c>
    </row>
    <row r="441" spans="2:12" s="162" customFormat="1" outlineLevel="1">
      <c r="B441" s="113">
        <v>39416</v>
      </c>
      <c r="C441" s="69">
        <v>6.3613636363636354</v>
      </c>
      <c r="D441" s="69">
        <v>6.0254545454545454</v>
      </c>
      <c r="G441" s="77">
        <f t="shared" si="37"/>
        <v>6.3613636363636354</v>
      </c>
      <c r="H441" s="77">
        <f t="shared" si="38"/>
        <v>6.0254545454545454</v>
      </c>
      <c r="I441" s="77">
        <f t="shared" si="39"/>
        <v>-0.33590909090909005</v>
      </c>
      <c r="J441" s="78">
        <f t="shared" si="40"/>
        <v>10.501363636363635</v>
      </c>
      <c r="K441" s="78">
        <f t="shared" si="41"/>
        <v>10.027454545454546</v>
      </c>
      <c r="L441" s="78">
        <f t="shared" si="36"/>
        <v>-0.47390909090908906</v>
      </c>
    </row>
    <row r="442" spans="2:12" s="162" customFormat="1" outlineLevel="1">
      <c r="B442" s="113">
        <v>39447</v>
      </c>
      <c r="C442" s="69">
        <v>6.4636842105263161</v>
      </c>
      <c r="D442" s="69">
        <v>6.2076315789473684</v>
      </c>
      <c r="G442" s="77">
        <f t="shared" si="37"/>
        <v>6.4636842105263161</v>
      </c>
      <c r="H442" s="77">
        <f t="shared" si="38"/>
        <v>6.2076315789473684</v>
      </c>
      <c r="I442" s="77">
        <f t="shared" si="39"/>
        <v>-0.25605263157894775</v>
      </c>
      <c r="J442" s="78">
        <f t="shared" si="40"/>
        <v>10.603684210526316</v>
      </c>
      <c r="K442" s="78">
        <f t="shared" si="41"/>
        <v>10.209631578947368</v>
      </c>
      <c r="L442" s="78">
        <f t="shared" si="36"/>
        <v>-0.39405263157894765</v>
      </c>
    </row>
    <row r="443" spans="2:12" s="162" customFormat="1" outlineLevel="1">
      <c r="B443" s="113">
        <v>39478</v>
      </c>
      <c r="C443" s="69">
        <v>6.3423809523809522</v>
      </c>
      <c r="D443" s="69">
        <v>6.076428571428572</v>
      </c>
      <c r="G443" s="77">
        <f t="shared" si="37"/>
        <v>6.3423809523809522</v>
      </c>
      <c r="H443" s="77">
        <f t="shared" si="38"/>
        <v>6.076428571428572</v>
      </c>
      <c r="I443" s="77">
        <f t="shared" si="39"/>
        <v>-0.26595238095238027</v>
      </c>
      <c r="J443" s="78">
        <f t="shared" si="40"/>
        <v>10.482380952380952</v>
      </c>
      <c r="K443" s="78">
        <f t="shared" si="41"/>
        <v>10.078428571428571</v>
      </c>
      <c r="L443" s="78">
        <f t="shared" si="36"/>
        <v>-0.40395238095238106</v>
      </c>
    </row>
    <row r="444" spans="2:12" s="162" customFormat="1" outlineLevel="1">
      <c r="B444" s="113">
        <v>39507</v>
      </c>
      <c r="C444" s="69">
        <v>6.5009523809523797</v>
      </c>
      <c r="D444" s="69">
        <v>6.2945238095238079</v>
      </c>
      <c r="G444" s="77">
        <f t="shared" si="37"/>
        <v>6.5009523809523797</v>
      </c>
      <c r="H444" s="77">
        <f t="shared" si="38"/>
        <v>6.2945238095238079</v>
      </c>
      <c r="I444" s="77">
        <f t="shared" si="39"/>
        <v>-0.20642857142857185</v>
      </c>
      <c r="J444" s="78">
        <f t="shared" si="40"/>
        <v>10.640952380952379</v>
      </c>
      <c r="K444" s="78">
        <f t="shared" si="41"/>
        <v>10.296523809523809</v>
      </c>
      <c r="L444" s="78">
        <f t="shared" si="36"/>
        <v>-0.34442857142857086</v>
      </c>
    </row>
    <row r="445" spans="2:12" s="162" customFormat="1" outlineLevel="1">
      <c r="B445" s="113">
        <v>39538</v>
      </c>
      <c r="C445" s="69">
        <v>6.1002631578947364</v>
      </c>
      <c r="D445" s="69">
        <v>6.0855263157894726</v>
      </c>
      <c r="G445" s="77">
        <f t="shared" si="37"/>
        <v>6.1002631578947364</v>
      </c>
      <c r="H445" s="77">
        <f t="shared" si="38"/>
        <v>6.0855263157894726</v>
      </c>
      <c r="I445" s="77">
        <f t="shared" si="39"/>
        <v>-1.4736842105263825E-2</v>
      </c>
      <c r="J445" s="78">
        <f t="shared" si="40"/>
        <v>10.240263157894736</v>
      </c>
      <c r="K445" s="78">
        <f t="shared" si="41"/>
        <v>10.087526315789471</v>
      </c>
      <c r="L445" s="78">
        <f t="shared" si="36"/>
        <v>-0.15273684210526461</v>
      </c>
    </row>
    <row r="446" spans="2:12" s="162" customFormat="1" outlineLevel="1">
      <c r="B446" s="113">
        <v>39568</v>
      </c>
      <c r="C446" s="69">
        <v>6.1861904761904745</v>
      </c>
      <c r="D446" s="69">
        <v>6.1704761904761893</v>
      </c>
      <c r="G446" s="77">
        <f t="shared" si="37"/>
        <v>6.1861904761904745</v>
      </c>
      <c r="H446" s="77">
        <f t="shared" si="38"/>
        <v>6.1704761904761893</v>
      </c>
      <c r="I446" s="77">
        <f t="shared" si="39"/>
        <v>-1.5714285714285126E-2</v>
      </c>
      <c r="J446" s="78">
        <f t="shared" si="40"/>
        <v>10.326190476190474</v>
      </c>
      <c r="K446" s="78">
        <f t="shared" si="41"/>
        <v>10.172476190476189</v>
      </c>
      <c r="L446" s="78">
        <f t="shared" si="36"/>
        <v>-0.15371428571428503</v>
      </c>
    </row>
    <row r="447" spans="2:12" s="162" customFormat="1" outlineLevel="1">
      <c r="B447" s="113">
        <v>39599</v>
      </c>
      <c r="C447" s="69">
        <v>6.3336363636363622</v>
      </c>
      <c r="D447" s="69">
        <v>6.3550000000000004</v>
      </c>
      <c r="G447" s="77">
        <f t="shared" si="37"/>
        <v>6.3336363636363622</v>
      </c>
      <c r="H447" s="77">
        <f t="shared" si="38"/>
        <v>6.3550000000000004</v>
      </c>
      <c r="I447" s="77">
        <f t="shared" si="39"/>
        <v>2.136363636363825E-2</v>
      </c>
      <c r="J447" s="78">
        <f t="shared" si="40"/>
        <v>10.473636363636363</v>
      </c>
      <c r="K447" s="78">
        <f t="shared" si="41"/>
        <v>10.356999999999999</v>
      </c>
      <c r="L447" s="78">
        <f t="shared" si="36"/>
        <v>-0.11663636363636343</v>
      </c>
    </row>
    <row r="448" spans="2:12" s="162" customFormat="1" outlineLevel="1">
      <c r="B448" s="113">
        <v>39629</v>
      </c>
      <c r="C448" s="69">
        <v>6.6902500000000007</v>
      </c>
      <c r="D448" s="69">
        <v>6.5867499999999994</v>
      </c>
      <c r="G448" s="77">
        <f t="shared" si="37"/>
        <v>6.6902500000000007</v>
      </c>
      <c r="H448" s="77">
        <f t="shared" si="38"/>
        <v>6.5867499999999994</v>
      </c>
      <c r="I448" s="77">
        <f t="shared" si="39"/>
        <v>-0.10350000000000126</v>
      </c>
      <c r="J448" s="78">
        <f t="shared" si="40"/>
        <v>10.830249999999999</v>
      </c>
      <c r="K448" s="78">
        <f t="shared" si="41"/>
        <v>10.588749999999999</v>
      </c>
      <c r="L448" s="78">
        <f t="shared" si="36"/>
        <v>-0.24150000000000027</v>
      </c>
    </row>
    <row r="449" spans="2:12" s="162" customFormat="1" outlineLevel="1">
      <c r="B449" s="113">
        <v>39660</v>
      </c>
      <c r="C449" s="69">
        <v>6.4043478260869557</v>
      </c>
      <c r="D449" s="69">
        <v>6.3665217391304365</v>
      </c>
      <c r="G449" s="77">
        <f t="shared" si="37"/>
        <v>6.4043478260869557</v>
      </c>
      <c r="H449" s="77">
        <f t="shared" si="38"/>
        <v>6.3665217391304365</v>
      </c>
      <c r="I449" s="77">
        <f t="shared" si="39"/>
        <v>-3.7826086956519234E-2</v>
      </c>
      <c r="J449" s="78">
        <f t="shared" si="40"/>
        <v>10.544347826086955</v>
      </c>
      <c r="K449" s="78">
        <f t="shared" si="41"/>
        <v>10.368521739130436</v>
      </c>
      <c r="L449" s="78">
        <f t="shared" si="36"/>
        <v>-0.17582608695651913</v>
      </c>
    </row>
    <row r="450" spans="2:12" s="162" customFormat="1" outlineLevel="1">
      <c r="B450" s="113">
        <v>39691</v>
      </c>
      <c r="C450" s="69">
        <v>5.7739999999999991</v>
      </c>
      <c r="D450" s="69">
        <v>5.8624999999999998</v>
      </c>
      <c r="G450" s="77">
        <f t="shared" si="37"/>
        <v>5.7739999999999991</v>
      </c>
      <c r="H450" s="77">
        <f t="shared" si="38"/>
        <v>5.8624999999999998</v>
      </c>
      <c r="I450" s="77">
        <f t="shared" si="39"/>
        <v>8.8500000000000689E-2</v>
      </c>
      <c r="J450" s="78">
        <f t="shared" si="40"/>
        <v>9.9139999999999979</v>
      </c>
      <c r="K450" s="78">
        <f t="shared" si="41"/>
        <v>9.8644999999999996</v>
      </c>
      <c r="L450" s="78">
        <f t="shared" si="36"/>
        <v>-4.9499999999998323E-2</v>
      </c>
    </row>
    <row r="451" spans="2:12" s="162" customFormat="1" outlineLevel="1">
      <c r="B451" s="113">
        <v>39721</v>
      </c>
      <c r="C451" s="69">
        <v>5.5363636363636353</v>
      </c>
      <c r="D451" s="69">
        <v>5.6459090909090897</v>
      </c>
      <c r="G451" s="77">
        <f t="shared" si="37"/>
        <v>5.5363636363636353</v>
      </c>
      <c r="H451" s="77">
        <f t="shared" si="38"/>
        <v>5.6459090909090897</v>
      </c>
      <c r="I451" s="77">
        <f t="shared" si="39"/>
        <v>0.10954545454545439</v>
      </c>
      <c r="J451" s="78">
        <f t="shared" si="40"/>
        <v>9.6763636363636358</v>
      </c>
      <c r="K451" s="78">
        <f t="shared" si="41"/>
        <v>9.6479090909090885</v>
      </c>
      <c r="L451" s="78">
        <f t="shared" si="36"/>
        <v>-2.8454545454547286E-2</v>
      </c>
    </row>
    <row r="452" spans="2:12" s="162" customFormat="1" outlineLevel="1">
      <c r="B452" s="113">
        <v>39752</v>
      </c>
      <c r="C452" s="69">
        <v>4.8284090909090907</v>
      </c>
      <c r="D452" s="69">
        <v>5.2152272727272724</v>
      </c>
      <c r="G452" s="77">
        <f t="shared" si="37"/>
        <v>4.8284090909090907</v>
      </c>
      <c r="H452" s="77">
        <f t="shared" si="38"/>
        <v>5.2152272727272724</v>
      </c>
      <c r="I452" s="77">
        <f t="shared" si="39"/>
        <v>0.38681818181818173</v>
      </c>
      <c r="J452" s="78">
        <f t="shared" si="40"/>
        <v>8.9684090909090912</v>
      </c>
      <c r="K452" s="78">
        <f t="shared" si="41"/>
        <v>9.2172272727272713</v>
      </c>
      <c r="L452" s="78">
        <f t="shared" si="36"/>
        <v>0.24881818181818005</v>
      </c>
    </row>
    <row r="453" spans="2:12" s="162" customFormat="1" outlineLevel="1">
      <c r="B453" s="113">
        <v>39782</v>
      </c>
      <c r="C453" s="69">
        <v>4.2787499999999996</v>
      </c>
      <c r="D453" s="69">
        <v>4.9407499999999995</v>
      </c>
      <c r="G453" s="77">
        <f t="shared" si="37"/>
        <v>4.2787499999999996</v>
      </c>
      <c r="H453" s="77">
        <f t="shared" si="38"/>
        <v>4.9407499999999995</v>
      </c>
      <c r="I453" s="77">
        <f t="shared" si="39"/>
        <v>0.66199999999999992</v>
      </c>
      <c r="J453" s="78">
        <f t="shared" si="40"/>
        <v>8.4187499999999993</v>
      </c>
      <c r="K453" s="78">
        <f t="shared" si="41"/>
        <v>8.9427500000000002</v>
      </c>
      <c r="L453" s="78">
        <f t="shared" si="36"/>
        <v>0.52400000000000091</v>
      </c>
    </row>
    <row r="454" spans="2:12" s="162" customFormat="1" outlineLevel="1">
      <c r="B454" s="113">
        <v>39813</v>
      </c>
      <c r="C454" s="69">
        <v>3.7221428571428561</v>
      </c>
      <c r="D454" s="69">
        <v>4.2157142857142853</v>
      </c>
      <c r="G454" s="77">
        <f t="shared" si="37"/>
        <v>3.7221428571428561</v>
      </c>
      <c r="H454" s="77">
        <f t="shared" si="38"/>
        <v>4.2157142857142853</v>
      </c>
      <c r="I454" s="77">
        <f t="shared" si="39"/>
        <v>0.49357142857142922</v>
      </c>
      <c r="J454" s="78">
        <f t="shared" si="40"/>
        <v>7.8621428571428558</v>
      </c>
      <c r="K454" s="78">
        <f t="shared" si="41"/>
        <v>8.2177142857142851</v>
      </c>
      <c r="L454" s="78">
        <f t="shared" si="36"/>
        <v>0.35557142857142932</v>
      </c>
    </row>
    <row r="455" spans="2:12" s="162" customFormat="1" outlineLevel="1">
      <c r="B455" s="113">
        <v>39844</v>
      </c>
      <c r="C455" s="69">
        <v>3.49675</v>
      </c>
      <c r="D455" s="69">
        <v>4.0857499999999991</v>
      </c>
      <c r="G455" s="77">
        <f t="shared" si="37"/>
        <v>3.49675</v>
      </c>
      <c r="H455" s="77">
        <f t="shared" si="38"/>
        <v>4.0857499999999991</v>
      </c>
      <c r="I455" s="77">
        <f t="shared" si="39"/>
        <v>0.58899999999999908</v>
      </c>
      <c r="J455" s="78">
        <f t="shared" si="40"/>
        <v>7.6367499999999993</v>
      </c>
      <c r="K455" s="78">
        <f t="shared" si="41"/>
        <v>8.0877499999999998</v>
      </c>
      <c r="L455" s="78">
        <f t="shared" si="36"/>
        <v>0.45100000000000051</v>
      </c>
    </row>
    <row r="456" spans="2:12" s="162" customFormat="1" outlineLevel="1">
      <c r="B456" s="113">
        <v>39872</v>
      </c>
      <c r="C456" s="69">
        <v>3.5894999999999997</v>
      </c>
      <c r="D456" s="69">
        <v>4.253000000000001</v>
      </c>
      <c r="G456" s="77">
        <f t="shared" si="37"/>
        <v>3.5894999999999997</v>
      </c>
      <c r="H456" s="77">
        <f t="shared" si="38"/>
        <v>4.253000000000001</v>
      </c>
      <c r="I456" s="77">
        <f t="shared" si="39"/>
        <v>0.66350000000000131</v>
      </c>
      <c r="J456" s="78">
        <f t="shared" si="40"/>
        <v>7.7294999999999998</v>
      </c>
      <c r="K456" s="78">
        <f t="shared" si="41"/>
        <v>8.2550000000000008</v>
      </c>
      <c r="L456" s="78">
        <f t="shared" si="36"/>
        <v>0.52550000000000097</v>
      </c>
    </row>
    <row r="457" spans="2:12" s="162" customFormat="1" outlineLevel="1">
      <c r="B457" s="113">
        <v>39903</v>
      </c>
      <c r="C457" s="69">
        <v>3.7286363636363631</v>
      </c>
      <c r="D457" s="69">
        <v>4.3277272727272722</v>
      </c>
      <c r="G457" s="77">
        <f t="shared" si="37"/>
        <v>3.7286363636363631</v>
      </c>
      <c r="H457" s="77">
        <f t="shared" si="38"/>
        <v>4.3277272727272722</v>
      </c>
      <c r="I457" s="77">
        <f t="shared" si="39"/>
        <v>0.59909090909090912</v>
      </c>
      <c r="J457" s="78">
        <f t="shared" si="40"/>
        <v>7.8686363636363623</v>
      </c>
      <c r="K457" s="78">
        <f t="shared" si="41"/>
        <v>8.329727272727272</v>
      </c>
      <c r="L457" s="78">
        <f t="shared" si="36"/>
        <v>0.46109090909090966</v>
      </c>
    </row>
    <row r="458" spans="2:12" s="162" customFormat="1" outlineLevel="1">
      <c r="B458" s="113">
        <v>39933</v>
      </c>
      <c r="C458" s="69">
        <v>4.0454999999999988</v>
      </c>
      <c r="D458" s="69">
        <v>4.5120000000000005</v>
      </c>
      <c r="G458" s="77">
        <f t="shared" si="37"/>
        <v>4.0454999999999988</v>
      </c>
      <c r="H458" s="77">
        <f t="shared" si="38"/>
        <v>4.5120000000000005</v>
      </c>
      <c r="I458" s="77">
        <f t="shared" si="39"/>
        <v>0.46650000000000169</v>
      </c>
      <c r="J458" s="78">
        <f t="shared" si="40"/>
        <v>8.1854999999999976</v>
      </c>
      <c r="K458" s="78">
        <f t="shared" si="41"/>
        <v>8.5139999999999993</v>
      </c>
      <c r="L458" s="78">
        <f t="shared" si="36"/>
        <v>0.32850000000000179</v>
      </c>
    </row>
    <row r="459" spans="2:12" s="162" customFormat="1" outlineLevel="1">
      <c r="B459" s="113">
        <v>39964</v>
      </c>
      <c r="C459" s="69">
        <v>4.4742857142857151</v>
      </c>
      <c r="D459" s="69">
        <v>5.0042857142857144</v>
      </c>
      <c r="G459" s="77">
        <f t="shared" si="37"/>
        <v>4.4742857142857151</v>
      </c>
      <c r="H459" s="77">
        <f t="shared" si="38"/>
        <v>5.0042857142857144</v>
      </c>
      <c r="I459" s="77">
        <f t="shared" si="39"/>
        <v>0.52999999999999936</v>
      </c>
      <c r="J459" s="78">
        <f t="shared" si="40"/>
        <v>8.6142857142857139</v>
      </c>
      <c r="K459" s="78">
        <f t="shared" si="41"/>
        <v>9.0062857142857133</v>
      </c>
      <c r="L459" s="78">
        <f t="shared" ref="L459:L507" si="42">K459-J459</f>
        <v>0.39199999999999946</v>
      </c>
    </row>
    <row r="460" spans="2:12" s="162" customFormat="1" outlineLevel="1">
      <c r="B460" s="113">
        <v>39994</v>
      </c>
      <c r="C460" s="69">
        <v>5.1021428571428578</v>
      </c>
      <c r="D460" s="69">
        <v>5.5566666666666666</v>
      </c>
      <c r="G460" s="77">
        <f t="shared" ref="G460:G523" si="43">IF(C460="",E460,C460)</f>
        <v>5.1021428571428578</v>
      </c>
      <c r="H460" s="77">
        <f t="shared" ref="H460:H523" si="44">IF(D460="",F460,D460)</f>
        <v>5.5566666666666666</v>
      </c>
      <c r="I460" s="77">
        <f t="shared" ref="I460:I523" si="45">H460-G460</f>
        <v>0.45452380952380889</v>
      </c>
      <c r="J460" s="78">
        <f t="shared" ref="J460:J523" si="46">G460  +  0.6  *  6.9</f>
        <v>9.2421428571428574</v>
      </c>
      <c r="K460" s="78">
        <f t="shared" ref="K460:K523" si="47">H460  +  0.6  *  6.67</f>
        <v>9.5586666666666673</v>
      </c>
      <c r="L460" s="78">
        <f t="shared" si="42"/>
        <v>0.31652380952380987</v>
      </c>
    </row>
    <row r="461" spans="2:12" s="162" customFormat="1" outlineLevel="1">
      <c r="B461" s="113">
        <v>40025</v>
      </c>
      <c r="C461" s="69">
        <v>5.20804347826087</v>
      </c>
      <c r="D461" s="69">
        <v>5.4878260869565221</v>
      </c>
      <c r="G461" s="77">
        <f t="shared" si="43"/>
        <v>5.20804347826087</v>
      </c>
      <c r="H461" s="77">
        <f t="shared" si="44"/>
        <v>5.4878260869565221</v>
      </c>
      <c r="I461" s="77">
        <f t="shared" si="45"/>
        <v>0.27978260869565208</v>
      </c>
      <c r="J461" s="78">
        <f t="shared" si="46"/>
        <v>9.3480434782608697</v>
      </c>
      <c r="K461" s="78">
        <f t="shared" si="47"/>
        <v>9.4898260869565227</v>
      </c>
      <c r="L461" s="78">
        <f t="shared" si="42"/>
        <v>0.14178260869565307</v>
      </c>
    </row>
    <row r="462" spans="2:12" s="162" customFormat="1" outlineLevel="1">
      <c r="B462" s="113">
        <v>40056</v>
      </c>
      <c r="C462" s="69">
        <v>5.3915000000000006</v>
      </c>
      <c r="D462" s="69">
        <v>5.5332500000000007</v>
      </c>
      <c r="G462" s="77">
        <f t="shared" si="43"/>
        <v>5.3915000000000006</v>
      </c>
      <c r="H462" s="77">
        <f t="shared" si="44"/>
        <v>5.5332500000000007</v>
      </c>
      <c r="I462" s="77">
        <f t="shared" si="45"/>
        <v>0.14175000000000004</v>
      </c>
      <c r="J462" s="78">
        <f t="shared" si="46"/>
        <v>9.5315000000000012</v>
      </c>
      <c r="K462" s="78">
        <f t="shared" si="47"/>
        <v>9.5352500000000013</v>
      </c>
      <c r="L462" s="78">
        <f t="shared" si="42"/>
        <v>3.7500000000001421E-3</v>
      </c>
    </row>
    <row r="463" spans="2:12" s="162" customFormat="1" outlineLevel="1">
      <c r="B463" s="113">
        <v>40086</v>
      </c>
      <c r="C463" s="69">
        <v>5.1395454545454529</v>
      </c>
      <c r="D463" s="69">
        <v>5.3236363636363642</v>
      </c>
      <c r="G463" s="77">
        <f t="shared" si="43"/>
        <v>5.1395454545454529</v>
      </c>
      <c r="H463" s="77">
        <f t="shared" si="44"/>
        <v>5.3236363636363642</v>
      </c>
      <c r="I463" s="77">
        <f t="shared" si="45"/>
        <v>0.1840909090909113</v>
      </c>
      <c r="J463" s="78">
        <f t="shared" si="46"/>
        <v>9.2795454545454525</v>
      </c>
      <c r="K463" s="78">
        <f t="shared" si="47"/>
        <v>9.3256363636363631</v>
      </c>
      <c r="L463" s="78">
        <f t="shared" si="42"/>
        <v>4.6090909090910515E-2</v>
      </c>
    </row>
    <row r="464" spans="2:12" s="162" customFormat="1" outlineLevel="1">
      <c r="B464" s="113">
        <v>40117</v>
      </c>
      <c r="C464" s="69">
        <v>5.3545238095238101</v>
      </c>
      <c r="D464" s="69">
        <v>5.4502380952380962</v>
      </c>
      <c r="G464" s="77">
        <f t="shared" si="43"/>
        <v>5.3545238095238101</v>
      </c>
      <c r="H464" s="77">
        <f t="shared" si="44"/>
        <v>5.4502380952380962</v>
      </c>
      <c r="I464" s="77">
        <f t="shared" si="45"/>
        <v>9.5714285714286085E-2</v>
      </c>
      <c r="J464" s="78">
        <f t="shared" si="46"/>
        <v>9.4945238095238089</v>
      </c>
      <c r="K464" s="78">
        <f t="shared" si="47"/>
        <v>9.452238095238096</v>
      </c>
      <c r="L464" s="78">
        <f t="shared" si="42"/>
        <v>-4.2285714285712928E-2</v>
      </c>
    </row>
    <row r="465" spans="2:12" s="162" customFormat="1" outlineLevel="1">
      <c r="B465" s="113">
        <v>40147</v>
      </c>
      <c r="C465" s="69">
        <v>5.237619047619047</v>
      </c>
      <c r="D465" s="69">
        <v>5.4666666666666668</v>
      </c>
      <c r="G465" s="77">
        <f t="shared" si="43"/>
        <v>5.237619047619047</v>
      </c>
      <c r="H465" s="77">
        <f t="shared" si="44"/>
        <v>5.4666666666666668</v>
      </c>
      <c r="I465" s="77">
        <f t="shared" si="45"/>
        <v>0.22904761904761983</v>
      </c>
      <c r="J465" s="78">
        <f t="shared" si="46"/>
        <v>9.3776190476190457</v>
      </c>
      <c r="K465" s="78">
        <f t="shared" si="47"/>
        <v>9.4686666666666675</v>
      </c>
      <c r="L465" s="78">
        <f t="shared" si="42"/>
        <v>9.1047619047621708E-2</v>
      </c>
    </row>
    <row r="466" spans="2:12" s="162" customFormat="1" outlineLevel="1">
      <c r="B466" s="113">
        <v>40178</v>
      </c>
      <c r="C466" s="69">
        <v>5.15</v>
      </c>
      <c r="D466" s="69">
        <v>5.4730952380952367</v>
      </c>
      <c r="G466" s="77">
        <f t="shared" si="43"/>
        <v>5.15</v>
      </c>
      <c r="H466" s="77">
        <f t="shared" si="44"/>
        <v>5.4730952380952367</v>
      </c>
      <c r="I466" s="77">
        <f t="shared" si="45"/>
        <v>0.32309523809523633</v>
      </c>
      <c r="J466" s="78">
        <f t="shared" si="46"/>
        <v>9.2899999999999991</v>
      </c>
      <c r="K466" s="78">
        <f t="shared" si="47"/>
        <v>9.4750952380952356</v>
      </c>
      <c r="L466" s="78">
        <f t="shared" si="42"/>
        <v>0.18509523809523643</v>
      </c>
    </row>
    <row r="467" spans="2:12" s="162" customFormat="1" outlineLevel="1">
      <c r="B467" s="113">
        <v>40209</v>
      </c>
      <c r="C467" s="69">
        <v>5.2725</v>
      </c>
      <c r="D467" s="69">
        <v>5.5575000000000001</v>
      </c>
      <c r="G467" s="77">
        <f t="shared" si="43"/>
        <v>5.2725</v>
      </c>
      <c r="H467" s="77">
        <f t="shared" si="44"/>
        <v>5.5575000000000001</v>
      </c>
      <c r="I467" s="77">
        <f t="shared" si="45"/>
        <v>0.28500000000000014</v>
      </c>
      <c r="J467" s="78">
        <f t="shared" si="46"/>
        <v>9.4124999999999996</v>
      </c>
      <c r="K467" s="78">
        <f t="shared" si="47"/>
        <v>9.5594999999999999</v>
      </c>
      <c r="L467" s="78">
        <f t="shared" si="42"/>
        <v>0.14700000000000024</v>
      </c>
    </row>
    <row r="468" spans="2:12" s="162" customFormat="1" outlineLevel="1">
      <c r="B468" s="113">
        <v>40237</v>
      </c>
      <c r="C468" s="69">
        <v>5.12</v>
      </c>
      <c r="D468" s="69">
        <v>5.4775</v>
      </c>
      <c r="G468" s="77">
        <f t="shared" si="43"/>
        <v>5.12</v>
      </c>
      <c r="H468" s="77">
        <f t="shared" si="44"/>
        <v>5.4775</v>
      </c>
      <c r="I468" s="77">
        <f t="shared" si="45"/>
        <v>0.35749999999999993</v>
      </c>
      <c r="J468" s="78">
        <f t="shared" si="46"/>
        <v>9.26</v>
      </c>
      <c r="K468" s="78">
        <f t="shared" si="47"/>
        <v>9.4794999999999998</v>
      </c>
      <c r="L468" s="78">
        <f t="shared" si="42"/>
        <v>0.21950000000000003</v>
      </c>
    </row>
    <row r="469" spans="2:12" s="162" customFormat="1" outlineLevel="1">
      <c r="B469" s="113">
        <v>40268</v>
      </c>
      <c r="C469" s="69">
        <v>5.34</v>
      </c>
      <c r="D469" s="69">
        <v>5.62</v>
      </c>
      <c r="G469" s="77">
        <f t="shared" si="43"/>
        <v>5.34</v>
      </c>
      <c r="H469" s="77">
        <f t="shared" si="44"/>
        <v>5.62</v>
      </c>
      <c r="I469" s="77">
        <f t="shared" si="45"/>
        <v>0.28000000000000025</v>
      </c>
      <c r="J469" s="78">
        <f t="shared" si="46"/>
        <v>9.48</v>
      </c>
      <c r="K469" s="78">
        <f t="shared" si="47"/>
        <v>9.6219999999999999</v>
      </c>
      <c r="L469" s="78">
        <f t="shared" si="42"/>
        <v>0.14199999999999946</v>
      </c>
    </row>
    <row r="470" spans="2:12" s="162" customFormat="1" outlineLevel="1">
      <c r="B470" s="113">
        <v>40298</v>
      </c>
      <c r="C470" s="69">
        <v>5.53</v>
      </c>
      <c r="D470" s="69">
        <v>5.7949999999999999</v>
      </c>
      <c r="G470" s="77">
        <f t="shared" si="43"/>
        <v>5.53</v>
      </c>
      <c r="H470" s="77">
        <f t="shared" si="44"/>
        <v>5.7949999999999999</v>
      </c>
      <c r="I470" s="77">
        <f t="shared" si="45"/>
        <v>0.26499999999999968</v>
      </c>
      <c r="J470" s="78">
        <f t="shared" si="46"/>
        <v>9.67</v>
      </c>
      <c r="K470" s="78">
        <f t="shared" si="47"/>
        <v>9.7970000000000006</v>
      </c>
      <c r="L470" s="78">
        <f t="shared" si="42"/>
        <v>0.12700000000000067</v>
      </c>
    </row>
    <row r="471" spans="2:12" s="162" customFormat="1" outlineLevel="1">
      <c r="B471" s="113">
        <v>40329</v>
      </c>
      <c r="C471" s="69">
        <v>5.2050000000000001</v>
      </c>
      <c r="D471" s="69">
        <v>5.48</v>
      </c>
      <c r="G471" s="77">
        <f t="shared" si="43"/>
        <v>5.2050000000000001</v>
      </c>
      <c r="H471" s="77">
        <f t="shared" si="44"/>
        <v>5.48</v>
      </c>
      <c r="I471" s="77">
        <f t="shared" si="45"/>
        <v>0.27500000000000036</v>
      </c>
      <c r="J471" s="78">
        <f t="shared" si="46"/>
        <v>9.3449999999999989</v>
      </c>
      <c r="K471" s="78">
        <f t="shared" si="47"/>
        <v>9.4819999999999993</v>
      </c>
      <c r="L471" s="78">
        <f t="shared" si="42"/>
        <v>0.13700000000000045</v>
      </c>
    </row>
    <row r="472" spans="2:12" s="162" customFormat="1" outlineLevel="1">
      <c r="B472" s="113">
        <v>40359</v>
      </c>
      <c r="C472" s="69">
        <v>4.9725000000000001</v>
      </c>
      <c r="D472" s="69">
        <v>5.3274999999999997</v>
      </c>
      <c r="G472" s="77">
        <f t="shared" si="43"/>
        <v>4.9725000000000001</v>
      </c>
      <c r="H472" s="77">
        <f t="shared" si="44"/>
        <v>5.3274999999999997</v>
      </c>
      <c r="I472" s="77">
        <f t="shared" si="45"/>
        <v>0.35499999999999954</v>
      </c>
      <c r="J472" s="78">
        <f t="shared" si="46"/>
        <v>9.1125000000000007</v>
      </c>
      <c r="K472" s="78">
        <f t="shared" si="47"/>
        <v>9.3294999999999995</v>
      </c>
      <c r="L472" s="78">
        <f t="shared" si="42"/>
        <v>0.21699999999999875</v>
      </c>
    </row>
    <row r="473" spans="2:12" s="162" customFormat="1" outlineLevel="1">
      <c r="B473" s="113">
        <v>40390</v>
      </c>
      <c r="C473" s="69">
        <v>4.7925000000000004</v>
      </c>
      <c r="D473" s="69">
        <v>5.1449999999999996</v>
      </c>
      <c r="G473" s="77">
        <f t="shared" si="43"/>
        <v>4.7925000000000004</v>
      </c>
      <c r="H473" s="77">
        <f t="shared" si="44"/>
        <v>5.1449999999999996</v>
      </c>
      <c r="I473" s="77">
        <f t="shared" si="45"/>
        <v>0.35249999999999915</v>
      </c>
      <c r="J473" s="78">
        <f t="shared" si="46"/>
        <v>8.932500000000001</v>
      </c>
      <c r="K473" s="78">
        <f t="shared" si="47"/>
        <v>9.1469999999999985</v>
      </c>
      <c r="L473" s="78">
        <f t="shared" si="42"/>
        <v>0.21449999999999747</v>
      </c>
    </row>
    <row r="474" spans="2:12" s="162" customFormat="1" outlineLevel="1">
      <c r="B474" s="113">
        <v>40421</v>
      </c>
      <c r="C474" s="69">
        <v>4.6624999999999996</v>
      </c>
      <c r="D474" s="69">
        <v>4.97</v>
      </c>
      <c r="G474" s="77">
        <f t="shared" si="43"/>
        <v>4.6624999999999996</v>
      </c>
      <c r="H474" s="77">
        <f t="shared" si="44"/>
        <v>4.97</v>
      </c>
      <c r="I474" s="77">
        <f t="shared" si="45"/>
        <v>0.30750000000000011</v>
      </c>
      <c r="J474" s="78">
        <f t="shared" si="46"/>
        <v>8.8024999999999984</v>
      </c>
      <c r="K474" s="78">
        <f t="shared" si="47"/>
        <v>8.9719999999999995</v>
      </c>
      <c r="L474" s="78">
        <f t="shared" si="42"/>
        <v>0.16950000000000109</v>
      </c>
    </row>
    <row r="475" spans="2:12" s="162" customFormat="1" outlineLevel="1">
      <c r="B475" s="113">
        <v>40451</v>
      </c>
      <c r="C475" s="69">
        <v>4.8075000000000001</v>
      </c>
      <c r="D475" s="69">
        <v>5.0025000000000004</v>
      </c>
      <c r="G475" s="77">
        <f t="shared" si="43"/>
        <v>4.8075000000000001</v>
      </c>
      <c r="H475" s="77">
        <f t="shared" si="44"/>
        <v>5.0025000000000004</v>
      </c>
      <c r="I475" s="77">
        <f t="shared" si="45"/>
        <v>0.19500000000000028</v>
      </c>
      <c r="J475" s="78">
        <f t="shared" si="46"/>
        <v>8.9474999999999998</v>
      </c>
      <c r="K475" s="78">
        <f t="shared" si="47"/>
        <v>9.0045000000000002</v>
      </c>
      <c r="L475" s="78">
        <f t="shared" si="42"/>
        <v>5.7000000000000384E-2</v>
      </c>
    </row>
    <row r="476" spans="2:12" s="162" customFormat="1" outlineLevel="1">
      <c r="B476" s="113">
        <v>40482</v>
      </c>
      <c r="C476" s="69">
        <v>4.9675000000000002</v>
      </c>
      <c r="D476" s="69">
        <v>5.085</v>
      </c>
      <c r="G476" s="77">
        <f t="shared" si="43"/>
        <v>4.9675000000000002</v>
      </c>
      <c r="H476" s="77">
        <f t="shared" si="44"/>
        <v>5.085</v>
      </c>
      <c r="I476" s="77">
        <f t="shared" si="45"/>
        <v>0.11749999999999972</v>
      </c>
      <c r="J476" s="78">
        <f t="shared" si="46"/>
        <v>9.1074999999999999</v>
      </c>
      <c r="K476" s="78">
        <f t="shared" si="47"/>
        <v>9.0869999999999997</v>
      </c>
      <c r="L476" s="78">
        <f t="shared" si="42"/>
        <v>-2.0500000000000185E-2</v>
      </c>
    </row>
    <row r="477" spans="2:12" s="162" customFormat="1" outlineLevel="1">
      <c r="B477" s="113">
        <v>40512</v>
      </c>
      <c r="C477" s="69">
        <v>5.21</v>
      </c>
      <c r="D477" s="69">
        <v>5.3775000000000004</v>
      </c>
      <c r="G477" s="77">
        <f t="shared" si="43"/>
        <v>5.21</v>
      </c>
      <c r="H477" s="77">
        <f t="shared" si="44"/>
        <v>5.3775000000000004</v>
      </c>
      <c r="I477" s="77">
        <f t="shared" si="45"/>
        <v>0.16750000000000043</v>
      </c>
      <c r="J477" s="78">
        <f t="shared" si="46"/>
        <v>9.35</v>
      </c>
      <c r="K477" s="78">
        <f t="shared" si="47"/>
        <v>9.3795000000000002</v>
      </c>
      <c r="L477" s="78">
        <f t="shared" si="42"/>
        <v>2.9500000000000526E-2</v>
      </c>
    </row>
    <row r="478" spans="2:12" s="162" customFormat="1" outlineLevel="1">
      <c r="B478" s="113">
        <v>40543</v>
      </c>
      <c r="C478" s="69">
        <v>5.33</v>
      </c>
      <c r="D478" s="69">
        <v>5.5549999999999997</v>
      </c>
      <c r="G478" s="77">
        <f t="shared" si="43"/>
        <v>5.33</v>
      </c>
      <c r="H478" s="77">
        <f t="shared" si="44"/>
        <v>5.5549999999999997</v>
      </c>
      <c r="I478" s="77">
        <f t="shared" si="45"/>
        <v>0.22499999999999964</v>
      </c>
      <c r="J478" s="78">
        <f t="shared" si="46"/>
        <v>9.4699999999999989</v>
      </c>
      <c r="K478" s="78">
        <f t="shared" si="47"/>
        <v>9.5569999999999986</v>
      </c>
      <c r="L478" s="78">
        <f t="shared" si="42"/>
        <v>8.6999999999999744E-2</v>
      </c>
    </row>
    <row r="479" spans="2:12" s="162" customFormat="1" outlineLevel="1">
      <c r="B479" s="113">
        <v>40574</v>
      </c>
      <c r="C479" s="69">
        <v>5.2750000000000004</v>
      </c>
      <c r="D479" s="69">
        <v>5.5200000000000005</v>
      </c>
      <c r="G479" s="77">
        <f t="shared" si="43"/>
        <v>5.2750000000000004</v>
      </c>
      <c r="H479" s="77">
        <f t="shared" si="44"/>
        <v>5.5200000000000005</v>
      </c>
      <c r="I479" s="77">
        <f t="shared" si="45"/>
        <v>0.24500000000000011</v>
      </c>
      <c r="J479" s="78">
        <f t="shared" si="46"/>
        <v>9.4149999999999991</v>
      </c>
      <c r="K479" s="78">
        <f t="shared" si="47"/>
        <v>9.5220000000000002</v>
      </c>
      <c r="L479" s="78">
        <f t="shared" si="42"/>
        <v>0.10700000000000109</v>
      </c>
    </row>
    <row r="480" spans="2:12" s="162" customFormat="1" outlineLevel="1">
      <c r="B480" s="113">
        <v>40602</v>
      </c>
      <c r="C480" s="69">
        <v>5.39</v>
      </c>
      <c r="D480" s="69">
        <v>5.61</v>
      </c>
      <c r="G480" s="77">
        <f t="shared" si="43"/>
        <v>5.39</v>
      </c>
      <c r="H480" s="77">
        <f t="shared" si="44"/>
        <v>5.61</v>
      </c>
      <c r="I480" s="77">
        <f t="shared" si="45"/>
        <v>0.22000000000000064</v>
      </c>
      <c r="J480" s="78">
        <f t="shared" si="46"/>
        <v>9.5299999999999994</v>
      </c>
      <c r="K480" s="78">
        <f t="shared" si="47"/>
        <v>9.6120000000000001</v>
      </c>
      <c r="L480" s="78">
        <f t="shared" si="42"/>
        <v>8.2000000000000739E-2</v>
      </c>
    </row>
    <row r="481" spans="2:12" s="162" customFormat="1" outlineLevel="1">
      <c r="B481" s="113">
        <v>40633</v>
      </c>
      <c r="C481" s="69">
        <v>5.2075000000000005</v>
      </c>
      <c r="D481" s="69">
        <v>5.4350000000000005</v>
      </c>
      <c r="G481" s="77">
        <f t="shared" si="43"/>
        <v>5.2075000000000005</v>
      </c>
      <c r="H481" s="77">
        <f t="shared" si="44"/>
        <v>5.4350000000000005</v>
      </c>
      <c r="I481" s="77">
        <f t="shared" si="45"/>
        <v>0.22750000000000004</v>
      </c>
      <c r="J481" s="78">
        <f t="shared" si="46"/>
        <v>9.3475000000000001</v>
      </c>
      <c r="K481" s="78">
        <f t="shared" si="47"/>
        <v>9.4370000000000012</v>
      </c>
      <c r="L481" s="78">
        <f t="shared" si="42"/>
        <v>8.9500000000001023E-2</v>
      </c>
    </row>
    <row r="482" spans="2:12" s="162" customFormat="1" outlineLevel="1">
      <c r="B482" s="113">
        <v>40663</v>
      </c>
      <c r="C482" s="69">
        <v>5.2925000000000004</v>
      </c>
      <c r="D482" s="69">
        <v>5.5125000000000002</v>
      </c>
      <c r="G482" s="77">
        <f t="shared" si="43"/>
        <v>5.2925000000000004</v>
      </c>
      <c r="H482" s="77">
        <f t="shared" si="44"/>
        <v>5.5125000000000002</v>
      </c>
      <c r="I482" s="77">
        <f t="shared" si="45"/>
        <v>0.21999999999999975</v>
      </c>
      <c r="J482" s="78">
        <f t="shared" si="46"/>
        <v>9.432500000000001</v>
      </c>
      <c r="K482" s="78">
        <f t="shared" si="47"/>
        <v>9.5145</v>
      </c>
      <c r="L482" s="78">
        <f t="shared" si="42"/>
        <v>8.1999999999998963E-2</v>
      </c>
    </row>
    <row r="483" spans="2:12" s="162" customFormat="1" outlineLevel="1">
      <c r="B483" s="113">
        <v>40694</v>
      </c>
      <c r="C483" s="69">
        <v>5.1524999999999999</v>
      </c>
      <c r="D483" s="69">
        <v>5.3250000000000002</v>
      </c>
      <c r="G483" s="77">
        <f t="shared" si="43"/>
        <v>5.1524999999999999</v>
      </c>
      <c r="H483" s="77">
        <f t="shared" si="44"/>
        <v>5.3250000000000002</v>
      </c>
      <c r="I483" s="77">
        <f t="shared" si="45"/>
        <v>0.17250000000000032</v>
      </c>
      <c r="J483" s="78">
        <f t="shared" si="46"/>
        <v>9.2925000000000004</v>
      </c>
      <c r="K483" s="78">
        <f t="shared" si="47"/>
        <v>9.327</v>
      </c>
      <c r="L483" s="78">
        <f t="shared" si="42"/>
        <v>3.4499999999999531E-2</v>
      </c>
    </row>
    <row r="484" spans="2:12" s="162" customFormat="1" outlineLevel="1">
      <c r="B484" s="113">
        <v>40724</v>
      </c>
      <c r="C484" s="69">
        <v>4.8849999999999998</v>
      </c>
      <c r="D484" s="69">
        <v>5.16</v>
      </c>
      <c r="G484" s="77">
        <f t="shared" si="43"/>
        <v>4.8849999999999998</v>
      </c>
      <c r="H484" s="77">
        <f t="shared" si="44"/>
        <v>5.16</v>
      </c>
      <c r="I484" s="77">
        <f t="shared" si="45"/>
        <v>0.27500000000000036</v>
      </c>
      <c r="J484" s="78">
        <f t="shared" si="46"/>
        <v>9.0249999999999986</v>
      </c>
      <c r="K484" s="78">
        <f t="shared" si="47"/>
        <v>9.161999999999999</v>
      </c>
      <c r="L484" s="78">
        <f t="shared" si="42"/>
        <v>0.13700000000000045</v>
      </c>
    </row>
    <row r="485" spans="2:12" s="162" customFormat="1" outlineLevel="1">
      <c r="B485" s="113">
        <v>40755</v>
      </c>
      <c r="C485" s="69">
        <v>4.6574999999999998</v>
      </c>
      <c r="D485" s="69">
        <v>5.0200000000000005</v>
      </c>
      <c r="G485" s="77">
        <f t="shared" si="43"/>
        <v>4.6574999999999998</v>
      </c>
      <c r="H485" s="77">
        <f t="shared" si="44"/>
        <v>5.0200000000000005</v>
      </c>
      <c r="I485" s="77">
        <f t="shared" si="45"/>
        <v>0.36250000000000071</v>
      </c>
      <c r="J485" s="78">
        <f t="shared" si="46"/>
        <v>8.7974999999999994</v>
      </c>
      <c r="K485" s="78">
        <f t="shared" si="47"/>
        <v>9.0220000000000002</v>
      </c>
      <c r="L485" s="78">
        <f t="shared" si="42"/>
        <v>0.22450000000000081</v>
      </c>
    </row>
    <row r="486" spans="2:12" s="162" customFormat="1" outlineLevel="1">
      <c r="B486" s="113">
        <v>40786</v>
      </c>
      <c r="C486" s="69">
        <v>4.0175000000000001</v>
      </c>
      <c r="D486" s="69">
        <v>4.4924999999999997</v>
      </c>
      <c r="G486" s="77">
        <f t="shared" si="43"/>
        <v>4.0175000000000001</v>
      </c>
      <c r="H486" s="77">
        <f t="shared" si="44"/>
        <v>4.4924999999999997</v>
      </c>
      <c r="I486" s="77">
        <f t="shared" si="45"/>
        <v>0.47499999999999964</v>
      </c>
      <c r="J486" s="78">
        <f t="shared" si="46"/>
        <v>8.1574999999999989</v>
      </c>
      <c r="K486" s="78">
        <f t="shared" si="47"/>
        <v>8.4944999999999986</v>
      </c>
      <c r="L486" s="78">
        <f t="shared" si="42"/>
        <v>0.33699999999999974</v>
      </c>
    </row>
    <row r="487" spans="2:12" s="162" customFormat="1" outlineLevel="1">
      <c r="B487" s="113">
        <v>40816</v>
      </c>
      <c r="C487" s="69">
        <v>3.7875000000000001</v>
      </c>
      <c r="D487" s="69">
        <v>4.2024999999999997</v>
      </c>
      <c r="G487" s="77">
        <f t="shared" si="43"/>
        <v>3.7875000000000001</v>
      </c>
      <c r="H487" s="77">
        <f t="shared" si="44"/>
        <v>4.2024999999999997</v>
      </c>
      <c r="I487" s="77">
        <f t="shared" si="45"/>
        <v>0.41499999999999959</v>
      </c>
      <c r="J487" s="78">
        <f t="shared" si="46"/>
        <v>7.9275000000000002</v>
      </c>
      <c r="K487" s="78">
        <f t="shared" si="47"/>
        <v>8.2044999999999995</v>
      </c>
      <c r="L487" s="78">
        <f t="shared" si="42"/>
        <v>0.27699999999999925</v>
      </c>
    </row>
    <row r="488" spans="2:12" s="162" customFormat="1" outlineLevel="1">
      <c r="B488" s="113">
        <v>40847</v>
      </c>
      <c r="C488" s="69">
        <v>3.9450000000000003</v>
      </c>
      <c r="D488" s="69">
        <v>4.37</v>
      </c>
      <c r="G488" s="77">
        <f t="shared" si="43"/>
        <v>3.9450000000000003</v>
      </c>
      <c r="H488" s="77">
        <f t="shared" si="44"/>
        <v>4.37</v>
      </c>
      <c r="I488" s="77">
        <f t="shared" si="45"/>
        <v>0.42499999999999982</v>
      </c>
      <c r="J488" s="78">
        <f t="shared" si="46"/>
        <v>8.0850000000000009</v>
      </c>
      <c r="K488" s="78">
        <f t="shared" si="47"/>
        <v>8.3719999999999999</v>
      </c>
      <c r="L488" s="78">
        <f t="shared" si="42"/>
        <v>0.28699999999999903</v>
      </c>
    </row>
    <row r="489" spans="2:12" s="162" customFormat="1" outlineLevel="1">
      <c r="B489" s="113">
        <v>40877</v>
      </c>
      <c r="C489" s="69">
        <v>3.5725000000000002</v>
      </c>
      <c r="D489" s="69">
        <v>4.0825000000000005</v>
      </c>
      <c r="G489" s="77">
        <f t="shared" si="43"/>
        <v>3.5725000000000002</v>
      </c>
      <c r="H489" s="77">
        <f t="shared" si="44"/>
        <v>4.0825000000000005</v>
      </c>
      <c r="I489" s="77">
        <f t="shared" si="45"/>
        <v>0.51000000000000023</v>
      </c>
      <c r="J489" s="78">
        <f t="shared" si="46"/>
        <v>7.7125000000000004</v>
      </c>
      <c r="K489" s="78">
        <f t="shared" si="47"/>
        <v>8.0845000000000002</v>
      </c>
      <c r="L489" s="78">
        <f t="shared" si="42"/>
        <v>0.37199999999999989</v>
      </c>
    </row>
    <row r="490" spans="2:12" s="162" customFormat="1" outlineLevel="1">
      <c r="B490" s="113">
        <v>40908</v>
      </c>
      <c r="C490" s="69">
        <v>3.335</v>
      </c>
      <c r="D490" s="69">
        <v>3.8250000000000002</v>
      </c>
      <c r="G490" s="77">
        <f t="shared" si="43"/>
        <v>3.335</v>
      </c>
      <c r="H490" s="77">
        <f t="shared" si="44"/>
        <v>3.8250000000000002</v>
      </c>
      <c r="I490" s="77">
        <f t="shared" si="45"/>
        <v>0.49000000000000021</v>
      </c>
      <c r="J490" s="78">
        <f t="shared" si="46"/>
        <v>7.4749999999999996</v>
      </c>
      <c r="K490" s="78">
        <f t="shared" si="47"/>
        <v>7.827</v>
      </c>
      <c r="L490" s="78">
        <f t="shared" si="42"/>
        <v>0.35200000000000031</v>
      </c>
    </row>
    <row r="491" spans="2:12" s="162" customFormat="1" outlineLevel="1">
      <c r="B491" s="113">
        <v>40939</v>
      </c>
      <c r="C491" s="69">
        <v>3.3875000000000002</v>
      </c>
      <c r="D491" s="69">
        <v>3.7949999999999999</v>
      </c>
      <c r="G491" s="77">
        <f t="shared" si="43"/>
        <v>3.3875000000000002</v>
      </c>
      <c r="H491" s="77">
        <f t="shared" si="44"/>
        <v>3.7949999999999999</v>
      </c>
      <c r="I491" s="77">
        <f t="shared" si="45"/>
        <v>0.40749999999999975</v>
      </c>
      <c r="J491" s="78">
        <f t="shared" si="46"/>
        <v>7.5274999999999999</v>
      </c>
      <c r="K491" s="78">
        <f t="shared" si="47"/>
        <v>7.7969999999999997</v>
      </c>
      <c r="L491" s="78">
        <f t="shared" si="42"/>
        <v>0.26949999999999985</v>
      </c>
    </row>
    <row r="492" spans="2:12" s="162" customFormat="1" outlineLevel="1">
      <c r="B492" s="113">
        <v>40968</v>
      </c>
      <c r="C492" s="69">
        <v>3.62</v>
      </c>
      <c r="D492" s="69">
        <v>3.97</v>
      </c>
      <c r="G492" s="77">
        <f t="shared" si="43"/>
        <v>3.62</v>
      </c>
      <c r="H492" s="77">
        <f t="shared" si="44"/>
        <v>3.97</v>
      </c>
      <c r="I492" s="77">
        <f t="shared" si="45"/>
        <v>0.35000000000000009</v>
      </c>
      <c r="J492" s="78">
        <f t="shared" si="46"/>
        <v>7.76</v>
      </c>
      <c r="K492" s="78">
        <f t="shared" si="47"/>
        <v>7.9719999999999995</v>
      </c>
      <c r="L492" s="78">
        <f t="shared" si="42"/>
        <v>0.21199999999999974</v>
      </c>
    </row>
    <row r="493" spans="2:12" s="162" customFormat="1" outlineLevel="1">
      <c r="B493" s="113">
        <v>40999</v>
      </c>
      <c r="C493" s="69">
        <v>3.75</v>
      </c>
      <c r="D493" s="69">
        <v>4.1500000000000004</v>
      </c>
      <c r="G493" s="77">
        <f t="shared" si="43"/>
        <v>3.75</v>
      </c>
      <c r="H493" s="77">
        <f t="shared" si="44"/>
        <v>4.1500000000000004</v>
      </c>
      <c r="I493" s="77">
        <f t="shared" si="45"/>
        <v>0.40000000000000036</v>
      </c>
      <c r="J493" s="78">
        <f t="shared" si="46"/>
        <v>7.89</v>
      </c>
      <c r="K493" s="78">
        <f t="shared" si="47"/>
        <v>8.152000000000001</v>
      </c>
      <c r="L493" s="78">
        <f t="shared" si="42"/>
        <v>0.26200000000000134</v>
      </c>
    </row>
    <row r="494" spans="2:12" s="162" customFormat="1" outlineLevel="1">
      <c r="B494" s="113">
        <v>41029</v>
      </c>
      <c r="C494" s="69">
        <v>3.3625000000000003</v>
      </c>
      <c r="D494" s="69">
        <v>3.8574999999999999</v>
      </c>
      <c r="G494" s="77">
        <f t="shared" si="43"/>
        <v>3.3625000000000003</v>
      </c>
      <c r="H494" s="77">
        <f t="shared" si="44"/>
        <v>3.8574999999999999</v>
      </c>
      <c r="I494" s="77">
        <f t="shared" si="45"/>
        <v>0.49499999999999966</v>
      </c>
      <c r="J494" s="78">
        <f t="shared" si="46"/>
        <v>7.5024999999999995</v>
      </c>
      <c r="K494" s="78">
        <f t="shared" si="47"/>
        <v>7.8594999999999997</v>
      </c>
      <c r="L494" s="78">
        <f t="shared" si="42"/>
        <v>0.35700000000000021</v>
      </c>
    </row>
    <row r="495" spans="2:12" s="162" customFormat="1" outlineLevel="1">
      <c r="B495" s="113">
        <v>41060</v>
      </c>
      <c r="C495" s="69">
        <v>2.75</v>
      </c>
      <c r="D495" s="69">
        <v>3.2774999999999999</v>
      </c>
      <c r="G495" s="77">
        <f t="shared" si="43"/>
        <v>2.75</v>
      </c>
      <c r="H495" s="77">
        <f t="shared" si="44"/>
        <v>3.2774999999999999</v>
      </c>
      <c r="I495" s="77">
        <f t="shared" si="45"/>
        <v>0.52749999999999986</v>
      </c>
      <c r="J495" s="78">
        <f t="shared" si="46"/>
        <v>6.89</v>
      </c>
      <c r="K495" s="78">
        <f t="shared" si="47"/>
        <v>7.2794999999999996</v>
      </c>
      <c r="L495" s="78">
        <f t="shared" si="42"/>
        <v>0.38949999999999996</v>
      </c>
    </row>
    <row r="496" spans="2:12" s="162" customFormat="1" outlineLevel="1">
      <c r="B496" s="113">
        <v>41090</v>
      </c>
      <c r="C496" s="69">
        <v>2.4925000000000002</v>
      </c>
      <c r="D496" s="69">
        <v>2.9950000000000001</v>
      </c>
      <c r="G496" s="77">
        <f t="shared" si="43"/>
        <v>2.4925000000000002</v>
      </c>
      <c r="H496" s="77">
        <f t="shared" si="44"/>
        <v>2.9950000000000001</v>
      </c>
      <c r="I496" s="77">
        <f t="shared" si="45"/>
        <v>0.50249999999999995</v>
      </c>
      <c r="J496" s="78">
        <f t="shared" si="46"/>
        <v>6.6325000000000003</v>
      </c>
      <c r="K496" s="78">
        <f t="shared" si="47"/>
        <v>6.9969999999999999</v>
      </c>
      <c r="L496" s="78">
        <f t="shared" si="42"/>
        <v>0.3644999999999996</v>
      </c>
    </row>
    <row r="497" spans="2:12" s="162" customFormat="1" outlineLevel="1">
      <c r="B497" s="113">
        <v>41121</v>
      </c>
      <c r="C497" s="69">
        <v>2.4675000000000002</v>
      </c>
      <c r="D497" s="69">
        <v>2.8875000000000002</v>
      </c>
      <c r="G497" s="77">
        <f t="shared" si="43"/>
        <v>2.4675000000000002</v>
      </c>
      <c r="H497" s="77">
        <f t="shared" si="44"/>
        <v>2.8875000000000002</v>
      </c>
      <c r="I497" s="77">
        <f t="shared" si="45"/>
        <v>0.41999999999999993</v>
      </c>
      <c r="J497" s="78">
        <f t="shared" si="46"/>
        <v>6.6074999999999999</v>
      </c>
      <c r="K497" s="78">
        <f t="shared" si="47"/>
        <v>6.8895</v>
      </c>
      <c r="L497" s="78">
        <f t="shared" si="42"/>
        <v>0.28200000000000003</v>
      </c>
    </row>
    <row r="498" spans="2:12" s="162" customFormat="1" outlineLevel="1">
      <c r="B498" s="113">
        <v>41152</v>
      </c>
      <c r="C498" s="69">
        <v>2.8174999999999999</v>
      </c>
      <c r="D498" s="69">
        <v>3.1875</v>
      </c>
      <c r="G498" s="77">
        <f t="shared" si="43"/>
        <v>2.8174999999999999</v>
      </c>
      <c r="H498" s="77">
        <f t="shared" si="44"/>
        <v>3.1875</v>
      </c>
      <c r="I498" s="77">
        <f t="shared" si="45"/>
        <v>0.37000000000000011</v>
      </c>
      <c r="J498" s="78">
        <f t="shared" si="46"/>
        <v>6.9574999999999996</v>
      </c>
      <c r="K498" s="78">
        <f t="shared" si="47"/>
        <v>7.1894999999999998</v>
      </c>
      <c r="L498" s="78">
        <f t="shared" si="42"/>
        <v>0.23200000000000021</v>
      </c>
    </row>
    <row r="499" spans="2:12" s="162" customFormat="1" outlineLevel="1">
      <c r="B499" s="113">
        <v>41182</v>
      </c>
      <c r="C499" s="69">
        <v>2.6625000000000001</v>
      </c>
      <c r="D499" s="69">
        <v>3.0925000000000002</v>
      </c>
      <c r="G499" s="77">
        <f t="shared" si="43"/>
        <v>2.6625000000000001</v>
      </c>
      <c r="H499" s="77">
        <f t="shared" si="44"/>
        <v>3.0925000000000002</v>
      </c>
      <c r="I499" s="77">
        <f t="shared" si="45"/>
        <v>0.43000000000000016</v>
      </c>
      <c r="J499" s="78">
        <f t="shared" si="46"/>
        <v>6.8025000000000002</v>
      </c>
      <c r="K499" s="78">
        <f t="shared" si="47"/>
        <v>7.0945</v>
      </c>
      <c r="L499" s="78">
        <f t="shared" si="42"/>
        <v>0.29199999999999982</v>
      </c>
    </row>
    <row r="500" spans="2:12" s="162" customFormat="1" outlineLevel="1">
      <c r="B500" s="113">
        <v>41213</v>
      </c>
      <c r="C500" s="69">
        <v>2.6150000000000002</v>
      </c>
      <c r="D500" s="69">
        <v>3.0225</v>
      </c>
      <c r="G500" s="77">
        <f t="shared" si="43"/>
        <v>2.6150000000000002</v>
      </c>
      <c r="H500" s="77">
        <f t="shared" si="44"/>
        <v>3.0225</v>
      </c>
      <c r="I500" s="77">
        <f t="shared" si="45"/>
        <v>0.40749999999999975</v>
      </c>
      <c r="J500" s="78">
        <f t="shared" si="46"/>
        <v>6.7549999999999999</v>
      </c>
      <c r="K500" s="78">
        <f t="shared" si="47"/>
        <v>7.0244999999999997</v>
      </c>
      <c r="L500" s="78">
        <f t="shared" si="42"/>
        <v>0.26949999999999985</v>
      </c>
    </row>
    <row r="501" spans="2:12" s="162" customFormat="1" outlineLevel="1">
      <c r="B501" s="113">
        <v>41243</v>
      </c>
      <c r="C501" s="69">
        <v>2.7349999999999999</v>
      </c>
      <c r="D501" s="69">
        <v>3.0874999999999999</v>
      </c>
      <c r="G501" s="77">
        <f t="shared" si="43"/>
        <v>2.7349999999999999</v>
      </c>
      <c r="H501" s="77">
        <f t="shared" si="44"/>
        <v>3.0874999999999999</v>
      </c>
      <c r="I501" s="77">
        <f t="shared" si="45"/>
        <v>0.35250000000000004</v>
      </c>
      <c r="J501" s="78">
        <f t="shared" si="46"/>
        <v>6.875</v>
      </c>
      <c r="K501" s="78">
        <f t="shared" si="47"/>
        <v>7.0894999999999992</v>
      </c>
      <c r="L501" s="78">
        <f t="shared" si="42"/>
        <v>0.21449999999999925</v>
      </c>
    </row>
    <row r="502" spans="2:12" s="162" customFormat="1" outlineLevel="1">
      <c r="B502" s="113">
        <v>41274</v>
      </c>
      <c r="C502" s="69">
        <v>2.8250000000000002</v>
      </c>
      <c r="D502" s="69">
        <v>3.2275</v>
      </c>
      <c r="G502" s="77">
        <f t="shared" si="43"/>
        <v>2.8250000000000002</v>
      </c>
      <c r="H502" s="77">
        <f t="shared" si="44"/>
        <v>3.2275</v>
      </c>
      <c r="I502" s="77">
        <f t="shared" si="45"/>
        <v>0.40249999999999986</v>
      </c>
      <c r="J502" s="78">
        <f t="shared" si="46"/>
        <v>6.9649999999999999</v>
      </c>
      <c r="K502" s="78">
        <f t="shared" si="47"/>
        <v>7.2294999999999998</v>
      </c>
      <c r="L502" s="78">
        <f t="shared" si="42"/>
        <v>0.26449999999999996</v>
      </c>
    </row>
    <row r="503" spans="2:12" s="162" customFormat="1" outlineLevel="1">
      <c r="B503" s="113">
        <v>41305</v>
      </c>
      <c r="C503" s="69">
        <v>2.9375</v>
      </c>
      <c r="D503" s="69">
        <v>3.3975</v>
      </c>
      <c r="G503" s="77">
        <f t="shared" si="43"/>
        <v>2.9375</v>
      </c>
      <c r="H503" s="77">
        <f t="shared" si="44"/>
        <v>3.3975</v>
      </c>
      <c r="I503" s="77">
        <f t="shared" si="45"/>
        <v>0.45999999999999996</v>
      </c>
      <c r="J503" s="78">
        <f t="shared" si="46"/>
        <v>7.0774999999999997</v>
      </c>
      <c r="K503" s="78">
        <f t="shared" si="47"/>
        <v>7.3994999999999997</v>
      </c>
      <c r="L503" s="78">
        <f t="shared" si="42"/>
        <v>0.32200000000000006</v>
      </c>
    </row>
    <row r="504" spans="2:12" s="162" customFormat="1" outlineLevel="1">
      <c r="B504" s="113">
        <v>41333</v>
      </c>
      <c r="C504" s="69">
        <v>3.02</v>
      </c>
      <c r="D504" s="69">
        <v>3.4975000000000001</v>
      </c>
      <c r="G504" s="77">
        <f t="shared" si="43"/>
        <v>3.02</v>
      </c>
      <c r="H504" s="77">
        <f t="shared" si="44"/>
        <v>3.4975000000000001</v>
      </c>
      <c r="I504" s="77">
        <f t="shared" si="45"/>
        <v>0.47750000000000004</v>
      </c>
      <c r="J504" s="78">
        <f t="shared" si="46"/>
        <v>7.16</v>
      </c>
      <c r="K504" s="78">
        <f t="shared" si="47"/>
        <v>7.4994999999999994</v>
      </c>
      <c r="L504" s="78">
        <f t="shared" si="42"/>
        <v>0.33949999999999925</v>
      </c>
    </row>
    <row r="505" spans="2:12" s="162" customFormat="1" outlineLevel="1">
      <c r="B505" s="113">
        <v>41364</v>
      </c>
      <c r="C505" s="69">
        <v>3.1175000000000002</v>
      </c>
      <c r="D505" s="69">
        <v>3.5125000000000002</v>
      </c>
      <c r="G505" s="77">
        <f t="shared" si="43"/>
        <v>3.1175000000000002</v>
      </c>
      <c r="H505" s="77">
        <f t="shared" si="44"/>
        <v>3.5125000000000002</v>
      </c>
      <c r="I505" s="77">
        <f t="shared" si="45"/>
        <v>0.39500000000000002</v>
      </c>
      <c r="J505" s="78">
        <f t="shared" si="46"/>
        <v>7.2575000000000003</v>
      </c>
      <c r="K505" s="78">
        <f t="shared" si="47"/>
        <v>7.5145</v>
      </c>
      <c r="L505" s="78">
        <f t="shared" si="42"/>
        <v>0.25699999999999967</v>
      </c>
    </row>
    <row r="506" spans="2:12" s="162" customFormat="1" outlineLevel="1">
      <c r="B506" s="113">
        <v>41394</v>
      </c>
      <c r="C506" s="69">
        <v>2.9075000000000002</v>
      </c>
      <c r="D506" s="69">
        <v>3.2450000000000001</v>
      </c>
      <c r="G506" s="77">
        <f t="shared" si="43"/>
        <v>2.9075000000000002</v>
      </c>
      <c r="H506" s="77">
        <f t="shared" si="44"/>
        <v>3.2450000000000001</v>
      </c>
      <c r="I506" s="77">
        <f t="shared" si="45"/>
        <v>0.33749999999999991</v>
      </c>
      <c r="J506" s="78">
        <f t="shared" si="46"/>
        <v>7.0474999999999994</v>
      </c>
      <c r="K506" s="78">
        <f t="shared" si="47"/>
        <v>7.2469999999999999</v>
      </c>
      <c r="L506" s="78">
        <f t="shared" si="42"/>
        <v>0.19950000000000045</v>
      </c>
    </row>
    <row r="507" spans="2:12" s="162" customFormat="1" outlineLevel="1">
      <c r="B507" s="113">
        <v>41425</v>
      </c>
      <c r="C507" s="69">
        <v>2.7875000000000001</v>
      </c>
      <c r="D507" s="69">
        <v>3.2250000000000001</v>
      </c>
      <c r="G507" s="77">
        <f t="shared" si="43"/>
        <v>2.7875000000000001</v>
      </c>
      <c r="H507" s="77">
        <f t="shared" si="44"/>
        <v>3.2250000000000001</v>
      </c>
      <c r="I507" s="77">
        <f t="shared" si="45"/>
        <v>0.4375</v>
      </c>
      <c r="J507" s="78">
        <f t="shared" si="46"/>
        <v>6.9275000000000002</v>
      </c>
      <c r="K507" s="78">
        <f t="shared" si="47"/>
        <v>7.2270000000000003</v>
      </c>
      <c r="L507" s="78">
        <f t="shared" si="42"/>
        <v>0.2995000000000001</v>
      </c>
    </row>
    <row r="508" spans="2:12">
      <c r="B508" s="113">
        <v>41455</v>
      </c>
      <c r="C508" s="113"/>
      <c r="D508" s="113"/>
      <c r="E508" s="69">
        <v>2.9624999999999999</v>
      </c>
      <c r="F508" s="69">
        <v>3.54</v>
      </c>
      <c r="G508" s="77">
        <f t="shared" si="43"/>
        <v>2.9624999999999999</v>
      </c>
      <c r="H508" s="77">
        <f t="shared" si="44"/>
        <v>3.54</v>
      </c>
      <c r="I508" s="77">
        <f t="shared" si="45"/>
        <v>0.57750000000000012</v>
      </c>
      <c r="J508" s="78">
        <f t="shared" si="46"/>
        <v>7.1024999999999991</v>
      </c>
      <c r="K508" s="78">
        <f t="shared" si="47"/>
        <v>7.5419999999999998</v>
      </c>
      <c r="L508" s="78">
        <f>K508-J508</f>
        <v>0.43950000000000067</v>
      </c>
    </row>
    <row r="509" spans="2:12">
      <c r="B509" s="113">
        <v>41486</v>
      </c>
      <c r="C509" s="113"/>
      <c r="D509" s="113"/>
      <c r="E509" s="69">
        <v>3.09</v>
      </c>
      <c r="F509" s="69">
        <v>3.75</v>
      </c>
      <c r="G509" s="77">
        <f t="shared" si="43"/>
        <v>3.09</v>
      </c>
      <c r="H509" s="77">
        <f t="shared" si="44"/>
        <v>3.75</v>
      </c>
      <c r="I509" s="77">
        <f t="shared" si="45"/>
        <v>0.66000000000000014</v>
      </c>
      <c r="J509" s="78">
        <f t="shared" si="46"/>
        <v>7.2299999999999995</v>
      </c>
      <c r="K509" s="78">
        <f t="shared" si="47"/>
        <v>7.7519999999999998</v>
      </c>
      <c r="L509" s="78">
        <f>K509-J509</f>
        <v>0.52200000000000024</v>
      </c>
    </row>
    <row r="510" spans="2:12">
      <c r="B510" s="113">
        <v>41517</v>
      </c>
      <c r="C510" s="113"/>
      <c r="D510" s="113"/>
      <c r="E510" s="69">
        <v>3.14</v>
      </c>
      <c r="F510" s="69">
        <v>3.86</v>
      </c>
      <c r="G510" s="77">
        <f t="shared" si="43"/>
        <v>3.14</v>
      </c>
      <c r="H510" s="77">
        <f t="shared" si="44"/>
        <v>3.86</v>
      </c>
      <c r="I510" s="77">
        <f t="shared" si="45"/>
        <v>0.71999999999999975</v>
      </c>
      <c r="J510" s="78">
        <f t="shared" si="46"/>
        <v>7.2799999999999994</v>
      </c>
      <c r="K510" s="78">
        <f t="shared" si="47"/>
        <v>7.8620000000000001</v>
      </c>
      <c r="L510" s="78">
        <f t="shared" ref="L510:L572" si="48">K510-J510</f>
        <v>0.58200000000000074</v>
      </c>
    </row>
    <row r="511" spans="2:12">
      <c r="B511" s="113">
        <v>41547</v>
      </c>
      <c r="C511" s="113"/>
      <c r="D511" s="113"/>
      <c r="E511" s="69">
        <v>3.33</v>
      </c>
      <c r="F511" s="69">
        <v>3.9950000000000001</v>
      </c>
      <c r="G511" s="77">
        <f t="shared" si="43"/>
        <v>3.33</v>
      </c>
      <c r="H511" s="77">
        <f t="shared" si="44"/>
        <v>3.9950000000000001</v>
      </c>
      <c r="I511" s="77">
        <f t="shared" si="45"/>
        <v>0.66500000000000004</v>
      </c>
      <c r="J511" s="78">
        <f t="shared" si="46"/>
        <v>7.47</v>
      </c>
      <c r="K511" s="78">
        <f t="shared" si="47"/>
        <v>7.9969999999999999</v>
      </c>
      <c r="L511" s="78">
        <f t="shared" si="48"/>
        <v>0.52700000000000014</v>
      </c>
    </row>
    <row r="512" spans="2:12">
      <c r="B512" s="113">
        <v>41578</v>
      </c>
      <c r="C512" s="113"/>
      <c r="D512" s="113"/>
      <c r="E512" s="69">
        <v>3.3475000000000001</v>
      </c>
      <c r="F512" s="69">
        <v>3.97</v>
      </c>
      <c r="G512" s="77">
        <f t="shared" si="43"/>
        <v>3.3475000000000001</v>
      </c>
      <c r="H512" s="77">
        <f t="shared" si="44"/>
        <v>3.97</v>
      </c>
      <c r="I512" s="77">
        <f t="shared" si="45"/>
        <v>0.62250000000000005</v>
      </c>
      <c r="J512" s="78">
        <f t="shared" si="46"/>
        <v>7.4874999999999998</v>
      </c>
      <c r="K512" s="78">
        <f t="shared" si="47"/>
        <v>7.9719999999999995</v>
      </c>
      <c r="L512" s="78">
        <f t="shared" si="48"/>
        <v>0.48449999999999971</v>
      </c>
    </row>
    <row r="513" spans="2:12">
      <c r="B513" s="113">
        <v>41608</v>
      </c>
      <c r="C513" s="113"/>
      <c r="D513" s="113"/>
      <c r="E513" s="69">
        <v>3.46</v>
      </c>
      <c r="F513" s="69">
        <v>4.125</v>
      </c>
      <c r="G513" s="77">
        <f t="shared" si="43"/>
        <v>3.46</v>
      </c>
      <c r="H513" s="77">
        <f t="shared" si="44"/>
        <v>4.125</v>
      </c>
      <c r="I513" s="77">
        <f t="shared" si="45"/>
        <v>0.66500000000000004</v>
      </c>
      <c r="J513" s="78">
        <f t="shared" si="46"/>
        <v>7.6</v>
      </c>
      <c r="K513" s="78">
        <f t="shared" si="47"/>
        <v>8.1269999999999989</v>
      </c>
      <c r="L513" s="78">
        <f t="shared" si="48"/>
        <v>0.52699999999999925</v>
      </c>
    </row>
    <row r="514" spans="2:12">
      <c r="B514" s="113">
        <v>41639</v>
      </c>
      <c r="C514" s="113"/>
      <c r="D514" s="113"/>
      <c r="E514" s="69">
        <v>3.4575</v>
      </c>
      <c r="F514" s="69">
        <v>4.2424999999999997</v>
      </c>
      <c r="G514" s="77">
        <f t="shared" si="43"/>
        <v>3.4575</v>
      </c>
      <c r="H514" s="77">
        <f t="shared" si="44"/>
        <v>4.2424999999999997</v>
      </c>
      <c r="I514" s="77">
        <f t="shared" si="45"/>
        <v>0.7849999999999997</v>
      </c>
      <c r="J514" s="78">
        <f t="shared" si="46"/>
        <v>7.5975000000000001</v>
      </c>
      <c r="K514" s="78">
        <f t="shared" si="47"/>
        <v>8.2444999999999986</v>
      </c>
      <c r="L514" s="78">
        <f t="shared" si="48"/>
        <v>0.64699999999999847</v>
      </c>
    </row>
    <row r="515" spans="2:12">
      <c r="B515" s="113">
        <v>41670</v>
      </c>
      <c r="C515" s="113"/>
      <c r="D515" s="113"/>
      <c r="E515" s="69">
        <v>3.41</v>
      </c>
      <c r="F515" s="69">
        <v>4.1825000000000001</v>
      </c>
      <c r="G515" s="77">
        <f t="shared" si="43"/>
        <v>3.41</v>
      </c>
      <c r="H515" s="77">
        <f t="shared" si="44"/>
        <v>4.1825000000000001</v>
      </c>
      <c r="I515" s="77">
        <f t="shared" si="45"/>
        <v>0.77249999999999996</v>
      </c>
      <c r="J515" s="78">
        <f t="shared" si="46"/>
        <v>7.55</v>
      </c>
      <c r="K515" s="78">
        <f t="shared" si="47"/>
        <v>8.1844999999999999</v>
      </c>
      <c r="L515" s="78">
        <f t="shared" si="48"/>
        <v>0.63450000000000006</v>
      </c>
    </row>
    <row r="516" spans="2:12">
      <c r="B516" s="113">
        <v>41698</v>
      </c>
      <c r="C516" s="113"/>
      <c r="D516" s="113"/>
      <c r="E516" s="69">
        <v>3.4050000000000002</v>
      </c>
      <c r="F516" s="69">
        <v>4.12</v>
      </c>
      <c r="G516" s="77">
        <f t="shared" si="43"/>
        <v>3.4050000000000002</v>
      </c>
      <c r="H516" s="77">
        <f t="shared" si="44"/>
        <v>4.12</v>
      </c>
      <c r="I516" s="77">
        <f t="shared" si="45"/>
        <v>0.71499999999999986</v>
      </c>
      <c r="J516" s="78">
        <f t="shared" si="46"/>
        <v>7.5449999999999999</v>
      </c>
      <c r="K516" s="78">
        <f t="shared" si="47"/>
        <v>8.1219999999999999</v>
      </c>
      <c r="L516" s="78">
        <f t="shared" si="48"/>
        <v>0.57699999999999996</v>
      </c>
    </row>
    <row r="517" spans="2:12">
      <c r="B517" s="113">
        <v>41729</v>
      </c>
      <c r="C517" s="113"/>
      <c r="D517" s="113"/>
      <c r="E517" s="69">
        <v>3.41</v>
      </c>
      <c r="F517" s="69">
        <v>4.1025</v>
      </c>
      <c r="G517" s="77">
        <f t="shared" si="43"/>
        <v>3.41</v>
      </c>
      <c r="H517" s="77">
        <f t="shared" si="44"/>
        <v>4.1025</v>
      </c>
      <c r="I517" s="77">
        <f t="shared" si="45"/>
        <v>0.69249999999999989</v>
      </c>
      <c r="J517" s="78">
        <f t="shared" si="46"/>
        <v>7.55</v>
      </c>
      <c r="K517" s="78">
        <f t="shared" si="47"/>
        <v>8.1044999999999998</v>
      </c>
      <c r="L517" s="78">
        <f t="shared" si="48"/>
        <v>0.55449999999999999</v>
      </c>
    </row>
    <row r="518" spans="2:12">
      <c r="B518" s="113">
        <v>41759</v>
      </c>
      <c r="C518" s="113"/>
      <c r="D518" s="113"/>
      <c r="E518" s="69">
        <v>3.3925000000000001</v>
      </c>
      <c r="F518" s="69">
        <v>4.03</v>
      </c>
      <c r="G518" s="77">
        <f t="shared" si="43"/>
        <v>3.3925000000000001</v>
      </c>
      <c r="H518" s="77">
        <f t="shared" si="44"/>
        <v>4.03</v>
      </c>
      <c r="I518" s="77">
        <f t="shared" si="45"/>
        <v>0.63750000000000018</v>
      </c>
      <c r="J518" s="78">
        <f t="shared" si="46"/>
        <v>7.5324999999999998</v>
      </c>
      <c r="K518" s="78">
        <f t="shared" si="47"/>
        <v>8.032</v>
      </c>
      <c r="L518" s="78">
        <f t="shared" si="48"/>
        <v>0.49950000000000028</v>
      </c>
    </row>
    <row r="519" spans="2:12">
      <c r="B519" s="113">
        <v>41790</v>
      </c>
      <c r="C519" s="113"/>
      <c r="D519" s="113"/>
      <c r="E519" s="69">
        <v>3.2025000000000001</v>
      </c>
      <c r="F519" s="69">
        <v>3.7749999999999999</v>
      </c>
      <c r="G519" s="77">
        <f t="shared" si="43"/>
        <v>3.2025000000000001</v>
      </c>
      <c r="H519" s="77">
        <f t="shared" si="44"/>
        <v>3.7749999999999999</v>
      </c>
      <c r="I519" s="77">
        <f t="shared" si="45"/>
        <v>0.57249999999999979</v>
      </c>
      <c r="J519" s="78">
        <f t="shared" si="46"/>
        <v>7.3424999999999994</v>
      </c>
      <c r="K519" s="78">
        <f t="shared" si="47"/>
        <v>7.7769999999999992</v>
      </c>
      <c r="L519" s="78">
        <f t="shared" si="48"/>
        <v>0.43449999999999989</v>
      </c>
    </row>
    <row r="520" spans="2:12">
      <c r="B520" s="113">
        <v>41820</v>
      </c>
      <c r="C520" s="113"/>
      <c r="D520" s="113"/>
      <c r="E520" s="69">
        <v>3.12</v>
      </c>
      <c r="F520" s="69">
        <v>3.7025000000000001</v>
      </c>
      <c r="G520" s="77">
        <f t="shared" si="43"/>
        <v>3.12</v>
      </c>
      <c r="H520" s="77">
        <f t="shared" si="44"/>
        <v>3.7025000000000001</v>
      </c>
      <c r="I520" s="77">
        <f t="shared" si="45"/>
        <v>0.58250000000000002</v>
      </c>
      <c r="J520" s="78">
        <f t="shared" si="46"/>
        <v>7.26</v>
      </c>
      <c r="K520" s="78">
        <f t="shared" si="47"/>
        <v>7.7044999999999995</v>
      </c>
      <c r="L520" s="78">
        <f t="shared" si="48"/>
        <v>0.44449999999999967</v>
      </c>
    </row>
    <row r="521" spans="2:12">
      <c r="B521" s="113">
        <v>41851</v>
      </c>
      <c r="C521" s="113"/>
      <c r="D521" s="113"/>
      <c r="E521" s="69">
        <v>2.9375</v>
      </c>
      <c r="F521" s="69">
        <v>3.4675000000000002</v>
      </c>
      <c r="G521" s="77">
        <f t="shared" si="43"/>
        <v>2.9375</v>
      </c>
      <c r="H521" s="77">
        <f t="shared" si="44"/>
        <v>3.4675000000000002</v>
      </c>
      <c r="I521" s="77">
        <f t="shared" si="45"/>
        <v>0.53000000000000025</v>
      </c>
      <c r="J521" s="78">
        <f t="shared" si="46"/>
        <v>7.0774999999999997</v>
      </c>
      <c r="K521" s="78">
        <f t="shared" si="47"/>
        <v>7.4695</v>
      </c>
      <c r="L521" s="78">
        <f t="shared" si="48"/>
        <v>0.39200000000000035</v>
      </c>
    </row>
    <row r="522" spans="2:12">
      <c r="B522" s="113">
        <v>41882</v>
      </c>
      <c r="C522" s="113"/>
      <c r="D522" s="113"/>
      <c r="E522" s="69">
        <v>2.9250000000000003</v>
      </c>
      <c r="F522" s="69">
        <v>3.41</v>
      </c>
      <c r="G522" s="77">
        <f t="shared" si="43"/>
        <v>2.9250000000000003</v>
      </c>
      <c r="H522" s="77">
        <f t="shared" si="44"/>
        <v>3.41</v>
      </c>
      <c r="I522" s="77">
        <f t="shared" si="45"/>
        <v>0.48499999999999988</v>
      </c>
      <c r="J522" s="78">
        <f t="shared" si="46"/>
        <v>7.0649999999999995</v>
      </c>
      <c r="K522" s="78">
        <f t="shared" si="47"/>
        <v>7.4119999999999999</v>
      </c>
      <c r="L522" s="78">
        <f t="shared" si="48"/>
        <v>0.34700000000000042</v>
      </c>
    </row>
    <row r="523" spans="2:12">
      <c r="B523" s="113">
        <v>41912</v>
      </c>
      <c r="C523" s="113"/>
      <c r="D523" s="113"/>
      <c r="E523" s="69">
        <v>3.0449999999999999</v>
      </c>
      <c r="F523" s="69">
        <v>3.5449999999999999</v>
      </c>
      <c r="G523" s="77">
        <f t="shared" si="43"/>
        <v>3.0449999999999999</v>
      </c>
      <c r="H523" s="77">
        <f t="shared" si="44"/>
        <v>3.5449999999999999</v>
      </c>
      <c r="I523" s="77">
        <f t="shared" si="45"/>
        <v>0.5</v>
      </c>
      <c r="J523" s="78">
        <f t="shared" si="46"/>
        <v>7.1849999999999996</v>
      </c>
      <c r="K523" s="78">
        <f t="shared" si="47"/>
        <v>7.5469999999999997</v>
      </c>
      <c r="L523" s="78">
        <f t="shared" si="48"/>
        <v>0.3620000000000001</v>
      </c>
    </row>
    <row r="524" spans="2:12">
      <c r="B524" s="113">
        <v>41943</v>
      </c>
      <c r="C524" s="113"/>
      <c r="D524" s="113"/>
      <c r="E524" s="69">
        <v>2.8450000000000002</v>
      </c>
      <c r="F524" s="69">
        <v>3.3174999999999999</v>
      </c>
      <c r="G524" s="77">
        <f t="shared" ref="G524:G587" si="49">IF(C524="",E524,C524)</f>
        <v>2.8450000000000002</v>
      </c>
      <c r="H524" s="77">
        <f t="shared" ref="H524:H587" si="50">IF(D524="",F524,D524)</f>
        <v>3.3174999999999999</v>
      </c>
      <c r="I524" s="77">
        <f t="shared" ref="I524:I587" si="51">H524-G524</f>
        <v>0.4724999999999997</v>
      </c>
      <c r="J524" s="78">
        <f t="shared" ref="J524:J587" si="52">G524  +  0.6  *  6.9</f>
        <v>6.9849999999999994</v>
      </c>
      <c r="K524" s="78">
        <f t="shared" ref="K524:K587" si="53">H524  +  0.6  *  6.67</f>
        <v>7.3194999999999997</v>
      </c>
      <c r="L524" s="78">
        <f t="shared" si="48"/>
        <v>0.33450000000000024</v>
      </c>
    </row>
    <row r="525" spans="2:12">
      <c r="B525" s="113">
        <v>41973</v>
      </c>
      <c r="C525" s="113"/>
      <c r="D525" s="113"/>
      <c r="E525" s="69">
        <v>2.7675000000000001</v>
      </c>
      <c r="F525" s="69">
        <v>3.2575000000000003</v>
      </c>
      <c r="G525" s="77">
        <f t="shared" si="49"/>
        <v>2.7675000000000001</v>
      </c>
      <c r="H525" s="77">
        <f t="shared" si="50"/>
        <v>3.2575000000000003</v>
      </c>
      <c r="I525" s="77">
        <f t="shared" si="51"/>
        <v>0.49000000000000021</v>
      </c>
      <c r="J525" s="78">
        <f t="shared" si="52"/>
        <v>6.9074999999999998</v>
      </c>
      <c r="K525" s="78">
        <f t="shared" si="53"/>
        <v>7.2595000000000001</v>
      </c>
      <c r="L525" s="78">
        <f t="shared" si="48"/>
        <v>0.35200000000000031</v>
      </c>
    </row>
    <row r="526" spans="2:12">
      <c r="B526" s="113">
        <v>42004</v>
      </c>
      <c r="C526" s="113"/>
      <c r="D526" s="113"/>
      <c r="E526" s="69">
        <v>2.4350000000000001</v>
      </c>
      <c r="F526" s="69">
        <v>2.9550000000000001</v>
      </c>
      <c r="G526" s="77">
        <f t="shared" si="49"/>
        <v>2.4350000000000001</v>
      </c>
      <c r="H526" s="77">
        <f t="shared" si="50"/>
        <v>2.9550000000000001</v>
      </c>
      <c r="I526" s="77">
        <f t="shared" si="51"/>
        <v>0.52</v>
      </c>
      <c r="J526" s="78">
        <f t="shared" si="52"/>
        <v>6.5749999999999993</v>
      </c>
      <c r="K526" s="78">
        <f t="shared" si="53"/>
        <v>6.9569999999999999</v>
      </c>
      <c r="L526" s="78">
        <f t="shared" si="48"/>
        <v>0.38200000000000056</v>
      </c>
    </row>
    <row r="527" spans="2:12">
      <c r="B527" s="113">
        <v>42035</v>
      </c>
      <c r="C527" s="113"/>
      <c r="D527" s="113"/>
      <c r="E527" s="69">
        <v>2.2075</v>
      </c>
      <c r="F527" s="69">
        <v>2.6375000000000002</v>
      </c>
      <c r="G527" s="77">
        <f t="shared" si="49"/>
        <v>2.2075</v>
      </c>
      <c r="H527" s="77">
        <f t="shared" si="50"/>
        <v>2.6375000000000002</v>
      </c>
      <c r="I527" s="77">
        <f t="shared" si="51"/>
        <v>0.43000000000000016</v>
      </c>
      <c r="J527" s="78">
        <f t="shared" si="52"/>
        <v>6.3475000000000001</v>
      </c>
      <c r="K527" s="78">
        <f t="shared" si="53"/>
        <v>6.6395</v>
      </c>
      <c r="L527" s="78">
        <f t="shared" si="48"/>
        <v>0.29199999999999982</v>
      </c>
    </row>
    <row r="528" spans="2:12">
      <c r="B528" s="113">
        <v>42063</v>
      </c>
      <c r="C528" s="113"/>
      <c r="D528" s="113"/>
      <c r="E528" s="69">
        <v>2.0125000000000002</v>
      </c>
      <c r="F528" s="69">
        <v>2.5024999999999999</v>
      </c>
      <c r="G528" s="77">
        <f t="shared" si="49"/>
        <v>2.0125000000000002</v>
      </c>
      <c r="H528" s="77">
        <f t="shared" si="50"/>
        <v>2.5024999999999999</v>
      </c>
      <c r="I528" s="77">
        <f t="shared" si="51"/>
        <v>0.48999999999999977</v>
      </c>
      <c r="J528" s="78">
        <f t="shared" si="52"/>
        <v>6.1524999999999999</v>
      </c>
      <c r="K528" s="78">
        <f t="shared" si="53"/>
        <v>6.5045000000000002</v>
      </c>
      <c r="L528" s="78">
        <f t="shared" si="48"/>
        <v>0.35200000000000031</v>
      </c>
    </row>
    <row r="529" spans="2:12">
      <c r="B529" s="113">
        <v>42094</v>
      </c>
      <c r="C529" s="113"/>
      <c r="D529" s="113"/>
      <c r="E529" s="69">
        <v>1.9775</v>
      </c>
      <c r="F529" s="69">
        <v>2.4824999999999999</v>
      </c>
      <c r="G529" s="77">
        <f t="shared" si="49"/>
        <v>1.9775</v>
      </c>
      <c r="H529" s="77">
        <f t="shared" si="50"/>
        <v>2.4824999999999999</v>
      </c>
      <c r="I529" s="77">
        <f t="shared" si="51"/>
        <v>0.50499999999999989</v>
      </c>
      <c r="J529" s="78">
        <f t="shared" si="52"/>
        <v>6.1174999999999997</v>
      </c>
      <c r="K529" s="78">
        <f t="shared" si="53"/>
        <v>6.4844999999999997</v>
      </c>
      <c r="L529" s="78">
        <f t="shared" si="48"/>
        <v>0.36699999999999999</v>
      </c>
    </row>
    <row r="530" spans="2:12">
      <c r="B530" s="113">
        <v>42124</v>
      </c>
      <c r="C530" s="113"/>
      <c r="D530" s="113"/>
      <c r="E530" s="69">
        <v>1.9475</v>
      </c>
      <c r="F530" s="69">
        <v>2.41</v>
      </c>
      <c r="G530" s="77">
        <f t="shared" si="49"/>
        <v>1.9475</v>
      </c>
      <c r="H530" s="77">
        <f t="shared" si="50"/>
        <v>2.41</v>
      </c>
      <c r="I530" s="77">
        <f t="shared" si="51"/>
        <v>0.46250000000000013</v>
      </c>
      <c r="J530" s="78">
        <f t="shared" si="52"/>
        <v>6.0874999999999995</v>
      </c>
      <c r="K530" s="78">
        <f t="shared" si="53"/>
        <v>6.4119999999999999</v>
      </c>
      <c r="L530" s="78">
        <f t="shared" si="48"/>
        <v>0.32450000000000045</v>
      </c>
    </row>
    <row r="531" spans="2:12">
      <c r="B531" s="113">
        <v>42155</v>
      </c>
      <c r="C531" s="113"/>
      <c r="D531" s="113"/>
      <c r="E531" s="69">
        <v>2.27</v>
      </c>
      <c r="F531" s="69">
        <v>2.88</v>
      </c>
      <c r="G531" s="77">
        <f t="shared" si="49"/>
        <v>2.27</v>
      </c>
      <c r="H531" s="77">
        <f t="shared" si="50"/>
        <v>2.88</v>
      </c>
      <c r="I531" s="77">
        <f t="shared" si="51"/>
        <v>0.60999999999999988</v>
      </c>
      <c r="J531" s="78">
        <f t="shared" si="52"/>
        <v>6.41</v>
      </c>
      <c r="K531" s="78">
        <f t="shared" si="53"/>
        <v>6.8819999999999997</v>
      </c>
      <c r="L531" s="78">
        <f t="shared" si="48"/>
        <v>0.47199999999999953</v>
      </c>
    </row>
    <row r="532" spans="2:12">
      <c r="B532" s="113">
        <v>42185</v>
      </c>
      <c r="C532" s="113"/>
      <c r="D532" s="113"/>
      <c r="E532" s="69">
        <v>2.2875000000000001</v>
      </c>
      <c r="F532" s="69">
        <v>2.9750000000000001</v>
      </c>
      <c r="G532" s="77">
        <f t="shared" si="49"/>
        <v>2.2875000000000001</v>
      </c>
      <c r="H532" s="77">
        <f t="shared" si="50"/>
        <v>2.9750000000000001</v>
      </c>
      <c r="I532" s="77">
        <f t="shared" si="51"/>
        <v>0.6875</v>
      </c>
      <c r="J532" s="78">
        <f t="shared" si="52"/>
        <v>6.4275000000000002</v>
      </c>
      <c r="K532" s="78">
        <f t="shared" si="53"/>
        <v>6.9770000000000003</v>
      </c>
      <c r="L532" s="78">
        <f t="shared" si="48"/>
        <v>0.5495000000000001</v>
      </c>
    </row>
    <row r="533" spans="2:12">
      <c r="B533" s="113">
        <v>42216</v>
      </c>
      <c r="C533" s="113"/>
      <c r="D533" s="113"/>
      <c r="E533" s="69">
        <v>2.2025000000000001</v>
      </c>
      <c r="F533" s="69">
        <v>2.9024999999999999</v>
      </c>
      <c r="G533" s="77">
        <f t="shared" si="49"/>
        <v>2.2025000000000001</v>
      </c>
      <c r="H533" s="77">
        <f t="shared" si="50"/>
        <v>2.9024999999999999</v>
      </c>
      <c r="I533" s="77">
        <f t="shared" si="51"/>
        <v>0.69999999999999973</v>
      </c>
      <c r="J533" s="78">
        <f t="shared" si="52"/>
        <v>6.3424999999999994</v>
      </c>
      <c r="K533" s="78">
        <f t="shared" si="53"/>
        <v>6.9044999999999996</v>
      </c>
      <c r="L533" s="78">
        <f t="shared" si="48"/>
        <v>0.56200000000000028</v>
      </c>
    </row>
    <row r="534" spans="2:12">
      <c r="B534" s="113">
        <v>42247</v>
      </c>
      <c r="C534" s="113"/>
      <c r="D534" s="113"/>
      <c r="E534" s="69">
        <v>2.1</v>
      </c>
      <c r="F534" s="69">
        <v>2.7149999999999999</v>
      </c>
      <c r="G534" s="77">
        <f t="shared" si="49"/>
        <v>2.1</v>
      </c>
      <c r="H534" s="77">
        <f t="shared" si="50"/>
        <v>2.7149999999999999</v>
      </c>
      <c r="I534" s="77">
        <f t="shared" si="51"/>
        <v>0.61499999999999977</v>
      </c>
      <c r="J534" s="78">
        <f t="shared" si="52"/>
        <v>6.24</v>
      </c>
      <c r="K534" s="78">
        <f t="shared" si="53"/>
        <v>6.7169999999999996</v>
      </c>
      <c r="L534" s="78">
        <f t="shared" si="48"/>
        <v>0.47699999999999942</v>
      </c>
    </row>
    <row r="535" spans="2:12">
      <c r="B535" s="113">
        <v>42277</v>
      </c>
      <c r="C535" s="113"/>
      <c r="D535" s="113"/>
      <c r="E535" s="69">
        <v>2.1025</v>
      </c>
      <c r="F535" s="69">
        <v>2.6949999999999998</v>
      </c>
      <c r="G535" s="77">
        <f t="shared" si="49"/>
        <v>2.1025</v>
      </c>
      <c r="H535" s="77">
        <f t="shared" si="50"/>
        <v>2.6949999999999998</v>
      </c>
      <c r="I535" s="77">
        <f t="shared" si="51"/>
        <v>0.5924999999999998</v>
      </c>
      <c r="J535" s="78">
        <f t="shared" si="52"/>
        <v>6.2424999999999997</v>
      </c>
      <c r="K535" s="78">
        <f t="shared" si="53"/>
        <v>6.6969999999999992</v>
      </c>
      <c r="L535" s="78">
        <f t="shared" si="48"/>
        <v>0.45449999999999946</v>
      </c>
    </row>
    <row r="536" spans="2:12">
      <c r="B536" s="113">
        <v>42308</v>
      </c>
      <c r="C536" s="113"/>
      <c r="D536" s="113"/>
      <c r="E536" s="69">
        <v>2.0725000000000002</v>
      </c>
      <c r="F536" s="69">
        <v>2.6225000000000001</v>
      </c>
      <c r="G536" s="77">
        <f t="shared" si="49"/>
        <v>2.0725000000000002</v>
      </c>
      <c r="H536" s="77">
        <f t="shared" si="50"/>
        <v>2.6225000000000001</v>
      </c>
      <c r="I536" s="77">
        <f t="shared" si="51"/>
        <v>0.54999999999999982</v>
      </c>
      <c r="J536" s="78">
        <f t="shared" si="52"/>
        <v>6.2125000000000004</v>
      </c>
      <c r="K536" s="78">
        <f t="shared" si="53"/>
        <v>6.6244999999999994</v>
      </c>
      <c r="L536" s="78">
        <f t="shared" si="48"/>
        <v>0.41199999999999903</v>
      </c>
    </row>
    <row r="537" spans="2:12">
      <c r="B537" s="113">
        <v>42338</v>
      </c>
      <c r="C537" s="113"/>
      <c r="D537" s="113"/>
      <c r="E537" s="69">
        <v>2.2774999999999999</v>
      </c>
      <c r="F537" s="69">
        <v>2.8525</v>
      </c>
      <c r="G537" s="77">
        <f t="shared" si="49"/>
        <v>2.2774999999999999</v>
      </c>
      <c r="H537" s="77">
        <f t="shared" si="50"/>
        <v>2.8525</v>
      </c>
      <c r="I537" s="77">
        <f t="shared" si="51"/>
        <v>0.57500000000000018</v>
      </c>
      <c r="J537" s="78">
        <f t="shared" si="52"/>
        <v>6.4174999999999995</v>
      </c>
      <c r="K537" s="78">
        <f t="shared" si="53"/>
        <v>6.8544999999999998</v>
      </c>
      <c r="L537" s="78">
        <f t="shared" si="48"/>
        <v>0.43700000000000028</v>
      </c>
    </row>
    <row r="538" spans="2:12">
      <c r="B538" s="113">
        <v>42369</v>
      </c>
      <c r="C538" s="113"/>
      <c r="D538" s="113"/>
      <c r="E538" s="69">
        <v>2.2850000000000001</v>
      </c>
      <c r="F538" s="69">
        <v>2.8450000000000002</v>
      </c>
      <c r="G538" s="77">
        <f t="shared" si="49"/>
        <v>2.2850000000000001</v>
      </c>
      <c r="H538" s="77">
        <f t="shared" si="50"/>
        <v>2.8450000000000002</v>
      </c>
      <c r="I538" s="77">
        <f t="shared" si="51"/>
        <v>0.56000000000000005</v>
      </c>
      <c r="J538" s="78">
        <f t="shared" si="52"/>
        <v>6.4249999999999998</v>
      </c>
      <c r="K538" s="78">
        <f t="shared" si="53"/>
        <v>6.8469999999999995</v>
      </c>
      <c r="L538" s="78">
        <f t="shared" si="48"/>
        <v>0.42199999999999971</v>
      </c>
    </row>
    <row r="539" spans="2:12">
      <c r="B539" s="113">
        <v>42400</v>
      </c>
      <c r="C539" s="113"/>
      <c r="D539" s="113"/>
      <c r="E539" s="69">
        <v>2.1475</v>
      </c>
      <c r="F539" s="69">
        <v>2.7250000000000001</v>
      </c>
      <c r="G539" s="77">
        <f t="shared" si="49"/>
        <v>2.1475</v>
      </c>
      <c r="H539" s="77">
        <f t="shared" si="50"/>
        <v>2.7250000000000001</v>
      </c>
      <c r="I539" s="77">
        <f t="shared" si="51"/>
        <v>0.57750000000000012</v>
      </c>
      <c r="J539" s="78">
        <f t="shared" si="52"/>
        <v>6.2874999999999996</v>
      </c>
      <c r="K539" s="78">
        <f t="shared" si="53"/>
        <v>6.7270000000000003</v>
      </c>
      <c r="L539" s="78">
        <f t="shared" si="48"/>
        <v>0.43950000000000067</v>
      </c>
    </row>
    <row r="540" spans="2:12">
      <c r="B540" s="113">
        <v>42429</v>
      </c>
      <c r="C540" s="113"/>
      <c r="D540" s="113"/>
      <c r="E540" s="69">
        <v>1.99</v>
      </c>
      <c r="F540" s="69">
        <v>2.4750000000000001</v>
      </c>
      <c r="G540" s="77">
        <f t="shared" si="49"/>
        <v>1.99</v>
      </c>
      <c r="H540" s="77">
        <f t="shared" si="50"/>
        <v>2.4750000000000001</v>
      </c>
      <c r="I540" s="77">
        <f t="shared" si="51"/>
        <v>0.4850000000000001</v>
      </c>
      <c r="J540" s="78">
        <f t="shared" si="52"/>
        <v>6.13</v>
      </c>
      <c r="K540" s="78">
        <f t="shared" si="53"/>
        <v>6.4770000000000003</v>
      </c>
      <c r="L540" s="78">
        <f t="shared" si="48"/>
        <v>0.34700000000000042</v>
      </c>
    </row>
    <row r="541" spans="2:12">
      <c r="B541" s="113">
        <v>42460</v>
      </c>
      <c r="C541" s="113"/>
      <c r="D541" s="113"/>
      <c r="E541" s="69">
        <v>2.1350000000000002</v>
      </c>
      <c r="F541" s="69">
        <v>2.5674999999999999</v>
      </c>
      <c r="G541" s="77">
        <f t="shared" si="49"/>
        <v>2.1350000000000002</v>
      </c>
      <c r="H541" s="77">
        <f t="shared" si="50"/>
        <v>2.5674999999999999</v>
      </c>
      <c r="I541" s="77">
        <f t="shared" si="51"/>
        <v>0.43249999999999966</v>
      </c>
      <c r="J541" s="78">
        <f t="shared" si="52"/>
        <v>6.2750000000000004</v>
      </c>
      <c r="K541" s="78">
        <f t="shared" si="53"/>
        <v>6.5694999999999997</v>
      </c>
      <c r="L541" s="78">
        <f t="shared" si="48"/>
        <v>0.29449999999999932</v>
      </c>
    </row>
    <row r="542" spans="2:12">
      <c r="B542" s="113">
        <v>42490</v>
      </c>
      <c r="C542" s="113"/>
      <c r="D542" s="113"/>
      <c r="E542" s="69">
        <v>2.0925000000000002</v>
      </c>
      <c r="F542" s="69">
        <v>2.5150000000000001</v>
      </c>
      <c r="G542" s="77">
        <f t="shared" si="49"/>
        <v>2.0925000000000002</v>
      </c>
      <c r="H542" s="77">
        <f t="shared" si="50"/>
        <v>2.5150000000000001</v>
      </c>
      <c r="I542" s="77">
        <f t="shared" si="51"/>
        <v>0.42249999999999988</v>
      </c>
      <c r="J542" s="78">
        <f t="shared" si="52"/>
        <v>6.2324999999999999</v>
      </c>
      <c r="K542" s="78">
        <f t="shared" si="53"/>
        <v>6.5169999999999995</v>
      </c>
      <c r="L542" s="78">
        <f t="shared" si="48"/>
        <v>0.28449999999999953</v>
      </c>
    </row>
    <row r="543" spans="2:12">
      <c r="B543" s="113">
        <v>42521</v>
      </c>
      <c r="C543" s="113"/>
      <c r="D543" s="113"/>
      <c r="E543" s="69">
        <v>1.8325</v>
      </c>
      <c r="F543" s="69">
        <v>2.3199999999999998</v>
      </c>
      <c r="G543" s="77">
        <f t="shared" si="49"/>
        <v>1.8325</v>
      </c>
      <c r="H543" s="77">
        <f t="shared" si="50"/>
        <v>2.3199999999999998</v>
      </c>
      <c r="I543" s="77">
        <f t="shared" si="51"/>
        <v>0.48749999999999982</v>
      </c>
      <c r="J543" s="78">
        <f t="shared" si="52"/>
        <v>5.9725000000000001</v>
      </c>
      <c r="K543" s="78">
        <f t="shared" si="53"/>
        <v>6.3219999999999992</v>
      </c>
      <c r="L543" s="78">
        <f t="shared" si="48"/>
        <v>0.34949999999999903</v>
      </c>
    </row>
    <row r="544" spans="2:12">
      <c r="B544" s="113">
        <v>42551</v>
      </c>
      <c r="C544" s="113"/>
      <c r="D544" s="113"/>
      <c r="E544" s="69">
        <v>1.72</v>
      </c>
      <c r="F544" s="69">
        <v>2.1175000000000002</v>
      </c>
      <c r="G544" s="77">
        <f t="shared" si="49"/>
        <v>1.72</v>
      </c>
      <c r="H544" s="77">
        <f t="shared" si="50"/>
        <v>2.1175000000000002</v>
      </c>
      <c r="I544" s="77">
        <f t="shared" si="51"/>
        <v>0.39750000000000019</v>
      </c>
      <c r="J544" s="78">
        <f t="shared" si="52"/>
        <v>5.8599999999999994</v>
      </c>
      <c r="K544" s="78">
        <f t="shared" si="53"/>
        <v>6.1195000000000004</v>
      </c>
      <c r="L544" s="78">
        <f t="shared" si="48"/>
        <v>0.25950000000000095</v>
      </c>
    </row>
    <row r="545" spans="2:12">
      <c r="B545" s="113">
        <v>42582</v>
      </c>
      <c r="C545" s="113"/>
      <c r="D545" s="113"/>
      <c r="E545" s="69">
        <v>1.615</v>
      </c>
      <c r="F545" s="69">
        <v>1.9275</v>
      </c>
      <c r="G545" s="77">
        <f t="shared" si="49"/>
        <v>1.615</v>
      </c>
      <c r="H545" s="77">
        <f t="shared" si="50"/>
        <v>1.9275</v>
      </c>
      <c r="I545" s="77">
        <f t="shared" si="51"/>
        <v>0.3125</v>
      </c>
      <c r="J545" s="78">
        <f t="shared" si="52"/>
        <v>5.7549999999999999</v>
      </c>
      <c r="K545" s="78">
        <f t="shared" si="53"/>
        <v>5.9295</v>
      </c>
      <c r="L545" s="78">
        <f t="shared" si="48"/>
        <v>0.1745000000000001</v>
      </c>
    </row>
    <row r="546" spans="2:12">
      <c r="B546" s="113">
        <v>42613</v>
      </c>
      <c r="C546" s="113"/>
      <c r="D546" s="113"/>
      <c r="E546" s="69">
        <v>1.5375000000000001</v>
      </c>
      <c r="F546" s="69">
        <v>1.875</v>
      </c>
      <c r="G546" s="77">
        <f t="shared" si="49"/>
        <v>1.5375000000000001</v>
      </c>
      <c r="H546" s="77">
        <f t="shared" si="50"/>
        <v>1.875</v>
      </c>
      <c r="I546" s="77">
        <f t="shared" si="51"/>
        <v>0.33749999999999991</v>
      </c>
      <c r="J546" s="78">
        <f t="shared" si="52"/>
        <v>5.6775000000000002</v>
      </c>
      <c r="K546" s="78">
        <f t="shared" si="53"/>
        <v>5.8769999999999998</v>
      </c>
      <c r="L546" s="78">
        <f t="shared" si="48"/>
        <v>0.19949999999999957</v>
      </c>
    </row>
    <row r="547" spans="2:12">
      <c r="B547" s="113">
        <v>42643</v>
      </c>
      <c r="C547" s="113"/>
      <c r="D547" s="113"/>
      <c r="E547" s="69">
        <v>1.6950000000000001</v>
      </c>
      <c r="F547" s="69">
        <v>1.9850000000000001</v>
      </c>
      <c r="G547" s="77">
        <f t="shared" si="49"/>
        <v>1.6950000000000001</v>
      </c>
      <c r="H547" s="77">
        <f t="shared" si="50"/>
        <v>1.9850000000000001</v>
      </c>
      <c r="I547" s="77">
        <f t="shared" si="51"/>
        <v>0.29000000000000004</v>
      </c>
      <c r="J547" s="78">
        <f t="shared" si="52"/>
        <v>5.835</v>
      </c>
      <c r="K547" s="78">
        <f t="shared" si="53"/>
        <v>5.9870000000000001</v>
      </c>
      <c r="L547" s="78">
        <f t="shared" si="48"/>
        <v>0.15200000000000014</v>
      </c>
    </row>
    <row r="548" spans="2:12">
      <c r="B548" s="113">
        <v>42674</v>
      </c>
      <c r="C548" s="113"/>
      <c r="D548" s="113"/>
      <c r="E548" s="69">
        <v>1.8325</v>
      </c>
      <c r="F548" s="69">
        <v>2.2000000000000002</v>
      </c>
      <c r="G548" s="77">
        <f t="shared" si="49"/>
        <v>1.8325</v>
      </c>
      <c r="H548" s="77">
        <f t="shared" si="50"/>
        <v>2.2000000000000002</v>
      </c>
      <c r="I548" s="77">
        <f t="shared" si="51"/>
        <v>0.36750000000000016</v>
      </c>
      <c r="J548" s="78">
        <f t="shared" si="52"/>
        <v>5.9725000000000001</v>
      </c>
      <c r="K548" s="78">
        <f t="shared" si="53"/>
        <v>6.202</v>
      </c>
      <c r="L548" s="78">
        <f t="shared" si="48"/>
        <v>0.22949999999999982</v>
      </c>
    </row>
    <row r="549" spans="2:12">
      <c r="B549" s="113">
        <v>42704</v>
      </c>
      <c r="C549" s="113"/>
      <c r="D549" s="113"/>
      <c r="E549" s="69">
        <v>2.0150000000000001</v>
      </c>
      <c r="F549" s="69">
        <v>2.5049999999999999</v>
      </c>
      <c r="G549" s="77">
        <f t="shared" si="49"/>
        <v>2.0150000000000001</v>
      </c>
      <c r="H549" s="77">
        <f t="shared" si="50"/>
        <v>2.5049999999999999</v>
      </c>
      <c r="I549" s="77">
        <f t="shared" si="51"/>
        <v>0.48999999999999977</v>
      </c>
      <c r="J549" s="78">
        <f t="shared" si="52"/>
        <v>6.1549999999999994</v>
      </c>
      <c r="K549" s="78">
        <f t="shared" si="53"/>
        <v>6.5069999999999997</v>
      </c>
      <c r="L549" s="78">
        <f t="shared" si="48"/>
        <v>0.35200000000000031</v>
      </c>
    </row>
    <row r="550" spans="2:12">
      <c r="B550" s="113">
        <v>42735</v>
      </c>
      <c r="C550" s="113"/>
      <c r="D550" s="113"/>
      <c r="E550" s="69">
        <v>2.2400000000000002</v>
      </c>
      <c r="F550" s="69">
        <v>2.7925</v>
      </c>
      <c r="G550" s="77">
        <f t="shared" si="49"/>
        <v>2.2400000000000002</v>
      </c>
      <c r="H550" s="77">
        <f t="shared" si="50"/>
        <v>2.7925</v>
      </c>
      <c r="I550" s="77">
        <f t="shared" si="51"/>
        <v>0.55249999999999977</v>
      </c>
      <c r="J550" s="78">
        <f t="shared" si="52"/>
        <v>6.38</v>
      </c>
      <c r="K550" s="78">
        <f t="shared" si="53"/>
        <v>6.7944999999999993</v>
      </c>
      <c r="L550" s="78">
        <f t="shared" si="48"/>
        <v>0.41449999999999942</v>
      </c>
    </row>
    <row r="551" spans="2:12">
      <c r="B551" s="113">
        <v>42766</v>
      </c>
      <c r="C551" s="113"/>
      <c r="D551" s="113"/>
      <c r="E551" s="69">
        <v>2.21</v>
      </c>
      <c r="F551" s="69">
        <v>2.7275</v>
      </c>
      <c r="G551" s="77">
        <f t="shared" si="49"/>
        <v>2.21</v>
      </c>
      <c r="H551" s="77">
        <f t="shared" si="50"/>
        <v>2.7275</v>
      </c>
      <c r="I551" s="77">
        <f t="shared" si="51"/>
        <v>0.51750000000000007</v>
      </c>
      <c r="J551" s="78">
        <f t="shared" si="52"/>
        <v>6.35</v>
      </c>
      <c r="K551" s="78">
        <f t="shared" si="53"/>
        <v>6.7294999999999998</v>
      </c>
      <c r="L551" s="78">
        <f t="shared" si="48"/>
        <v>0.37950000000000017</v>
      </c>
    </row>
    <row r="552" spans="2:12">
      <c r="B552" s="113">
        <v>42794</v>
      </c>
      <c r="C552" s="113"/>
      <c r="D552" s="113"/>
      <c r="E552" s="69">
        <v>2.2175000000000002</v>
      </c>
      <c r="F552" s="69">
        <v>2.75</v>
      </c>
      <c r="G552" s="77">
        <f t="shared" si="49"/>
        <v>2.2175000000000002</v>
      </c>
      <c r="H552" s="77">
        <f t="shared" si="50"/>
        <v>2.75</v>
      </c>
      <c r="I552" s="77">
        <f t="shared" si="51"/>
        <v>0.53249999999999975</v>
      </c>
      <c r="J552" s="78">
        <f t="shared" si="52"/>
        <v>6.3574999999999999</v>
      </c>
      <c r="K552" s="78">
        <f t="shared" si="53"/>
        <v>6.7519999999999998</v>
      </c>
      <c r="L552" s="78">
        <f t="shared" si="48"/>
        <v>0.39449999999999985</v>
      </c>
    </row>
    <row r="553" spans="2:12">
      <c r="B553" s="113">
        <v>42825</v>
      </c>
      <c r="C553" s="113"/>
      <c r="D553" s="113"/>
      <c r="E553" s="69">
        <v>2.2925</v>
      </c>
      <c r="F553" s="69">
        <v>2.81</v>
      </c>
      <c r="G553" s="77">
        <f t="shared" si="49"/>
        <v>2.2925</v>
      </c>
      <c r="H553" s="77">
        <f t="shared" si="50"/>
        <v>2.81</v>
      </c>
      <c r="I553" s="77">
        <f t="shared" si="51"/>
        <v>0.51750000000000007</v>
      </c>
      <c r="J553" s="78">
        <f t="shared" si="52"/>
        <v>6.4324999999999992</v>
      </c>
      <c r="K553" s="78">
        <f t="shared" si="53"/>
        <v>6.8119999999999994</v>
      </c>
      <c r="L553" s="78">
        <f t="shared" si="48"/>
        <v>0.37950000000000017</v>
      </c>
    </row>
    <row r="554" spans="2:12">
      <c r="B554" s="113">
        <v>42855</v>
      </c>
      <c r="C554" s="113"/>
      <c r="D554" s="113"/>
      <c r="E554" s="69">
        <v>2.0874999999999999</v>
      </c>
      <c r="F554" s="69">
        <v>2.56</v>
      </c>
      <c r="G554" s="77">
        <f t="shared" si="49"/>
        <v>2.0874999999999999</v>
      </c>
      <c r="H554" s="77">
        <f t="shared" si="50"/>
        <v>2.56</v>
      </c>
      <c r="I554" s="77">
        <f t="shared" si="51"/>
        <v>0.47250000000000014</v>
      </c>
      <c r="J554" s="78">
        <f t="shared" si="52"/>
        <v>6.2274999999999991</v>
      </c>
      <c r="K554" s="78">
        <f t="shared" si="53"/>
        <v>6.5619999999999994</v>
      </c>
      <c r="L554" s="78">
        <f t="shared" si="48"/>
        <v>0.33450000000000024</v>
      </c>
    </row>
    <row r="555" spans="2:12">
      <c r="B555" s="113">
        <v>42886</v>
      </c>
      <c r="C555" s="113"/>
      <c r="D555" s="113"/>
      <c r="E555" s="69">
        <v>2.0525000000000002</v>
      </c>
      <c r="F555" s="69">
        <v>2.5425</v>
      </c>
      <c r="G555" s="77">
        <f t="shared" si="49"/>
        <v>2.0525000000000002</v>
      </c>
      <c r="H555" s="77">
        <f t="shared" si="50"/>
        <v>2.5425</v>
      </c>
      <c r="I555" s="77">
        <f t="shared" si="51"/>
        <v>0.48999999999999977</v>
      </c>
      <c r="J555" s="78">
        <f t="shared" si="52"/>
        <v>6.1924999999999999</v>
      </c>
      <c r="K555" s="78">
        <f t="shared" si="53"/>
        <v>6.5444999999999993</v>
      </c>
      <c r="L555" s="78">
        <f t="shared" si="48"/>
        <v>0.35199999999999942</v>
      </c>
    </row>
    <row r="556" spans="2:12">
      <c r="B556" s="113">
        <v>42916</v>
      </c>
      <c r="C556" s="113"/>
      <c r="D556" s="113"/>
      <c r="E556" s="69">
        <v>1.9875</v>
      </c>
      <c r="F556" s="69">
        <v>2.4075000000000002</v>
      </c>
      <c r="G556" s="77">
        <f t="shared" si="49"/>
        <v>1.9875</v>
      </c>
      <c r="H556" s="77">
        <f t="shared" si="50"/>
        <v>2.4075000000000002</v>
      </c>
      <c r="I556" s="77">
        <f t="shared" si="51"/>
        <v>0.42000000000000015</v>
      </c>
      <c r="J556" s="78">
        <f t="shared" si="52"/>
        <v>6.1274999999999995</v>
      </c>
      <c r="K556" s="78">
        <f t="shared" si="53"/>
        <v>6.4094999999999995</v>
      </c>
      <c r="L556" s="78">
        <f t="shared" si="48"/>
        <v>0.28200000000000003</v>
      </c>
    </row>
    <row r="557" spans="2:12">
      <c r="B557" s="113">
        <v>42947</v>
      </c>
      <c r="C557" s="113"/>
      <c r="D557" s="113"/>
      <c r="E557" s="69">
        <v>2.2124999999999999</v>
      </c>
      <c r="F557" s="69">
        <v>2.6425000000000001</v>
      </c>
      <c r="G557" s="77">
        <f t="shared" si="49"/>
        <v>2.2124999999999999</v>
      </c>
      <c r="H557" s="77">
        <f t="shared" si="50"/>
        <v>2.6425000000000001</v>
      </c>
      <c r="I557" s="77">
        <f t="shared" si="51"/>
        <v>0.43000000000000016</v>
      </c>
      <c r="J557" s="78">
        <f t="shared" si="52"/>
        <v>6.3524999999999991</v>
      </c>
      <c r="K557" s="78">
        <f t="shared" si="53"/>
        <v>6.6444999999999999</v>
      </c>
      <c r="L557" s="78">
        <f t="shared" si="48"/>
        <v>0.2920000000000007</v>
      </c>
    </row>
    <row r="558" spans="2:12">
      <c r="B558" s="113">
        <v>42978</v>
      </c>
      <c r="C558" s="113"/>
      <c r="D558" s="113"/>
      <c r="E558" s="69">
        <v>2.1850000000000001</v>
      </c>
      <c r="F558" s="69">
        <v>2.5975000000000001</v>
      </c>
      <c r="G558" s="77">
        <f t="shared" si="49"/>
        <v>2.1850000000000001</v>
      </c>
      <c r="H558" s="77">
        <f t="shared" si="50"/>
        <v>2.5975000000000001</v>
      </c>
      <c r="I558" s="77">
        <f t="shared" si="51"/>
        <v>0.41250000000000009</v>
      </c>
      <c r="J558" s="78">
        <f t="shared" si="52"/>
        <v>6.3249999999999993</v>
      </c>
      <c r="K558" s="78">
        <f t="shared" si="53"/>
        <v>6.5994999999999999</v>
      </c>
      <c r="L558" s="78">
        <f t="shared" si="48"/>
        <v>0.27450000000000063</v>
      </c>
    </row>
    <row r="559" spans="2:12">
      <c r="B559" s="113">
        <v>43008</v>
      </c>
      <c r="C559" s="113"/>
      <c r="D559" s="113"/>
      <c r="E559" s="69">
        <v>2.2999999999999998</v>
      </c>
      <c r="F559" s="69">
        <v>2.7</v>
      </c>
      <c r="G559" s="77">
        <f t="shared" si="49"/>
        <v>2.2999999999999998</v>
      </c>
      <c r="H559" s="77">
        <f t="shared" si="50"/>
        <v>2.7</v>
      </c>
      <c r="I559" s="77">
        <f t="shared" si="51"/>
        <v>0.40000000000000036</v>
      </c>
      <c r="J559" s="78">
        <f t="shared" si="52"/>
        <v>6.4399999999999995</v>
      </c>
      <c r="K559" s="78">
        <f t="shared" si="53"/>
        <v>6.702</v>
      </c>
      <c r="L559" s="78">
        <f t="shared" si="48"/>
        <v>0.26200000000000045</v>
      </c>
    </row>
    <row r="560" spans="2:12">
      <c r="B560" s="113">
        <v>43039</v>
      </c>
      <c r="C560" s="113"/>
      <c r="D560" s="113"/>
      <c r="E560" s="69">
        <v>2.34</v>
      </c>
      <c r="F560" s="69">
        <v>2.78</v>
      </c>
      <c r="G560" s="77">
        <f t="shared" si="49"/>
        <v>2.34</v>
      </c>
      <c r="H560" s="77">
        <f t="shared" si="50"/>
        <v>2.78</v>
      </c>
      <c r="I560" s="77">
        <f t="shared" si="51"/>
        <v>0.43999999999999995</v>
      </c>
      <c r="J560" s="78">
        <f t="shared" si="52"/>
        <v>6.4799999999999995</v>
      </c>
      <c r="K560" s="78">
        <f t="shared" si="53"/>
        <v>6.782</v>
      </c>
      <c r="L560" s="78">
        <f t="shared" si="48"/>
        <v>0.30200000000000049</v>
      </c>
    </row>
    <row r="561" spans="2:12">
      <c r="B561" s="113">
        <v>43069</v>
      </c>
      <c r="C561" s="113"/>
      <c r="D561" s="113"/>
      <c r="E561" s="69">
        <v>2.16</v>
      </c>
      <c r="F561" s="69">
        <v>2.57</v>
      </c>
      <c r="G561" s="77">
        <f t="shared" si="49"/>
        <v>2.16</v>
      </c>
      <c r="H561" s="77">
        <f t="shared" si="50"/>
        <v>2.57</v>
      </c>
      <c r="I561" s="77">
        <f t="shared" si="51"/>
        <v>0.4099999999999997</v>
      </c>
      <c r="J561" s="78">
        <f t="shared" si="52"/>
        <v>6.3</v>
      </c>
      <c r="K561" s="78">
        <f t="shared" si="53"/>
        <v>6.5719999999999992</v>
      </c>
      <c r="L561" s="78">
        <f t="shared" si="48"/>
        <v>0.27199999999999935</v>
      </c>
    </row>
    <row r="562" spans="2:12">
      <c r="B562" s="113">
        <v>43100</v>
      </c>
      <c r="C562" s="113"/>
      <c r="D562" s="113"/>
      <c r="E562" s="70">
        <v>2.25</v>
      </c>
      <c r="F562" s="70">
        <v>2.58</v>
      </c>
      <c r="G562" s="77">
        <f t="shared" si="49"/>
        <v>2.25</v>
      </c>
      <c r="H562" s="77">
        <f t="shared" si="50"/>
        <v>2.58</v>
      </c>
      <c r="I562" s="77">
        <f t="shared" si="51"/>
        <v>0.33000000000000007</v>
      </c>
      <c r="J562" s="78">
        <f t="shared" si="52"/>
        <v>6.39</v>
      </c>
      <c r="K562" s="78">
        <f t="shared" si="53"/>
        <v>6.5819999999999999</v>
      </c>
      <c r="L562" s="78">
        <f t="shared" si="48"/>
        <v>0.19200000000000017</v>
      </c>
    </row>
    <row r="563" spans="2:12">
      <c r="B563" s="113">
        <v>43131</v>
      </c>
      <c r="C563" s="113"/>
      <c r="D563" s="113"/>
      <c r="E563" s="69">
        <v>2.39</v>
      </c>
      <c r="F563" s="69">
        <v>2.75</v>
      </c>
      <c r="G563" s="77">
        <f t="shared" si="49"/>
        <v>2.39</v>
      </c>
      <c r="H563" s="77">
        <f t="shared" si="50"/>
        <v>2.75</v>
      </c>
      <c r="I563" s="77">
        <f t="shared" si="51"/>
        <v>0.35999999999999988</v>
      </c>
      <c r="J563" s="78">
        <f t="shared" si="52"/>
        <v>6.5299999999999994</v>
      </c>
      <c r="K563" s="78">
        <f t="shared" si="53"/>
        <v>6.7519999999999998</v>
      </c>
      <c r="L563" s="78">
        <f t="shared" si="48"/>
        <v>0.22200000000000042</v>
      </c>
    </row>
    <row r="564" spans="2:12">
      <c r="B564" s="113">
        <v>43159</v>
      </c>
      <c r="C564" s="113"/>
      <c r="D564" s="113"/>
      <c r="E564" s="69">
        <v>2.4</v>
      </c>
      <c r="F564" s="69">
        <v>2.86</v>
      </c>
      <c r="G564" s="77">
        <f t="shared" si="49"/>
        <v>2.4</v>
      </c>
      <c r="H564" s="77">
        <f t="shared" si="50"/>
        <v>2.86</v>
      </c>
      <c r="I564" s="77">
        <f t="shared" si="51"/>
        <v>0.45999999999999996</v>
      </c>
      <c r="J564" s="78">
        <f t="shared" si="52"/>
        <v>6.5399999999999991</v>
      </c>
      <c r="K564" s="78">
        <f t="shared" si="53"/>
        <v>6.8620000000000001</v>
      </c>
      <c r="L564" s="78">
        <f t="shared" si="48"/>
        <v>0.32200000000000095</v>
      </c>
    </row>
    <row r="565" spans="2:12">
      <c r="B565" s="113">
        <v>43190</v>
      </c>
      <c r="C565" s="113"/>
      <c r="D565" s="113"/>
      <c r="E565" s="69">
        <v>2.35</v>
      </c>
      <c r="F565" s="69">
        <v>2.72</v>
      </c>
      <c r="G565" s="77">
        <f t="shared" si="49"/>
        <v>2.35</v>
      </c>
      <c r="H565" s="77">
        <f t="shared" si="50"/>
        <v>2.72</v>
      </c>
      <c r="I565" s="77">
        <f t="shared" si="51"/>
        <v>0.37000000000000011</v>
      </c>
      <c r="J565" s="78">
        <f t="shared" si="52"/>
        <v>6.49</v>
      </c>
      <c r="K565" s="78">
        <f t="shared" si="53"/>
        <v>6.7219999999999995</v>
      </c>
      <c r="L565" s="78">
        <f t="shared" si="48"/>
        <v>0.23199999999999932</v>
      </c>
    </row>
    <row r="566" spans="2:12">
      <c r="B566" s="113">
        <v>43220</v>
      </c>
      <c r="C566" s="113"/>
      <c r="D566" s="113"/>
      <c r="E566" s="69">
        <v>2.42</v>
      </c>
      <c r="F566" s="69">
        <v>2.74</v>
      </c>
      <c r="G566" s="77">
        <f t="shared" si="49"/>
        <v>2.42</v>
      </c>
      <c r="H566" s="77">
        <f t="shared" si="50"/>
        <v>2.74</v>
      </c>
      <c r="I566" s="77">
        <f t="shared" si="51"/>
        <v>0.32000000000000028</v>
      </c>
      <c r="J566" s="78">
        <f t="shared" si="52"/>
        <v>6.56</v>
      </c>
      <c r="K566" s="78">
        <f t="shared" si="53"/>
        <v>6.742</v>
      </c>
      <c r="L566" s="78">
        <f t="shared" si="48"/>
        <v>0.18200000000000038</v>
      </c>
    </row>
    <row r="567" spans="2:12">
      <c r="B567" s="113">
        <v>43251</v>
      </c>
      <c r="C567" s="113"/>
      <c r="D567" s="113"/>
      <c r="E567" s="69">
        <v>2.41</v>
      </c>
      <c r="F567" s="69">
        <v>2.79</v>
      </c>
      <c r="G567" s="77">
        <f t="shared" si="49"/>
        <v>2.41</v>
      </c>
      <c r="H567" s="77">
        <f t="shared" si="50"/>
        <v>2.79</v>
      </c>
      <c r="I567" s="77">
        <f t="shared" si="51"/>
        <v>0.37999999999999989</v>
      </c>
      <c r="J567" s="78">
        <f t="shared" si="52"/>
        <v>6.55</v>
      </c>
      <c r="K567" s="78">
        <f t="shared" si="53"/>
        <v>6.7919999999999998</v>
      </c>
      <c r="L567" s="78">
        <f t="shared" si="48"/>
        <v>0.24199999999999999</v>
      </c>
    </row>
    <row r="568" spans="2:12">
      <c r="B568" s="113">
        <v>43281</v>
      </c>
      <c r="C568" s="113"/>
      <c r="D568" s="113"/>
      <c r="E568" s="69">
        <v>2.36</v>
      </c>
      <c r="F568" s="69">
        <v>2.7</v>
      </c>
      <c r="G568" s="77">
        <f t="shared" si="49"/>
        <v>2.36</v>
      </c>
      <c r="H568" s="77">
        <f t="shared" si="50"/>
        <v>2.7</v>
      </c>
      <c r="I568" s="77">
        <f t="shared" si="51"/>
        <v>0.3400000000000003</v>
      </c>
      <c r="J568" s="78">
        <f t="shared" si="52"/>
        <v>6.5</v>
      </c>
      <c r="K568" s="78">
        <f t="shared" si="53"/>
        <v>6.702</v>
      </c>
      <c r="L568" s="78">
        <f t="shared" si="48"/>
        <v>0.20199999999999996</v>
      </c>
    </row>
    <row r="569" spans="2:12">
      <c r="B569" s="113">
        <v>43312</v>
      </c>
      <c r="C569" s="113"/>
      <c r="D569" s="113"/>
      <c r="E569" s="69">
        <v>2.29</v>
      </c>
      <c r="F569" s="69">
        <v>2.64</v>
      </c>
      <c r="G569" s="77">
        <f t="shared" si="49"/>
        <v>2.29</v>
      </c>
      <c r="H569" s="77">
        <f t="shared" si="50"/>
        <v>2.64</v>
      </c>
      <c r="I569" s="77">
        <f t="shared" si="51"/>
        <v>0.35000000000000009</v>
      </c>
      <c r="J569" s="78">
        <f t="shared" si="52"/>
        <v>6.43</v>
      </c>
      <c r="K569" s="78">
        <f t="shared" si="53"/>
        <v>6.6419999999999995</v>
      </c>
      <c r="L569" s="78">
        <f t="shared" si="48"/>
        <v>0.21199999999999974</v>
      </c>
    </row>
    <row r="570" spans="2:12">
      <c r="B570" s="113">
        <v>43343</v>
      </c>
      <c r="C570" s="113"/>
      <c r="D570" s="113"/>
      <c r="E570" s="69">
        <v>2.2400000000000002</v>
      </c>
      <c r="F570" s="69">
        <v>2.59</v>
      </c>
      <c r="G570" s="77">
        <f t="shared" si="49"/>
        <v>2.2400000000000002</v>
      </c>
      <c r="H570" s="77">
        <f t="shared" si="50"/>
        <v>2.59</v>
      </c>
      <c r="I570" s="77">
        <f t="shared" si="51"/>
        <v>0.34999999999999964</v>
      </c>
      <c r="J570" s="78">
        <f t="shared" si="52"/>
        <v>6.38</v>
      </c>
      <c r="K570" s="78">
        <f t="shared" si="53"/>
        <v>6.5919999999999996</v>
      </c>
      <c r="L570" s="78">
        <f t="shared" si="48"/>
        <v>0.21199999999999974</v>
      </c>
    </row>
    <row r="571" spans="2:12">
      <c r="B571" s="113">
        <v>43373</v>
      </c>
      <c r="C571" s="113"/>
      <c r="D571" s="113"/>
      <c r="E571" s="69">
        <v>2.25</v>
      </c>
      <c r="F571" s="69">
        <v>2.63</v>
      </c>
      <c r="G571" s="77">
        <f t="shared" si="49"/>
        <v>2.25</v>
      </c>
      <c r="H571" s="77">
        <f t="shared" si="50"/>
        <v>2.63</v>
      </c>
      <c r="I571" s="77">
        <f t="shared" si="51"/>
        <v>0.37999999999999989</v>
      </c>
      <c r="J571" s="78">
        <f t="shared" si="52"/>
        <v>6.39</v>
      </c>
      <c r="K571" s="78">
        <f t="shared" si="53"/>
        <v>6.6319999999999997</v>
      </c>
      <c r="L571" s="78">
        <f t="shared" si="48"/>
        <v>0.24199999999999999</v>
      </c>
    </row>
    <row r="572" spans="2:12">
      <c r="B572" s="113">
        <v>43404</v>
      </c>
      <c r="C572" s="113"/>
      <c r="D572" s="113"/>
      <c r="E572" s="69">
        <v>2.2799999999999998</v>
      </c>
      <c r="F572" s="69">
        <v>2.68</v>
      </c>
      <c r="G572" s="77">
        <f t="shared" si="49"/>
        <v>2.2799999999999998</v>
      </c>
      <c r="H572" s="77">
        <f t="shared" si="50"/>
        <v>2.68</v>
      </c>
      <c r="I572" s="77">
        <f t="shared" si="51"/>
        <v>0.40000000000000036</v>
      </c>
      <c r="J572" s="78">
        <f t="shared" si="52"/>
        <v>6.42</v>
      </c>
      <c r="K572" s="78">
        <f t="shared" si="53"/>
        <v>6.6820000000000004</v>
      </c>
      <c r="L572" s="78">
        <f t="shared" si="48"/>
        <v>0.26200000000000045</v>
      </c>
    </row>
    <row r="573" spans="2:12">
      <c r="B573" s="113">
        <v>43434</v>
      </c>
      <c r="C573" s="113"/>
      <c r="D573" s="113"/>
      <c r="E573" s="69">
        <v>2.3199999999999998</v>
      </c>
      <c r="F573" s="69">
        <v>2.68</v>
      </c>
      <c r="G573" s="77">
        <f t="shared" si="49"/>
        <v>2.3199999999999998</v>
      </c>
      <c r="H573" s="77">
        <f t="shared" si="50"/>
        <v>2.68</v>
      </c>
      <c r="I573" s="77">
        <f t="shared" si="51"/>
        <v>0.36000000000000032</v>
      </c>
      <c r="J573" s="78">
        <f t="shared" si="52"/>
        <v>6.4599999999999991</v>
      </c>
      <c r="K573" s="78">
        <f t="shared" si="53"/>
        <v>6.6820000000000004</v>
      </c>
      <c r="L573" s="78">
        <f t="shared" ref="L573:L613" si="54">K573-J573</f>
        <v>0.22200000000000131</v>
      </c>
    </row>
    <row r="574" spans="2:12">
      <c r="B574" s="113">
        <v>43465</v>
      </c>
      <c r="C574" s="113"/>
      <c r="D574" s="113"/>
      <c r="E574" s="69">
        <v>2.1</v>
      </c>
      <c r="F574" s="69">
        <v>2.4300000000000002</v>
      </c>
      <c r="G574" s="77">
        <f t="shared" si="49"/>
        <v>2.1</v>
      </c>
      <c r="H574" s="77">
        <f t="shared" si="50"/>
        <v>2.4300000000000002</v>
      </c>
      <c r="I574" s="77">
        <f t="shared" si="51"/>
        <v>0.33000000000000007</v>
      </c>
      <c r="J574" s="78">
        <f t="shared" si="52"/>
        <v>6.24</v>
      </c>
      <c r="K574" s="78">
        <f t="shared" si="53"/>
        <v>6.4320000000000004</v>
      </c>
      <c r="L574" s="78">
        <f t="shared" si="54"/>
        <v>0.19200000000000017</v>
      </c>
    </row>
    <row r="575" spans="2:12">
      <c r="B575" s="113">
        <v>43496</v>
      </c>
      <c r="C575" s="113"/>
      <c r="D575" s="113"/>
      <c r="E575" s="69">
        <v>1.91</v>
      </c>
      <c r="F575" s="69">
        <v>2.27</v>
      </c>
      <c r="G575" s="77">
        <f t="shared" si="49"/>
        <v>1.91</v>
      </c>
      <c r="H575" s="77">
        <f t="shared" si="50"/>
        <v>2.27</v>
      </c>
      <c r="I575" s="77">
        <f t="shared" si="51"/>
        <v>0.3600000000000001</v>
      </c>
      <c r="J575" s="78">
        <f t="shared" si="52"/>
        <v>6.05</v>
      </c>
      <c r="K575" s="78">
        <f t="shared" si="53"/>
        <v>6.2720000000000002</v>
      </c>
      <c r="L575" s="78">
        <f t="shared" si="54"/>
        <v>0.22200000000000042</v>
      </c>
    </row>
    <row r="576" spans="2:12">
      <c r="B576" s="113">
        <v>43524</v>
      </c>
      <c r="C576" s="113"/>
      <c r="D576" s="113"/>
      <c r="E576" s="69">
        <v>1.74</v>
      </c>
      <c r="F576" s="69">
        <v>2.13</v>
      </c>
      <c r="G576" s="77">
        <f t="shared" si="49"/>
        <v>1.74</v>
      </c>
      <c r="H576" s="77">
        <f t="shared" si="50"/>
        <v>2.13</v>
      </c>
      <c r="I576" s="77">
        <f t="shared" si="51"/>
        <v>0.3899999999999999</v>
      </c>
      <c r="J576" s="78">
        <f t="shared" si="52"/>
        <v>5.88</v>
      </c>
      <c r="K576" s="78">
        <f t="shared" si="53"/>
        <v>6.1319999999999997</v>
      </c>
      <c r="L576" s="78">
        <f t="shared" si="54"/>
        <v>0.25199999999999978</v>
      </c>
    </row>
    <row r="577" spans="2:12">
      <c r="B577" s="113">
        <v>43555</v>
      </c>
      <c r="C577" s="113"/>
      <c r="D577" s="113"/>
      <c r="E577" s="69">
        <v>1.59</v>
      </c>
      <c r="F577" s="69">
        <v>1.96</v>
      </c>
      <c r="G577" s="77">
        <f t="shared" si="49"/>
        <v>1.59</v>
      </c>
      <c r="H577" s="77">
        <f t="shared" si="50"/>
        <v>1.96</v>
      </c>
      <c r="I577" s="77">
        <f t="shared" si="51"/>
        <v>0.36999999999999988</v>
      </c>
      <c r="J577" s="78">
        <f t="shared" si="52"/>
        <v>5.7299999999999995</v>
      </c>
      <c r="K577" s="78">
        <f t="shared" si="53"/>
        <v>5.9619999999999997</v>
      </c>
      <c r="L577" s="78">
        <f t="shared" si="54"/>
        <v>0.23200000000000021</v>
      </c>
    </row>
    <row r="578" spans="2:12">
      <c r="B578" s="113">
        <v>43585</v>
      </c>
      <c r="C578" s="113"/>
      <c r="D578" s="113"/>
      <c r="E578" s="69">
        <v>1.48</v>
      </c>
      <c r="F578" s="69">
        <v>1.86</v>
      </c>
      <c r="G578" s="77">
        <f t="shared" si="49"/>
        <v>1.48</v>
      </c>
      <c r="H578" s="77">
        <f t="shared" si="50"/>
        <v>1.86</v>
      </c>
      <c r="I578" s="77">
        <f t="shared" si="51"/>
        <v>0.38000000000000012</v>
      </c>
      <c r="J578" s="78">
        <f t="shared" si="52"/>
        <v>5.6199999999999992</v>
      </c>
      <c r="K578" s="78">
        <f t="shared" si="53"/>
        <v>5.8620000000000001</v>
      </c>
      <c r="L578" s="78">
        <f t="shared" si="54"/>
        <v>0.24200000000000088</v>
      </c>
    </row>
    <row r="579" spans="2:12">
      <c r="B579" s="113">
        <v>43616</v>
      </c>
      <c r="C579" s="113"/>
      <c r="D579" s="113"/>
      <c r="E579" s="69">
        <v>1.29</v>
      </c>
      <c r="F579" s="69">
        <v>1.65</v>
      </c>
      <c r="G579" s="77">
        <f t="shared" si="49"/>
        <v>1.29</v>
      </c>
      <c r="H579" s="77">
        <f t="shared" si="50"/>
        <v>1.65</v>
      </c>
      <c r="I579" s="77">
        <f t="shared" si="51"/>
        <v>0.35999999999999988</v>
      </c>
      <c r="J579" s="78">
        <f t="shared" si="52"/>
        <v>5.43</v>
      </c>
      <c r="K579" s="78">
        <f t="shared" si="53"/>
        <v>5.6519999999999992</v>
      </c>
      <c r="L579" s="78">
        <f t="shared" si="54"/>
        <v>0.22199999999999953</v>
      </c>
    </row>
    <row r="580" spans="2:12">
      <c r="B580" s="113">
        <v>43646</v>
      </c>
      <c r="C580" s="113"/>
      <c r="D580" s="113"/>
      <c r="E580" s="69">
        <v>1.07</v>
      </c>
      <c r="F580" s="69">
        <v>1.38</v>
      </c>
      <c r="G580" s="77">
        <f t="shared" si="49"/>
        <v>1.07</v>
      </c>
      <c r="H580" s="77">
        <f t="shared" si="50"/>
        <v>1.38</v>
      </c>
      <c r="I580" s="77">
        <f t="shared" si="51"/>
        <v>0.30999999999999983</v>
      </c>
      <c r="J580" s="78">
        <f t="shared" si="52"/>
        <v>5.21</v>
      </c>
      <c r="K580" s="78">
        <f t="shared" si="53"/>
        <v>5.3819999999999997</v>
      </c>
      <c r="L580" s="78">
        <f t="shared" si="54"/>
        <v>0.17199999999999971</v>
      </c>
    </row>
    <row r="581" spans="2:12">
      <c r="B581" s="113">
        <v>43677</v>
      </c>
      <c r="C581" s="113"/>
      <c r="D581" s="113"/>
      <c r="E581" s="69">
        <v>1</v>
      </c>
      <c r="F581" s="69">
        <v>1.31</v>
      </c>
      <c r="G581" s="77">
        <f t="shared" si="49"/>
        <v>1</v>
      </c>
      <c r="H581" s="77">
        <f t="shared" si="50"/>
        <v>1.31</v>
      </c>
      <c r="I581" s="77">
        <f t="shared" si="51"/>
        <v>0.31000000000000005</v>
      </c>
      <c r="J581" s="78">
        <f t="shared" si="52"/>
        <v>5.14</v>
      </c>
      <c r="K581" s="78">
        <f t="shared" si="53"/>
        <v>5.3119999999999994</v>
      </c>
      <c r="L581" s="78">
        <f t="shared" si="54"/>
        <v>0.17199999999999971</v>
      </c>
    </row>
    <row r="582" spans="2:12">
      <c r="B582" s="113">
        <v>43708</v>
      </c>
      <c r="C582" s="113"/>
      <c r="D582" s="113"/>
      <c r="E582" s="71">
        <v>0.71</v>
      </c>
      <c r="F582" s="71">
        <v>0.95</v>
      </c>
      <c r="G582" s="77">
        <f t="shared" si="49"/>
        <v>0.71</v>
      </c>
      <c r="H582" s="77">
        <f t="shared" si="50"/>
        <v>0.95</v>
      </c>
      <c r="I582" s="77">
        <f t="shared" si="51"/>
        <v>0.24</v>
      </c>
      <c r="J582" s="78">
        <f t="shared" si="52"/>
        <v>4.8499999999999996</v>
      </c>
      <c r="K582" s="78">
        <f t="shared" si="53"/>
        <v>4.952</v>
      </c>
      <c r="L582" s="78">
        <f t="shared" si="54"/>
        <v>0.10200000000000031</v>
      </c>
    </row>
    <row r="583" spans="2:12">
      <c r="B583" s="113">
        <v>43738</v>
      </c>
      <c r="C583" s="113"/>
      <c r="D583" s="113"/>
      <c r="E583" s="71">
        <v>0.81</v>
      </c>
      <c r="F583" s="71">
        <v>1.03</v>
      </c>
      <c r="G583" s="77">
        <f t="shared" si="49"/>
        <v>0.81</v>
      </c>
      <c r="H583" s="77">
        <f t="shared" si="50"/>
        <v>1.03</v>
      </c>
      <c r="I583" s="77">
        <f t="shared" si="51"/>
        <v>0.21999999999999997</v>
      </c>
      <c r="J583" s="78">
        <f t="shared" si="52"/>
        <v>4.9499999999999993</v>
      </c>
      <c r="K583" s="78">
        <f t="shared" si="53"/>
        <v>5.032</v>
      </c>
      <c r="L583" s="78">
        <f t="shared" si="54"/>
        <v>8.2000000000000739E-2</v>
      </c>
    </row>
    <row r="584" spans="2:12">
      <c r="B584" s="113">
        <v>43769</v>
      </c>
      <c r="C584" s="113"/>
      <c r="D584" s="113"/>
      <c r="E584" s="71">
        <v>0.76</v>
      </c>
      <c r="F584" s="71">
        <v>1.03</v>
      </c>
      <c r="G584" s="77">
        <f t="shared" si="49"/>
        <v>0.76</v>
      </c>
      <c r="H584" s="77">
        <f t="shared" si="50"/>
        <v>1.03</v>
      </c>
      <c r="I584" s="77">
        <f t="shared" si="51"/>
        <v>0.27</v>
      </c>
      <c r="J584" s="78">
        <f t="shared" si="52"/>
        <v>4.8999999999999995</v>
      </c>
      <c r="K584" s="78">
        <f t="shared" si="53"/>
        <v>5.032</v>
      </c>
      <c r="L584" s="78">
        <f t="shared" si="54"/>
        <v>0.13200000000000056</v>
      </c>
    </row>
    <row r="585" spans="2:12">
      <c r="B585" s="113">
        <v>43799</v>
      </c>
      <c r="C585" s="113"/>
      <c r="D585" s="113"/>
      <c r="E585" s="71">
        <v>0.86</v>
      </c>
      <c r="F585" s="71">
        <v>1.1499999999999999</v>
      </c>
      <c r="G585" s="77">
        <f t="shared" si="49"/>
        <v>0.86</v>
      </c>
      <c r="H585" s="77">
        <f t="shared" si="50"/>
        <v>1.1499999999999999</v>
      </c>
      <c r="I585" s="77">
        <f t="shared" si="51"/>
        <v>0.28999999999999992</v>
      </c>
      <c r="J585" s="78">
        <f t="shared" si="52"/>
        <v>5</v>
      </c>
      <c r="K585" s="78">
        <f t="shared" si="53"/>
        <v>5.1519999999999992</v>
      </c>
      <c r="L585" s="78">
        <f t="shared" si="54"/>
        <v>0.15199999999999925</v>
      </c>
    </row>
    <row r="586" spans="2:12">
      <c r="B586" s="113">
        <v>43830</v>
      </c>
      <c r="C586" s="113"/>
      <c r="D586" s="113"/>
      <c r="E586" s="70">
        <v>0.88</v>
      </c>
      <c r="F586" s="70">
        <v>1.2</v>
      </c>
      <c r="G586" s="77">
        <f t="shared" si="49"/>
        <v>0.88</v>
      </c>
      <c r="H586" s="77">
        <f t="shared" si="50"/>
        <v>1.2</v>
      </c>
      <c r="I586" s="77">
        <f t="shared" si="51"/>
        <v>0.31999999999999995</v>
      </c>
      <c r="J586" s="78">
        <f t="shared" si="52"/>
        <v>5.0199999999999996</v>
      </c>
      <c r="K586" s="78">
        <f t="shared" si="53"/>
        <v>5.202</v>
      </c>
      <c r="L586" s="78">
        <f t="shared" si="54"/>
        <v>0.18200000000000038</v>
      </c>
    </row>
    <row r="587" spans="2:12">
      <c r="B587" s="113">
        <v>43861</v>
      </c>
      <c r="C587" s="113"/>
      <c r="D587" s="113"/>
      <c r="E587" s="70">
        <v>0.85</v>
      </c>
      <c r="F587" s="70">
        <v>1.1499999999999999</v>
      </c>
      <c r="G587" s="77">
        <f t="shared" si="49"/>
        <v>0.85</v>
      </c>
      <c r="H587" s="77">
        <f t="shared" si="50"/>
        <v>1.1499999999999999</v>
      </c>
      <c r="I587" s="77">
        <f t="shared" si="51"/>
        <v>0.29999999999999993</v>
      </c>
      <c r="J587" s="78">
        <f t="shared" si="52"/>
        <v>4.9899999999999993</v>
      </c>
      <c r="K587" s="78">
        <f t="shared" si="53"/>
        <v>5.1519999999999992</v>
      </c>
      <c r="L587" s="78">
        <f t="shared" si="54"/>
        <v>0.16199999999999992</v>
      </c>
    </row>
    <row r="588" spans="2:12">
      <c r="B588" s="113">
        <v>43890</v>
      </c>
      <c r="C588" s="113"/>
      <c r="D588" s="113"/>
      <c r="E588" s="70">
        <v>0.74</v>
      </c>
      <c r="F588" s="70">
        <v>0.98</v>
      </c>
      <c r="G588" s="77">
        <f t="shared" ref="G588:G613" si="55">IF(C588="",E588,C588)</f>
        <v>0.74</v>
      </c>
      <c r="H588" s="77">
        <f t="shared" ref="H588:H613" si="56">IF(D588="",F588,D588)</f>
        <v>0.98</v>
      </c>
      <c r="I588" s="77">
        <f t="shared" ref="I588:I613" si="57">H588-G588</f>
        <v>0.24</v>
      </c>
      <c r="J588" s="78">
        <f t="shared" ref="J588:J613" si="58">G588  +  0.6  *  6.9</f>
        <v>4.88</v>
      </c>
      <c r="K588" s="78">
        <f t="shared" ref="K588:K613" si="59">H588  +  0.6  *  6.67</f>
        <v>4.9819999999999993</v>
      </c>
      <c r="L588" s="78">
        <f t="shared" si="54"/>
        <v>0.10199999999999942</v>
      </c>
    </row>
    <row r="589" spans="2:12">
      <c r="B589" s="113">
        <v>43921</v>
      </c>
      <c r="C589" s="113"/>
      <c r="D589" s="113"/>
      <c r="E589" s="70">
        <v>0.5</v>
      </c>
      <c r="F589" s="70">
        <v>0.89</v>
      </c>
      <c r="G589" s="77">
        <f t="shared" si="55"/>
        <v>0.5</v>
      </c>
      <c r="H589" s="77">
        <f t="shared" si="56"/>
        <v>0.89</v>
      </c>
      <c r="I589" s="77">
        <f t="shared" si="57"/>
        <v>0.39</v>
      </c>
      <c r="J589" s="78">
        <f t="shared" si="58"/>
        <v>4.6399999999999997</v>
      </c>
      <c r="K589" s="78">
        <f t="shared" si="59"/>
        <v>4.8919999999999995</v>
      </c>
      <c r="L589" s="78">
        <f t="shared" si="54"/>
        <v>0.25199999999999978</v>
      </c>
    </row>
    <row r="590" spans="2:12">
      <c r="B590" s="113">
        <v>43951</v>
      </c>
      <c r="C590" s="113"/>
      <c r="D590" s="113"/>
      <c r="E590" s="70">
        <v>0.42</v>
      </c>
      <c r="F590" s="70">
        <v>0.86</v>
      </c>
      <c r="G590" s="77">
        <f t="shared" si="55"/>
        <v>0.42</v>
      </c>
      <c r="H590" s="77">
        <f t="shared" si="56"/>
        <v>0.86</v>
      </c>
      <c r="I590" s="77">
        <f t="shared" si="57"/>
        <v>0.44</v>
      </c>
      <c r="J590" s="78">
        <f t="shared" si="58"/>
        <v>4.5599999999999996</v>
      </c>
      <c r="K590" s="78">
        <f t="shared" si="59"/>
        <v>4.8620000000000001</v>
      </c>
      <c r="L590" s="78">
        <f t="shared" si="54"/>
        <v>0.30200000000000049</v>
      </c>
    </row>
    <row r="591" spans="2:12">
      <c r="B591" s="113">
        <v>43982</v>
      </c>
      <c r="C591" s="113"/>
      <c r="D591" s="113"/>
      <c r="E591" s="70">
        <v>0.4</v>
      </c>
      <c r="F591" s="70">
        <v>0.91</v>
      </c>
      <c r="G591" s="77">
        <f t="shared" si="55"/>
        <v>0.4</v>
      </c>
      <c r="H591" s="77">
        <f t="shared" si="56"/>
        <v>0.91</v>
      </c>
      <c r="I591" s="77">
        <f t="shared" si="57"/>
        <v>0.51</v>
      </c>
      <c r="J591" s="78">
        <f t="shared" si="58"/>
        <v>4.54</v>
      </c>
      <c r="K591" s="78">
        <f t="shared" si="59"/>
        <v>4.9119999999999999</v>
      </c>
      <c r="L591" s="78">
        <f t="shared" si="54"/>
        <v>0.37199999999999989</v>
      </c>
    </row>
    <row r="592" spans="2:12">
      <c r="B592" s="113">
        <v>44012</v>
      </c>
      <c r="C592" s="113"/>
      <c r="D592" s="113"/>
      <c r="E592" s="70">
        <v>0.4</v>
      </c>
      <c r="F592" s="70">
        <v>0.92</v>
      </c>
      <c r="G592" s="77">
        <f t="shared" si="55"/>
        <v>0.4</v>
      </c>
      <c r="H592" s="77">
        <f t="shared" si="56"/>
        <v>0.92</v>
      </c>
      <c r="I592" s="77">
        <f t="shared" si="57"/>
        <v>0.52</v>
      </c>
      <c r="J592" s="78">
        <f t="shared" si="58"/>
        <v>4.54</v>
      </c>
      <c r="K592" s="78">
        <f t="shared" si="59"/>
        <v>4.9219999999999997</v>
      </c>
      <c r="L592" s="78">
        <f t="shared" si="54"/>
        <v>0.38199999999999967</v>
      </c>
    </row>
    <row r="593" spans="2:12">
      <c r="B593" s="113">
        <v>44043</v>
      </c>
      <c r="C593" s="113"/>
      <c r="D593" s="113"/>
      <c r="E593" s="70">
        <v>0.42</v>
      </c>
      <c r="F593" s="70">
        <v>0.88</v>
      </c>
      <c r="G593" s="77">
        <f t="shared" si="55"/>
        <v>0.42</v>
      </c>
      <c r="H593" s="77">
        <f t="shared" si="56"/>
        <v>0.88</v>
      </c>
      <c r="I593" s="77">
        <f t="shared" si="57"/>
        <v>0.46</v>
      </c>
      <c r="J593" s="78">
        <f t="shared" si="58"/>
        <v>4.5599999999999996</v>
      </c>
      <c r="K593" s="78">
        <f t="shared" si="59"/>
        <v>4.8819999999999997</v>
      </c>
      <c r="L593" s="78">
        <f t="shared" si="54"/>
        <v>0.32200000000000006</v>
      </c>
    </row>
    <row r="594" spans="2:12">
      <c r="B594" s="113">
        <v>44074</v>
      </c>
      <c r="C594" s="113"/>
      <c r="D594" s="113"/>
      <c r="E594" s="70">
        <v>0.43</v>
      </c>
      <c r="F594" s="70">
        <v>0.89</v>
      </c>
      <c r="G594" s="77">
        <f t="shared" si="55"/>
        <v>0.43</v>
      </c>
      <c r="H594" s="77">
        <f t="shared" si="56"/>
        <v>0.89</v>
      </c>
      <c r="I594" s="77">
        <f t="shared" si="57"/>
        <v>0.46</v>
      </c>
      <c r="J594" s="78">
        <f t="shared" si="58"/>
        <v>4.5699999999999994</v>
      </c>
      <c r="K594" s="78">
        <f t="shared" si="59"/>
        <v>4.8919999999999995</v>
      </c>
      <c r="L594" s="78">
        <f t="shared" si="54"/>
        <v>0.32200000000000006</v>
      </c>
    </row>
    <row r="595" spans="2:12">
      <c r="B595" s="113">
        <v>44104</v>
      </c>
      <c r="C595" s="113"/>
      <c r="D595" s="113"/>
      <c r="E595" s="70">
        <v>0.39</v>
      </c>
      <c r="F595" s="70">
        <v>0.9</v>
      </c>
      <c r="G595" s="77">
        <f t="shared" si="55"/>
        <v>0.39</v>
      </c>
      <c r="H595" s="77">
        <f t="shared" si="56"/>
        <v>0.9</v>
      </c>
      <c r="I595" s="77">
        <f t="shared" si="57"/>
        <v>0.51</v>
      </c>
      <c r="J595" s="78">
        <f t="shared" si="58"/>
        <v>4.5299999999999994</v>
      </c>
      <c r="K595" s="78">
        <f t="shared" si="59"/>
        <v>4.9020000000000001</v>
      </c>
      <c r="L595" s="78">
        <f t="shared" si="54"/>
        <v>0.37200000000000077</v>
      </c>
    </row>
    <row r="596" spans="2:12">
      <c r="B596" s="113">
        <v>44135</v>
      </c>
      <c r="C596" s="113"/>
      <c r="D596" s="113"/>
      <c r="E596" s="70">
        <v>0.28999999999999998</v>
      </c>
      <c r="F596" s="70">
        <v>0.82</v>
      </c>
      <c r="G596" s="77">
        <f t="shared" si="55"/>
        <v>0.28999999999999998</v>
      </c>
      <c r="H596" s="77">
        <f t="shared" si="56"/>
        <v>0.82</v>
      </c>
      <c r="I596" s="77">
        <f t="shared" si="57"/>
        <v>0.53</v>
      </c>
      <c r="J596" s="78">
        <f t="shared" si="58"/>
        <v>4.43</v>
      </c>
      <c r="K596" s="78">
        <f t="shared" si="59"/>
        <v>4.8220000000000001</v>
      </c>
      <c r="L596" s="78">
        <f t="shared" si="54"/>
        <v>0.39200000000000035</v>
      </c>
    </row>
    <row r="597" spans="2:12">
      <c r="B597" s="113">
        <v>44165</v>
      </c>
      <c r="C597" s="113"/>
      <c r="D597" s="113"/>
      <c r="E597" s="70">
        <v>0.28999999999999998</v>
      </c>
      <c r="F597" s="70">
        <v>0.87</v>
      </c>
      <c r="G597" s="77">
        <f t="shared" si="55"/>
        <v>0.28999999999999998</v>
      </c>
      <c r="H597" s="77">
        <f t="shared" si="56"/>
        <v>0.87</v>
      </c>
      <c r="I597" s="77">
        <f t="shared" si="57"/>
        <v>0.58000000000000007</v>
      </c>
      <c r="J597" s="78">
        <f t="shared" si="58"/>
        <v>4.43</v>
      </c>
      <c r="K597" s="78">
        <f t="shared" si="59"/>
        <v>4.8719999999999999</v>
      </c>
      <c r="L597" s="78">
        <f t="shared" si="54"/>
        <v>0.44200000000000017</v>
      </c>
    </row>
    <row r="598" spans="2:12">
      <c r="B598" s="113">
        <v>44196</v>
      </c>
      <c r="C598" s="113"/>
      <c r="D598" s="113"/>
      <c r="E598" s="70">
        <v>0.34</v>
      </c>
      <c r="F598" s="70">
        <v>0.98</v>
      </c>
      <c r="G598" s="77">
        <f t="shared" si="55"/>
        <v>0.34</v>
      </c>
      <c r="H598" s="77">
        <f t="shared" si="56"/>
        <v>0.98</v>
      </c>
      <c r="I598" s="77">
        <f t="shared" si="57"/>
        <v>0.6399999999999999</v>
      </c>
      <c r="J598" s="78">
        <f t="shared" si="58"/>
        <v>4.4799999999999995</v>
      </c>
      <c r="K598" s="78">
        <f t="shared" si="59"/>
        <v>4.9819999999999993</v>
      </c>
      <c r="L598" s="78">
        <f t="shared" si="54"/>
        <v>0.50199999999999978</v>
      </c>
    </row>
    <row r="599" spans="2:12">
      <c r="B599" s="113">
        <v>44227</v>
      </c>
      <c r="C599" s="113"/>
      <c r="D599" s="113"/>
      <c r="E599" s="70">
        <v>0.37</v>
      </c>
      <c r="F599" s="70">
        <v>1.05</v>
      </c>
      <c r="G599" s="77">
        <f t="shared" si="55"/>
        <v>0.37</v>
      </c>
      <c r="H599" s="77">
        <f t="shared" si="56"/>
        <v>1.05</v>
      </c>
      <c r="I599" s="77">
        <f t="shared" si="57"/>
        <v>0.68</v>
      </c>
      <c r="J599" s="78">
        <f t="shared" si="58"/>
        <v>4.51</v>
      </c>
      <c r="K599" s="78">
        <f t="shared" si="59"/>
        <v>5.0519999999999996</v>
      </c>
      <c r="L599" s="78">
        <f t="shared" si="54"/>
        <v>0.54199999999999982</v>
      </c>
    </row>
    <row r="600" spans="2:12">
      <c r="B600" s="113">
        <v>44255</v>
      </c>
      <c r="C600" s="113"/>
      <c r="D600" s="113"/>
      <c r="E600" s="70">
        <v>0.48</v>
      </c>
      <c r="F600" s="70">
        <v>1.32</v>
      </c>
      <c r="G600" s="77">
        <f t="shared" si="55"/>
        <v>0.48</v>
      </c>
      <c r="H600" s="77">
        <f t="shared" si="56"/>
        <v>1.32</v>
      </c>
      <c r="I600" s="77">
        <f t="shared" si="57"/>
        <v>0.84000000000000008</v>
      </c>
      <c r="J600" s="78">
        <f t="shared" si="58"/>
        <v>4.6199999999999992</v>
      </c>
      <c r="K600" s="78">
        <f t="shared" si="59"/>
        <v>5.3220000000000001</v>
      </c>
      <c r="L600" s="78">
        <f t="shared" si="54"/>
        <v>0.70200000000000085</v>
      </c>
    </row>
    <row r="601" spans="2:12">
      <c r="B601" s="113">
        <v>44286</v>
      </c>
      <c r="C601" s="113"/>
      <c r="D601" s="113"/>
      <c r="E601" s="70">
        <v>0.71</v>
      </c>
      <c r="F601" s="70">
        <v>1.69</v>
      </c>
      <c r="G601" s="77">
        <f t="shared" si="55"/>
        <v>0.71</v>
      </c>
      <c r="H601" s="77">
        <f t="shared" si="56"/>
        <v>1.69</v>
      </c>
      <c r="I601" s="77">
        <f t="shared" si="57"/>
        <v>0.98</v>
      </c>
      <c r="J601" s="78">
        <f t="shared" si="58"/>
        <v>4.8499999999999996</v>
      </c>
      <c r="K601" s="78">
        <f t="shared" si="59"/>
        <v>5.6920000000000002</v>
      </c>
      <c r="L601" s="78">
        <f t="shared" si="54"/>
        <v>0.84200000000000053</v>
      </c>
    </row>
    <row r="602" spans="2:12">
      <c r="B602" s="113">
        <v>44316</v>
      </c>
      <c r="C602" s="113"/>
      <c r="D602" s="113"/>
      <c r="E602" s="70">
        <v>0.69</v>
      </c>
      <c r="F602" s="70">
        <v>1.65</v>
      </c>
      <c r="G602" s="77">
        <f t="shared" si="55"/>
        <v>0.69</v>
      </c>
      <c r="H602" s="77">
        <f t="shared" si="56"/>
        <v>1.65</v>
      </c>
      <c r="I602" s="77">
        <f t="shared" si="57"/>
        <v>0.96</v>
      </c>
      <c r="J602" s="78">
        <f t="shared" si="58"/>
        <v>4.83</v>
      </c>
      <c r="K602" s="78">
        <f t="shared" si="59"/>
        <v>5.6519999999999992</v>
      </c>
      <c r="L602" s="78">
        <f t="shared" si="54"/>
        <v>0.82199999999999918</v>
      </c>
    </row>
    <row r="603" spans="2:12">
      <c r="B603" s="113">
        <v>44347</v>
      </c>
      <c r="C603" s="113"/>
      <c r="D603" s="113"/>
      <c r="E603" s="70">
        <v>0.7</v>
      </c>
      <c r="F603" s="70">
        <v>1.62</v>
      </c>
      <c r="G603" s="77">
        <f t="shared" si="55"/>
        <v>0.7</v>
      </c>
      <c r="H603" s="77">
        <f t="shared" si="56"/>
        <v>1.62</v>
      </c>
      <c r="I603" s="77">
        <f t="shared" si="57"/>
        <v>0.92000000000000015</v>
      </c>
      <c r="J603" s="78">
        <f t="shared" si="58"/>
        <v>4.84</v>
      </c>
      <c r="K603" s="78">
        <f t="shared" si="59"/>
        <v>5.6219999999999999</v>
      </c>
      <c r="L603" s="78">
        <f t="shared" si="54"/>
        <v>0.78200000000000003</v>
      </c>
    </row>
    <row r="604" spans="2:12">
      <c r="B604" s="113">
        <v>44377</v>
      </c>
      <c r="C604" s="113"/>
      <c r="D604" s="113"/>
      <c r="E604" s="70">
        <v>0.73</v>
      </c>
      <c r="F604" s="70">
        <v>1.52</v>
      </c>
      <c r="G604" s="77">
        <f t="shared" si="55"/>
        <v>0.73</v>
      </c>
      <c r="H604" s="77">
        <f t="shared" si="56"/>
        <v>1.52</v>
      </c>
      <c r="I604" s="77">
        <f t="shared" si="57"/>
        <v>0.79</v>
      </c>
      <c r="J604" s="78">
        <f t="shared" si="58"/>
        <v>4.8699999999999992</v>
      </c>
      <c r="K604" s="78">
        <f t="shared" si="59"/>
        <v>5.5220000000000002</v>
      </c>
      <c r="L604" s="78">
        <f t="shared" si="54"/>
        <v>0.65200000000000102</v>
      </c>
    </row>
    <row r="605" spans="2:12">
      <c r="B605" s="113">
        <v>44408</v>
      </c>
      <c r="C605" s="113"/>
      <c r="D605" s="113"/>
      <c r="E605" s="70">
        <v>0.64</v>
      </c>
      <c r="F605" s="70">
        <v>1.25</v>
      </c>
      <c r="G605" s="77">
        <f t="shared" si="55"/>
        <v>0.64</v>
      </c>
      <c r="H605" s="77">
        <f t="shared" si="56"/>
        <v>1.25</v>
      </c>
      <c r="I605" s="77">
        <f t="shared" si="57"/>
        <v>0.61</v>
      </c>
      <c r="J605" s="78">
        <f t="shared" si="58"/>
        <v>4.7799999999999994</v>
      </c>
      <c r="K605" s="78">
        <f t="shared" si="59"/>
        <v>5.2519999999999998</v>
      </c>
      <c r="L605" s="78">
        <f t="shared" si="54"/>
        <v>0.47200000000000042</v>
      </c>
    </row>
    <row r="606" spans="2:12">
      <c r="B606" s="113">
        <v>44439</v>
      </c>
      <c r="C606" s="113"/>
      <c r="D606" s="113"/>
      <c r="E606" s="70">
        <v>0.56999999999999995</v>
      </c>
      <c r="F606" s="70">
        <v>1.1200000000000001</v>
      </c>
      <c r="G606" s="77">
        <f t="shared" si="55"/>
        <v>0.56999999999999995</v>
      </c>
      <c r="H606" s="77">
        <f t="shared" si="56"/>
        <v>1.1200000000000001</v>
      </c>
      <c r="I606" s="77">
        <f t="shared" si="57"/>
        <v>0.55000000000000016</v>
      </c>
      <c r="J606" s="78">
        <f t="shared" si="58"/>
        <v>4.71</v>
      </c>
      <c r="K606" s="78">
        <f t="shared" si="59"/>
        <v>5.1219999999999999</v>
      </c>
      <c r="L606" s="78">
        <f t="shared" si="54"/>
        <v>0.41199999999999992</v>
      </c>
    </row>
    <row r="607" spans="2:12">
      <c r="B607" s="113">
        <v>44469</v>
      </c>
      <c r="C607" s="113"/>
      <c r="D607" s="113"/>
      <c r="E607" s="70">
        <v>0.66</v>
      </c>
      <c r="F607" s="70">
        <v>1.28</v>
      </c>
      <c r="G607" s="77">
        <f t="shared" si="55"/>
        <v>0.66</v>
      </c>
      <c r="H607" s="77">
        <f t="shared" si="56"/>
        <v>1.28</v>
      </c>
      <c r="I607" s="77">
        <f t="shared" si="57"/>
        <v>0.62</v>
      </c>
      <c r="J607" s="78">
        <f t="shared" si="58"/>
        <v>4.8</v>
      </c>
      <c r="K607" s="78">
        <f t="shared" si="59"/>
        <v>5.282</v>
      </c>
      <c r="L607" s="78">
        <f t="shared" si="54"/>
        <v>0.48200000000000021</v>
      </c>
    </row>
    <row r="608" spans="2:12">
      <c r="B608" s="113">
        <v>44500</v>
      </c>
      <c r="C608" s="113"/>
      <c r="D608" s="113"/>
      <c r="E608" s="70">
        <v>1.1100000000000001</v>
      </c>
      <c r="F608" s="70">
        <v>1.72</v>
      </c>
      <c r="G608" s="77">
        <f t="shared" si="55"/>
        <v>1.1100000000000001</v>
      </c>
      <c r="H608" s="77">
        <f t="shared" si="56"/>
        <v>1.72</v>
      </c>
      <c r="I608" s="77">
        <f t="shared" si="57"/>
        <v>0.60999999999999988</v>
      </c>
      <c r="J608" s="78">
        <f t="shared" si="58"/>
        <v>5.25</v>
      </c>
      <c r="K608" s="78">
        <f t="shared" si="59"/>
        <v>5.7219999999999995</v>
      </c>
      <c r="L608" s="78">
        <f t="shared" si="54"/>
        <v>0.47199999999999953</v>
      </c>
    </row>
    <row r="609" spans="2:18">
      <c r="B609" s="113">
        <v>44530</v>
      </c>
      <c r="C609" s="113"/>
      <c r="D609" s="113"/>
      <c r="E609" s="70">
        <v>1.38</v>
      </c>
      <c r="F609" s="70">
        <v>1.81</v>
      </c>
      <c r="G609" s="77">
        <f t="shared" si="55"/>
        <v>1.38</v>
      </c>
      <c r="H609" s="77">
        <f t="shared" si="56"/>
        <v>1.81</v>
      </c>
      <c r="I609" s="77">
        <f t="shared" si="57"/>
        <v>0.43000000000000016</v>
      </c>
      <c r="J609" s="78">
        <f t="shared" si="58"/>
        <v>5.52</v>
      </c>
      <c r="K609" s="78">
        <f t="shared" si="59"/>
        <v>5.8119999999999994</v>
      </c>
      <c r="L609" s="78">
        <f t="shared" si="54"/>
        <v>0.29199999999999982</v>
      </c>
    </row>
    <row r="610" spans="2:18">
      <c r="B610" s="113">
        <v>44561</v>
      </c>
      <c r="C610" s="113"/>
      <c r="D610" s="113"/>
      <c r="E610" s="70">
        <v>1.32</v>
      </c>
      <c r="F610" s="70">
        <v>1.61</v>
      </c>
      <c r="G610" s="77">
        <f t="shared" si="55"/>
        <v>1.32</v>
      </c>
      <c r="H610" s="77">
        <f t="shared" si="56"/>
        <v>1.61</v>
      </c>
      <c r="I610" s="77">
        <f t="shared" si="57"/>
        <v>0.29000000000000004</v>
      </c>
      <c r="J610" s="78">
        <f t="shared" si="58"/>
        <v>5.46</v>
      </c>
      <c r="K610" s="78">
        <f t="shared" si="59"/>
        <v>5.6120000000000001</v>
      </c>
      <c r="L610" s="78">
        <f t="shared" si="54"/>
        <v>0.15200000000000014</v>
      </c>
    </row>
    <row r="611" spans="2:18">
      <c r="B611" s="113">
        <v>44592</v>
      </c>
      <c r="C611" s="113"/>
      <c r="D611" s="113"/>
      <c r="E611" s="70">
        <v>1.54</v>
      </c>
      <c r="F611" s="70">
        <v>1.88</v>
      </c>
      <c r="G611" s="77">
        <f t="shared" si="55"/>
        <v>1.54</v>
      </c>
      <c r="H611" s="77">
        <f t="shared" si="56"/>
        <v>1.88</v>
      </c>
      <c r="I611" s="77">
        <f t="shared" si="57"/>
        <v>0.33999999999999986</v>
      </c>
      <c r="J611" s="78">
        <f t="shared" si="58"/>
        <v>5.68</v>
      </c>
      <c r="K611" s="78">
        <f t="shared" si="59"/>
        <v>5.8819999999999997</v>
      </c>
      <c r="L611" s="78">
        <f t="shared" si="54"/>
        <v>0.20199999999999996</v>
      </c>
    </row>
    <row r="612" spans="2:18">
      <c r="B612" s="113">
        <v>44620</v>
      </c>
      <c r="C612" s="113"/>
      <c r="D612" s="113"/>
      <c r="E612" s="70">
        <v>1.81</v>
      </c>
      <c r="F612" s="70">
        <v>2.11</v>
      </c>
      <c r="G612" s="77">
        <f t="shared" si="55"/>
        <v>1.81</v>
      </c>
      <c r="H612" s="77">
        <f t="shared" si="56"/>
        <v>2.11</v>
      </c>
      <c r="I612" s="77">
        <f t="shared" si="57"/>
        <v>0.29999999999999982</v>
      </c>
      <c r="J612" s="78">
        <f t="shared" si="58"/>
        <v>5.9499999999999993</v>
      </c>
      <c r="K612" s="78">
        <f t="shared" si="59"/>
        <v>6.1120000000000001</v>
      </c>
      <c r="L612" s="78">
        <f t="shared" si="54"/>
        <v>0.16200000000000081</v>
      </c>
    </row>
    <row r="613" spans="2:18">
      <c r="B613" s="113">
        <v>44651</v>
      </c>
      <c r="C613" s="113"/>
      <c r="D613" s="113"/>
      <c r="E613" s="70">
        <v>2.21</v>
      </c>
      <c r="F613" s="70">
        <v>2.5</v>
      </c>
      <c r="G613" s="77">
        <f t="shared" si="55"/>
        <v>2.21</v>
      </c>
      <c r="H613" s="77">
        <f t="shared" si="56"/>
        <v>2.5</v>
      </c>
      <c r="I613" s="77">
        <f t="shared" si="57"/>
        <v>0.29000000000000004</v>
      </c>
      <c r="J613" s="78">
        <f t="shared" si="58"/>
        <v>6.35</v>
      </c>
      <c r="K613" s="78">
        <f t="shared" si="59"/>
        <v>6.5019999999999998</v>
      </c>
      <c r="L613" s="78">
        <f t="shared" si="54"/>
        <v>0.15200000000000014</v>
      </c>
    </row>
    <row r="614" spans="2:18">
      <c r="B614" s="279"/>
      <c r="C614" s="279"/>
      <c r="D614" s="279"/>
      <c r="E614" s="280"/>
      <c r="F614" s="280"/>
      <c r="G614" s="281"/>
      <c r="H614" s="281"/>
      <c r="I614" s="281"/>
      <c r="J614" s="282"/>
      <c r="K614" s="282"/>
      <c r="L614" s="282"/>
      <c r="M614" s="283"/>
    </row>
    <row r="615" spans="2:18">
      <c r="B615" s="279"/>
      <c r="C615" s="279"/>
      <c r="D615" s="279"/>
      <c r="E615" s="280"/>
      <c r="F615" s="280"/>
      <c r="G615" s="281"/>
      <c r="H615" s="281"/>
      <c r="I615" s="281"/>
      <c r="J615" s="282"/>
      <c r="K615" s="282"/>
      <c r="L615" s="282"/>
      <c r="M615" s="283"/>
    </row>
    <row r="616" spans="2:18" ht="15">
      <c r="B616" s="260" t="s">
        <v>527</v>
      </c>
      <c r="C616" s="259"/>
      <c r="D616" s="276"/>
      <c r="E616" s="276"/>
      <c r="F616" s="276"/>
      <c r="G616" s="276"/>
      <c r="H616" s="276"/>
      <c r="I616" s="276"/>
      <c r="J616" s="276"/>
      <c r="K616" s="276"/>
      <c r="L616" s="276"/>
      <c r="M616" s="284"/>
      <c r="N616" s="276"/>
      <c r="O616" s="276"/>
      <c r="P616" s="276"/>
      <c r="Q616" s="276"/>
      <c r="R616" s="276"/>
    </row>
    <row r="617" spans="2:18"/>
  </sheetData>
  <hyperlinks>
    <hyperlink ref="E3" r:id="rId1" xr:uid="{06A42CEA-688E-B948-A590-07D77DA93D8E}"/>
    <hyperlink ref="F3" r:id="rId2" xr:uid="{4810C514-5618-E64F-B6D9-0BB5E85F1DD8}"/>
    <hyperlink ref="C3" r:id="rId3" xr:uid="{BC3E8D21-3996-6F42-9BE2-CD94328ADFA1}"/>
    <hyperlink ref="D3" r:id="rId4" xr:uid="{8251DD1F-4098-C541-94F2-1CBE3F0AC4E6}"/>
  </hyperlinks>
  <printOptions headings="1" gridLines="1"/>
  <pageMargins left="0.39370078740157483" right="0.39370078740157483" top="0.70866141732283472" bottom="0.70866141732283472" header="0.51181102362204722" footer="0.51181102362204722"/>
  <pageSetup paperSize="9" scale="90" orientation="portrait"/>
  <headerFooter alignWithMargins="0">
    <oddHeader>&amp;LReserve Bank of Australia&amp;R&amp;F</oddHeader>
    <oddFooter>&amp;L&amp;D &amp;T&amp;CPage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64B-D49F-B74A-9266-19067ABD92E6}">
  <sheetPr>
    <tabColor rgb="FFFFFFCC"/>
  </sheetPr>
  <dimension ref="A1:BC149"/>
  <sheetViews>
    <sheetView showGridLines="0" zoomScale="70" zoomScaleNormal="70" workbookViewId="0">
      <pane ySplit="4" topLeftCell="A5" activePane="bottomLeft" state="frozen"/>
      <selection pane="bottomLeft" activeCell="B2" sqref="B2:C2"/>
    </sheetView>
  </sheetViews>
  <sheetFormatPr defaultColWidth="0" defaultRowHeight="15" zeroHeight="1"/>
  <cols>
    <col min="1" max="1" width="3.140625" style="99" customWidth="1"/>
    <col min="2" max="3" width="14.42578125" style="106" customWidth="1"/>
    <col min="4" max="4" width="14.140625" style="106" customWidth="1"/>
    <col min="5" max="5" width="12.85546875" style="106" customWidth="1"/>
    <col min="6" max="6" width="19.42578125" style="106" customWidth="1"/>
    <col min="7" max="7" width="18" style="106" customWidth="1"/>
    <col min="8" max="8" width="24.42578125" style="99" customWidth="1"/>
    <col min="9" max="9" width="12" style="99" hidden="1" customWidth="1"/>
    <col min="10" max="10" width="9.140625" style="99" hidden="1" customWidth="1"/>
    <col min="11" max="11" width="20" style="99" hidden="1" customWidth="1"/>
    <col min="12" max="55" width="0" style="99" hidden="1" customWidth="1"/>
    <col min="56" max="16384" width="9.140625" style="99" hidden="1"/>
  </cols>
  <sheetData>
    <row r="1" spans="2:11" s="96" customFormat="1" ht="26.25">
      <c r="B1" s="226" t="s">
        <v>479</v>
      </c>
      <c r="C1" s="102"/>
      <c r="D1" s="103"/>
      <c r="E1" s="101"/>
      <c r="F1" s="101"/>
      <c r="G1" s="101"/>
      <c r="H1" s="95"/>
      <c r="I1" s="95"/>
      <c r="J1" s="95"/>
      <c r="K1" s="95"/>
    </row>
    <row r="2" spans="2:11" s="96" customFormat="1" ht="21">
      <c r="B2" s="296"/>
      <c r="C2" s="296"/>
      <c r="D2" s="104"/>
      <c r="E2" s="104"/>
      <c r="F2" s="104"/>
      <c r="G2" s="104"/>
      <c r="H2" s="97"/>
      <c r="I2" s="97"/>
      <c r="J2" s="97"/>
      <c r="K2" s="97"/>
    </row>
    <row r="3" spans="2:11" ht="15.75" customHeight="1">
      <c r="B3" s="316"/>
      <c r="C3" s="316"/>
      <c r="D3" s="316"/>
      <c r="E3" s="105"/>
      <c r="F3" s="105"/>
    </row>
    <row r="4" spans="2:11" ht="47.25">
      <c r="B4" s="107" t="s">
        <v>46</v>
      </c>
      <c r="C4" s="107" t="s">
        <v>457</v>
      </c>
      <c r="D4" s="107" t="s">
        <v>461</v>
      </c>
      <c r="E4" s="107" t="s">
        <v>458</v>
      </c>
      <c r="F4" s="107" t="s">
        <v>459</v>
      </c>
      <c r="G4" s="107" t="s">
        <v>460</v>
      </c>
    </row>
    <row r="5" spans="2:11">
      <c r="B5" s="106">
        <v>1883</v>
      </c>
      <c r="C5" s="109"/>
      <c r="D5" s="111">
        <v>3.7999999999999999E-2</v>
      </c>
      <c r="E5" s="111">
        <v>0.28999999999999998</v>
      </c>
      <c r="F5" s="112">
        <f>(E5-D5)+1</f>
        <v>1.252</v>
      </c>
      <c r="G5" s="110"/>
      <c r="H5" s="110"/>
      <c r="I5" s="98"/>
    </row>
    <row r="6" spans="2:11">
      <c r="B6" s="106">
        <v>1884</v>
      </c>
      <c r="C6" s="109"/>
      <c r="D6" s="111">
        <v>3.6999999999999998E-2</v>
      </c>
      <c r="E6" s="111">
        <v>4.3999999999999997E-2</v>
      </c>
      <c r="F6" s="112">
        <f t="shared" ref="F6:F69" si="0">(E6-D6)+1</f>
        <v>1.0069999999999999</v>
      </c>
      <c r="G6" s="110"/>
      <c r="H6" s="110"/>
      <c r="I6" s="98"/>
    </row>
    <row r="7" spans="2:11">
      <c r="B7" s="106">
        <v>1885</v>
      </c>
      <c r="C7" s="109"/>
      <c r="D7" s="111">
        <v>3.7999999999999999E-2</v>
      </c>
      <c r="E7" s="111">
        <v>0.113</v>
      </c>
      <c r="F7" s="112">
        <f t="shared" si="0"/>
        <v>1.075</v>
      </c>
      <c r="G7" s="110"/>
      <c r="H7" s="110"/>
      <c r="I7" s="98"/>
    </row>
    <row r="8" spans="2:11">
      <c r="B8" s="106">
        <v>1886</v>
      </c>
      <c r="C8" s="109"/>
      <c r="D8" s="111">
        <v>3.7999999999999999E-2</v>
      </c>
      <c r="E8" s="111">
        <v>2.9000000000000001E-2</v>
      </c>
      <c r="F8" s="112">
        <f t="shared" si="0"/>
        <v>0.99099999999999999</v>
      </c>
      <c r="G8" s="110"/>
      <c r="H8" s="110"/>
      <c r="I8" s="98"/>
    </row>
    <row r="9" spans="2:11">
      <c r="B9" s="106">
        <v>1887</v>
      </c>
      <c r="C9" s="109"/>
      <c r="D9" s="111">
        <v>3.5999999999999997E-2</v>
      </c>
      <c r="E9" s="111">
        <v>0.28199999999999997</v>
      </c>
      <c r="F9" s="112">
        <f t="shared" si="0"/>
        <v>1.246</v>
      </c>
      <c r="G9" s="110"/>
      <c r="H9" s="110"/>
      <c r="I9" s="98"/>
    </row>
    <row r="10" spans="2:11">
      <c r="B10" s="106">
        <v>1888</v>
      </c>
      <c r="C10" s="109"/>
      <c r="D10" s="111">
        <v>3.4000000000000002E-2</v>
      </c>
      <c r="E10" s="111">
        <v>0.26200000000000001</v>
      </c>
      <c r="F10" s="112">
        <f t="shared" si="0"/>
        <v>1.228</v>
      </c>
      <c r="G10" s="110"/>
      <c r="H10" s="110"/>
      <c r="I10" s="98"/>
    </row>
    <row r="11" spans="2:11">
      <c r="B11" s="106">
        <v>1889</v>
      </c>
      <c r="C11" s="109"/>
      <c r="D11" s="111">
        <v>3.4000000000000002E-2</v>
      </c>
      <c r="E11" s="111">
        <v>-1.0999999999999999E-2</v>
      </c>
      <c r="F11" s="112">
        <f t="shared" si="0"/>
        <v>0.95499999999999996</v>
      </c>
      <c r="G11" s="110"/>
      <c r="H11" s="110"/>
      <c r="I11" s="98"/>
    </row>
    <row r="12" spans="2:11">
      <c r="B12" s="106">
        <v>1890</v>
      </c>
      <c r="C12" s="109"/>
      <c r="D12" s="111">
        <v>3.5000000000000003E-2</v>
      </c>
      <c r="E12" s="111">
        <v>1.4E-2</v>
      </c>
      <c r="F12" s="112">
        <f t="shared" si="0"/>
        <v>0.97899999999999998</v>
      </c>
      <c r="G12" s="110"/>
      <c r="H12" s="110"/>
      <c r="I12" s="98"/>
    </row>
    <row r="13" spans="2:11">
      <c r="B13" s="106">
        <v>1891</v>
      </c>
      <c r="C13" s="109"/>
      <c r="D13" s="111">
        <v>3.7999999999999999E-2</v>
      </c>
      <c r="E13" s="111">
        <v>-0.104</v>
      </c>
      <c r="F13" s="112">
        <f t="shared" si="0"/>
        <v>0.85799999999999998</v>
      </c>
      <c r="G13" s="110"/>
      <c r="H13" s="110"/>
      <c r="I13" s="98"/>
    </row>
    <row r="14" spans="2:11">
      <c r="B14" s="106">
        <v>1892</v>
      </c>
      <c r="C14" s="109"/>
      <c r="D14" s="111">
        <v>3.7999999999999999E-2</v>
      </c>
      <c r="E14" s="111">
        <v>6.3E-2</v>
      </c>
      <c r="F14" s="112">
        <f t="shared" si="0"/>
        <v>1.0249999999999999</v>
      </c>
      <c r="G14" s="110"/>
      <c r="H14" s="110"/>
      <c r="I14" s="98"/>
    </row>
    <row r="15" spans="2:11">
      <c r="B15" s="106">
        <v>1893</v>
      </c>
      <c r="C15" s="109"/>
      <c r="D15" s="111">
        <v>3.7999999999999999E-2</v>
      </c>
      <c r="E15" s="111">
        <v>-4.9000000000000002E-2</v>
      </c>
      <c r="F15" s="112">
        <f t="shared" si="0"/>
        <v>0.91300000000000003</v>
      </c>
      <c r="G15" s="110"/>
      <c r="H15" s="110"/>
      <c r="I15" s="98"/>
    </row>
    <row r="16" spans="2:11">
      <c r="B16" s="106">
        <v>1894</v>
      </c>
      <c r="C16" s="109"/>
      <c r="D16" s="111">
        <v>3.5000000000000003E-2</v>
      </c>
      <c r="E16" s="111">
        <v>0.106</v>
      </c>
      <c r="F16" s="112">
        <f t="shared" si="0"/>
        <v>1.071</v>
      </c>
      <c r="G16" s="110"/>
      <c r="H16" s="110"/>
      <c r="I16" s="98"/>
    </row>
    <row r="17" spans="2:9">
      <c r="B17" s="106">
        <v>1895</v>
      </c>
      <c r="C17" s="109"/>
      <c r="D17" s="111">
        <v>3.3000000000000002E-2</v>
      </c>
      <c r="E17" s="111">
        <v>0.20100000000000001</v>
      </c>
      <c r="F17" s="112">
        <f t="shared" si="0"/>
        <v>1.1679999999999999</v>
      </c>
      <c r="G17" s="110"/>
      <c r="H17" s="110"/>
      <c r="I17" s="98"/>
    </row>
    <row r="18" spans="2:9">
      <c r="B18" s="106">
        <v>1896</v>
      </c>
      <c r="C18" s="109"/>
      <c r="D18" s="111">
        <v>3.2000000000000001E-2</v>
      </c>
      <c r="E18" s="111">
        <v>1.7000000000000001E-2</v>
      </c>
      <c r="F18" s="112">
        <f t="shared" si="0"/>
        <v>0.98499999999999999</v>
      </c>
      <c r="G18" s="110"/>
      <c r="H18" s="110"/>
      <c r="I18" s="98"/>
    </row>
    <row r="19" spans="2:9">
      <c r="B19" s="106">
        <v>1897</v>
      </c>
      <c r="C19" s="109"/>
      <c r="D19" s="111">
        <v>0.03</v>
      </c>
      <c r="E19" s="111">
        <v>8.5000000000000006E-2</v>
      </c>
      <c r="F19" s="112">
        <f t="shared" si="0"/>
        <v>1.0549999999999999</v>
      </c>
      <c r="G19" s="110"/>
      <c r="H19" s="110"/>
      <c r="I19" s="98"/>
    </row>
    <row r="20" spans="2:9">
      <c r="B20" s="106">
        <v>1898</v>
      </c>
      <c r="C20" s="109"/>
      <c r="D20" s="111">
        <v>3.3000000000000002E-2</v>
      </c>
      <c r="E20" s="111">
        <v>0.155</v>
      </c>
      <c r="F20" s="112">
        <f t="shared" si="0"/>
        <v>1.1219999999999999</v>
      </c>
      <c r="G20" s="110"/>
      <c r="H20" s="110"/>
      <c r="I20" s="98"/>
    </row>
    <row r="21" spans="2:9">
      <c r="B21" s="106">
        <v>1899</v>
      </c>
      <c r="C21" s="109"/>
      <c r="D21" s="111">
        <v>3.5000000000000003E-2</v>
      </c>
      <c r="E21" s="111">
        <v>0.121</v>
      </c>
      <c r="F21" s="112">
        <f t="shared" si="0"/>
        <v>1.0860000000000001</v>
      </c>
      <c r="G21" s="110"/>
      <c r="H21" s="110"/>
      <c r="I21" s="98"/>
    </row>
    <row r="22" spans="2:9">
      <c r="B22" s="106">
        <v>1900</v>
      </c>
      <c r="C22" s="109"/>
      <c r="D22" s="111">
        <v>3.3000000000000002E-2</v>
      </c>
      <c r="E22" s="111">
        <v>0.122</v>
      </c>
      <c r="F22" s="112">
        <f t="shared" si="0"/>
        <v>1.089</v>
      </c>
      <c r="G22" s="110"/>
      <c r="H22" s="110"/>
      <c r="I22" s="98"/>
    </row>
    <row r="23" spans="2:9">
      <c r="B23" s="106">
        <v>1901</v>
      </c>
      <c r="C23" s="109"/>
      <c r="D23" s="111">
        <v>3.3000000000000002E-2</v>
      </c>
      <c r="E23" s="111">
        <v>-3.2000000000000001E-2</v>
      </c>
      <c r="F23" s="112">
        <f t="shared" si="0"/>
        <v>0.93500000000000005</v>
      </c>
      <c r="G23" s="110"/>
      <c r="H23" s="110"/>
      <c r="I23" s="98"/>
    </row>
    <row r="24" spans="2:9">
      <c r="B24" s="106">
        <v>1902</v>
      </c>
      <c r="C24" s="109"/>
      <c r="D24" s="111">
        <v>3.5000000000000003E-2</v>
      </c>
      <c r="E24" s="111">
        <v>0.156</v>
      </c>
      <c r="F24" s="112">
        <f t="shared" si="0"/>
        <v>1.121</v>
      </c>
      <c r="G24" s="110"/>
      <c r="H24" s="110"/>
      <c r="I24" s="98"/>
    </row>
    <row r="25" spans="2:9">
      <c r="B25" s="106">
        <v>1903</v>
      </c>
      <c r="C25" s="109"/>
      <c r="D25" s="111">
        <v>3.5999999999999997E-2</v>
      </c>
      <c r="E25" s="111">
        <v>0.219</v>
      </c>
      <c r="F25" s="112">
        <f t="shared" si="0"/>
        <v>1.1830000000000001</v>
      </c>
      <c r="G25" s="110"/>
      <c r="H25" s="110"/>
      <c r="I25" s="98"/>
    </row>
    <row r="26" spans="2:9">
      <c r="B26" s="106">
        <v>1904</v>
      </c>
      <c r="C26" s="109"/>
      <c r="D26" s="111">
        <v>3.6999999999999998E-2</v>
      </c>
      <c r="E26" s="111">
        <v>7.4999999999999997E-2</v>
      </c>
      <c r="F26" s="112">
        <f t="shared" si="0"/>
        <v>1.038</v>
      </c>
      <c r="G26" s="110"/>
      <c r="H26" s="110"/>
      <c r="I26" s="98"/>
    </row>
    <row r="27" spans="2:9">
      <c r="B27" s="106">
        <v>1905</v>
      </c>
      <c r="C27" s="109"/>
      <c r="D27" s="111">
        <v>3.5000000000000003E-2</v>
      </c>
      <c r="E27" s="111">
        <v>0.14599999999999999</v>
      </c>
      <c r="F27" s="112">
        <f t="shared" si="0"/>
        <v>1.111</v>
      </c>
      <c r="G27" s="110"/>
      <c r="H27" s="110"/>
      <c r="I27" s="98"/>
    </row>
    <row r="28" spans="2:9">
      <c r="B28" s="106">
        <v>1906</v>
      </c>
      <c r="C28" s="109"/>
      <c r="D28" s="111">
        <v>3.5000000000000003E-2</v>
      </c>
      <c r="E28" s="111">
        <v>0.10199999999999999</v>
      </c>
      <c r="F28" s="112">
        <f t="shared" si="0"/>
        <v>1.0669999999999999</v>
      </c>
      <c r="G28" s="110"/>
      <c r="H28" s="110"/>
      <c r="I28" s="98"/>
    </row>
    <row r="29" spans="2:9">
      <c r="B29" s="106">
        <v>1907</v>
      </c>
      <c r="C29" s="109"/>
      <c r="D29" s="111">
        <v>3.5000000000000003E-2</v>
      </c>
      <c r="E29" s="111">
        <v>8.7999999999999995E-2</v>
      </c>
      <c r="F29" s="112">
        <f t="shared" si="0"/>
        <v>1.0529999999999999</v>
      </c>
      <c r="G29" s="110"/>
      <c r="H29" s="110"/>
      <c r="I29" s="98"/>
    </row>
    <row r="30" spans="2:9">
      <c r="B30" s="106">
        <v>1908</v>
      </c>
      <c r="C30" s="109"/>
      <c r="D30" s="111">
        <v>3.5000000000000003E-2</v>
      </c>
      <c r="E30" s="111">
        <v>0.17299999999999999</v>
      </c>
      <c r="F30" s="112">
        <f t="shared" si="0"/>
        <v>1.1379999999999999</v>
      </c>
      <c r="G30" s="110"/>
      <c r="H30" s="110"/>
      <c r="I30" s="98"/>
    </row>
    <row r="31" spans="2:9">
      <c r="B31" s="106">
        <v>1909</v>
      </c>
      <c r="C31" s="109"/>
      <c r="D31" s="111">
        <v>3.5999999999999997E-2</v>
      </c>
      <c r="E31" s="111">
        <v>0.13500000000000001</v>
      </c>
      <c r="F31" s="112">
        <f t="shared" si="0"/>
        <v>1.099</v>
      </c>
      <c r="G31" s="110"/>
      <c r="H31" s="110"/>
      <c r="I31" s="98"/>
    </row>
    <row r="32" spans="2:9">
      <c r="B32" s="106">
        <v>1910</v>
      </c>
      <c r="C32" s="109"/>
      <c r="D32" s="111">
        <v>3.7999999999999999E-2</v>
      </c>
      <c r="E32" s="111">
        <v>6.7000000000000004E-2</v>
      </c>
      <c r="F32" s="112">
        <f t="shared" si="0"/>
        <v>1.0289999999999999</v>
      </c>
      <c r="G32" s="110"/>
      <c r="H32" s="110"/>
      <c r="I32" s="98"/>
    </row>
    <row r="33" spans="2:9">
      <c r="B33" s="106">
        <v>1911</v>
      </c>
      <c r="C33" s="109"/>
      <c r="D33" s="111">
        <v>3.7999999999999999E-2</v>
      </c>
      <c r="E33" s="111">
        <v>0.107</v>
      </c>
      <c r="F33" s="112">
        <f t="shared" si="0"/>
        <v>1.069</v>
      </c>
      <c r="G33" s="110"/>
      <c r="H33" s="110"/>
      <c r="I33" s="98"/>
    </row>
    <row r="34" spans="2:9">
      <c r="B34" s="106">
        <v>1912</v>
      </c>
      <c r="C34" s="109"/>
      <c r="D34" s="111">
        <v>3.9E-2</v>
      </c>
      <c r="E34" s="111">
        <v>8.5999999999999993E-2</v>
      </c>
      <c r="F34" s="112">
        <f t="shared" si="0"/>
        <v>1.0469999999999999</v>
      </c>
      <c r="G34" s="110"/>
      <c r="H34" s="110"/>
      <c r="I34" s="98"/>
    </row>
    <row r="35" spans="2:9">
      <c r="B35" s="106">
        <v>1913</v>
      </c>
      <c r="C35" s="109"/>
      <c r="D35" s="111">
        <v>4.2999999999999997E-2</v>
      </c>
      <c r="E35" s="111">
        <v>8.8999999999999996E-2</v>
      </c>
      <c r="F35" s="112">
        <f t="shared" si="0"/>
        <v>1.046</v>
      </c>
      <c r="G35" s="110"/>
      <c r="H35" s="110"/>
      <c r="I35" s="98"/>
    </row>
    <row r="36" spans="2:9">
      <c r="B36" s="106">
        <v>1914</v>
      </c>
      <c r="C36" s="109"/>
      <c r="D36" s="111">
        <v>4.2999999999999997E-2</v>
      </c>
      <c r="E36" s="111">
        <v>0.114</v>
      </c>
      <c r="F36" s="112">
        <f t="shared" si="0"/>
        <v>1.071</v>
      </c>
      <c r="G36" s="110"/>
      <c r="H36" s="110"/>
      <c r="I36" s="98"/>
    </row>
    <row r="37" spans="2:9">
      <c r="B37" s="106">
        <v>1915</v>
      </c>
      <c r="C37" s="109"/>
      <c r="D37" s="111">
        <v>4.5999999999999999E-2</v>
      </c>
      <c r="E37" s="111">
        <v>-3.5000000000000003E-2</v>
      </c>
      <c r="F37" s="112">
        <f t="shared" si="0"/>
        <v>0.91900000000000004</v>
      </c>
      <c r="G37" s="110"/>
      <c r="H37" s="110"/>
      <c r="I37" s="98"/>
    </row>
    <row r="38" spans="2:9">
      <c r="B38" s="106">
        <v>1916</v>
      </c>
      <c r="C38" s="109"/>
      <c r="D38" s="111">
        <v>4.9000000000000002E-2</v>
      </c>
      <c r="E38" s="111">
        <v>-3.4000000000000002E-2</v>
      </c>
      <c r="F38" s="112">
        <f t="shared" si="0"/>
        <v>0.91700000000000004</v>
      </c>
      <c r="G38" s="110"/>
      <c r="H38" s="110"/>
      <c r="I38" s="98"/>
    </row>
    <row r="39" spans="2:9">
      <c r="B39" s="106">
        <v>1917</v>
      </c>
      <c r="C39" s="109"/>
      <c r="D39" s="111">
        <v>4.7E-2</v>
      </c>
      <c r="E39" s="111">
        <v>0.155</v>
      </c>
      <c r="F39" s="112">
        <f t="shared" si="0"/>
        <v>1.1080000000000001</v>
      </c>
      <c r="G39" s="110"/>
      <c r="H39" s="110"/>
      <c r="I39" s="98"/>
    </row>
    <row r="40" spans="2:9">
      <c r="B40" s="106">
        <v>1918</v>
      </c>
      <c r="C40" s="109"/>
      <c r="D40" s="111">
        <v>0.05</v>
      </c>
      <c r="E40" s="111">
        <v>7.4999999999999997E-2</v>
      </c>
      <c r="F40" s="112">
        <f t="shared" si="0"/>
        <v>1.0249999999999999</v>
      </c>
      <c r="G40" s="110"/>
      <c r="H40" s="110"/>
      <c r="I40" s="98"/>
    </row>
    <row r="41" spans="2:9">
      <c r="B41" s="106">
        <v>1919</v>
      </c>
      <c r="C41" s="109"/>
      <c r="D41" s="111">
        <v>5.3999999999999999E-2</v>
      </c>
      <c r="E41" s="111">
        <v>0.187</v>
      </c>
      <c r="F41" s="112">
        <f t="shared" si="0"/>
        <v>1.133</v>
      </c>
      <c r="G41" s="110"/>
      <c r="H41" s="110"/>
      <c r="I41" s="98"/>
    </row>
    <row r="42" spans="2:9">
      <c r="B42" s="106">
        <v>1920</v>
      </c>
      <c r="C42" s="109"/>
      <c r="D42" s="111">
        <v>6.7000000000000004E-2</v>
      </c>
      <c r="E42" s="111">
        <v>8.1000000000000003E-2</v>
      </c>
      <c r="F42" s="112">
        <f t="shared" si="0"/>
        <v>1.014</v>
      </c>
      <c r="G42" s="110"/>
      <c r="H42" s="110"/>
      <c r="I42" s="98"/>
    </row>
    <row r="43" spans="2:9">
      <c r="B43" s="106">
        <v>1921</v>
      </c>
      <c r="C43" s="109"/>
      <c r="D43" s="111">
        <v>5.8999999999999997E-2</v>
      </c>
      <c r="E43" s="111">
        <v>0.19900000000000001</v>
      </c>
      <c r="F43" s="112">
        <f t="shared" si="0"/>
        <v>1.1400000000000001</v>
      </c>
      <c r="G43" s="110"/>
      <c r="H43" s="110"/>
      <c r="I43" s="98"/>
    </row>
    <row r="44" spans="2:9">
      <c r="B44" s="106">
        <v>1922</v>
      </c>
      <c r="C44" s="109"/>
      <c r="D44" s="111">
        <v>5.7000000000000002E-2</v>
      </c>
      <c r="E44" s="111">
        <v>0.21299999999999999</v>
      </c>
      <c r="F44" s="112">
        <f t="shared" si="0"/>
        <v>1.1559999999999999</v>
      </c>
      <c r="G44" s="110"/>
      <c r="H44" s="110"/>
      <c r="I44" s="98"/>
    </row>
    <row r="45" spans="2:9">
      <c r="B45" s="106">
        <v>1923</v>
      </c>
      <c r="C45" s="109"/>
      <c r="D45" s="111">
        <v>5.8999999999999997E-2</v>
      </c>
      <c r="E45" s="111">
        <v>0.16200000000000001</v>
      </c>
      <c r="F45" s="112">
        <f t="shared" si="0"/>
        <v>1.103</v>
      </c>
      <c r="G45" s="110"/>
      <c r="H45" s="110"/>
      <c r="I45" s="98"/>
    </row>
    <row r="46" spans="2:9">
      <c r="B46" s="106">
        <v>1924</v>
      </c>
      <c r="C46" s="109"/>
      <c r="D46" s="111">
        <v>5.3999999999999999E-2</v>
      </c>
      <c r="E46" s="111">
        <v>0.13700000000000001</v>
      </c>
      <c r="F46" s="112">
        <f t="shared" si="0"/>
        <v>1.083</v>
      </c>
      <c r="G46" s="110"/>
      <c r="H46" s="110"/>
      <c r="I46" s="98"/>
    </row>
    <row r="47" spans="2:9">
      <c r="B47" s="106">
        <v>1925</v>
      </c>
      <c r="C47" s="109"/>
      <c r="D47" s="111">
        <v>5.1999999999999998E-2</v>
      </c>
      <c r="E47" s="111">
        <v>0.17699999999999999</v>
      </c>
      <c r="F47" s="112">
        <f t="shared" si="0"/>
        <v>1.125</v>
      </c>
      <c r="G47" s="110"/>
      <c r="H47" s="110"/>
      <c r="I47" s="98"/>
    </row>
    <row r="48" spans="2:9">
      <c r="B48" s="106">
        <v>1926</v>
      </c>
      <c r="C48" s="109"/>
      <c r="D48" s="111">
        <v>5.2999999999999999E-2</v>
      </c>
      <c r="E48" s="111">
        <v>0.14099999999999999</v>
      </c>
      <c r="F48" s="112">
        <f t="shared" si="0"/>
        <v>1.0880000000000001</v>
      </c>
      <c r="G48" s="110"/>
      <c r="H48" s="110"/>
      <c r="I48" s="98"/>
    </row>
    <row r="49" spans="2:9">
      <c r="B49" s="106">
        <v>1927</v>
      </c>
      <c r="C49" s="109"/>
      <c r="D49" s="111">
        <v>5.3999999999999999E-2</v>
      </c>
      <c r="E49" s="111">
        <v>0.124</v>
      </c>
      <c r="F49" s="112">
        <f t="shared" si="0"/>
        <v>1.07</v>
      </c>
      <c r="G49" s="110"/>
      <c r="H49" s="110"/>
      <c r="I49" s="98"/>
    </row>
    <row r="50" spans="2:9">
      <c r="B50" s="106">
        <v>1928</v>
      </c>
      <c r="C50" s="109"/>
      <c r="D50" s="111">
        <v>5.2999999999999999E-2</v>
      </c>
      <c r="E50" s="111">
        <v>0.17699999999999999</v>
      </c>
      <c r="F50" s="112">
        <f t="shared" si="0"/>
        <v>1.1240000000000001</v>
      </c>
      <c r="G50" s="110"/>
      <c r="H50" s="110"/>
      <c r="I50" s="98"/>
    </row>
    <row r="51" spans="2:9">
      <c r="B51" s="106">
        <v>1929</v>
      </c>
      <c r="C51" s="109"/>
      <c r="D51" s="111">
        <v>5.6000000000000001E-2</v>
      </c>
      <c r="E51" s="111">
        <v>-5.2999999999999999E-2</v>
      </c>
      <c r="F51" s="112">
        <f t="shared" si="0"/>
        <v>0.89100000000000001</v>
      </c>
      <c r="G51" s="110"/>
      <c r="H51" s="110"/>
      <c r="I51" s="98"/>
    </row>
    <row r="52" spans="2:9">
      <c r="B52" s="106">
        <v>1930</v>
      </c>
      <c r="C52" s="109"/>
      <c r="D52" s="111">
        <v>6.5000000000000002E-2</v>
      </c>
      <c r="E52" s="111">
        <v>-0.29599999999999999</v>
      </c>
      <c r="F52" s="112">
        <f t="shared" si="0"/>
        <v>0.63900000000000001</v>
      </c>
      <c r="G52" s="110"/>
      <c r="H52" s="110"/>
      <c r="I52" s="98"/>
    </row>
    <row r="53" spans="2:9">
      <c r="B53" s="106">
        <v>1931</v>
      </c>
      <c r="C53" s="109"/>
      <c r="D53" s="111">
        <v>4.7E-2</v>
      </c>
      <c r="E53" s="111">
        <v>0.17699999999999999</v>
      </c>
      <c r="F53" s="112">
        <f t="shared" si="0"/>
        <v>1.1299999999999999</v>
      </c>
      <c r="G53" s="110"/>
      <c r="H53" s="110"/>
      <c r="I53" s="98"/>
    </row>
    <row r="54" spans="2:9">
      <c r="B54" s="106">
        <v>1932</v>
      </c>
      <c r="C54" s="109"/>
      <c r="D54" s="111">
        <v>3.9E-2</v>
      </c>
      <c r="E54" s="111">
        <v>0.248</v>
      </c>
      <c r="F54" s="112">
        <f t="shared" si="0"/>
        <v>1.2090000000000001</v>
      </c>
      <c r="G54" s="110"/>
      <c r="H54" s="110"/>
      <c r="I54" s="98"/>
    </row>
    <row r="55" spans="2:9">
      <c r="B55" s="106">
        <v>1933</v>
      </c>
      <c r="C55" s="109"/>
      <c r="D55" s="111">
        <v>3.5999999999999997E-2</v>
      </c>
      <c r="E55" s="111">
        <v>0.25600000000000001</v>
      </c>
      <c r="F55" s="112">
        <f t="shared" si="0"/>
        <v>1.22</v>
      </c>
      <c r="G55" s="110"/>
      <c r="H55" s="110"/>
      <c r="I55" s="98"/>
    </row>
    <row r="56" spans="2:9">
      <c r="B56" s="106">
        <v>1934</v>
      </c>
      <c r="C56" s="109"/>
      <c r="D56" s="111">
        <v>3.3000000000000002E-2</v>
      </c>
      <c r="E56" s="111">
        <v>0.23200000000000001</v>
      </c>
      <c r="F56" s="112">
        <f t="shared" si="0"/>
        <v>1.1990000000000001</v>
      </c>
      <c r="G56" s="110"/>
      <c r="H56" s="110"/>
      <c r="I56" s="98"/>
    </row>
    <row r="57" spans="2:9">
      <c r="B57" s="106">
        <v>1935</v>
      </c>
      <c r="C57" s="109"/>
      <c r="D57" s="111">
        <v>3.6999999999999998E-2</v>
      </c>
      <c r="E57" s="111">
        <v>0.10100000000000001</v>
      </c>
      <c r="F57" s="112">
        <f t="shared" si="0"/>
        <v>1.0640000000000001</v>
      </c>
      <c r="G57" s="110"/>
      <c r="H57" s="110"/>
      <c r="I57" s="98"/>
    </row>
    <row r="58" spans="2:9">
      <c r="B58" s="106">
        <v>1936</v>
      </c>
      <c r="C58" s="109"/>
      <c r="D58" s="111">
        <v>0.04</v>
      </c>
      <c r="E58" s="111">
        <v>0.19800000000000001</v>
      </c>
      <c r="F58" s="112">
        <f t="shared" si="0"/>
        <v>1.1579999999999999</v>
      </c>
      <c r="G58" s="110"/>
      <c r="H58" s="110"/>
      <c r="I58" s="98"/>
    </row>
    <row r="59" spans="2:9">
      <c r="B59" s="106">
        <v>1937</v>
      </c>
      <c r="C59" s="109"/>
      <c r="D59" s="111">
        <v>3.6999999999999998E-2</v>
      </c>
      <c r="E59" s="111">
        <v>2.4E-2</v>
      </c>
      <c r="F59" s="112">
        <f t="shared" si="0"/>
        <v>0.98699999999999999</v>
      </c>
      <c r="G59" s="110"/>
      <c r="H59" s="110"/>
      <c r="I59" s="98"/>
    </row>
    <row r="60" spans="2:9">
      <c r="B60" s="106">
        <v>1938</v>
      </c>
      <c r="C60" s="109"/>
      <c r="D60" s="111">
        <v>3.9E-2</v>
      </c>
      <c r="E60" s="111">
        <v>-5.0000000000000001E-3</v>
      </c>
      <c r="F60" s="112">
        <f t="shared" si="0"/>
        <v>0.95599999999999996</v>
      </c>
      <c r="G60" s="110"/>
      <c r="H60" s="110"/>
      <c r="I60" s="98"/>
    </row>
    <row r="61" spans="2:9">
      <c r="B61" s="106">
        <v>1939</v>
      </c>
      <c r="C61" s="109"/>
      <c r="D61" s="111">
        <v>3.7999999999999999E-2</v>
      </c>
      <c r="E61" s="111">
        <v>5.2999999999999999E-2</v>
      </c>
      <c r="F61" s="112">
        <f t="shared" si="0"/>
        <v>1.0149999999999999</v>
      </c>
      <c r="G61" s="110"/>
      <c r="H61" s="110"/>
      <c r="I61" s="98"/>
    </row>
    <row r="62" spans="2:9">
      <c r="B62" s="106">
        <v>1940</v>
      </c>
      <c r="C62" s="109"/>
      <c r="D62" s="111">
        <v>3.1E-2</v>
      </c>
      <c r="E62" s="111">
        <v>3.5000000000000003E-2</v>
      </c>
      <c r="F62" s="112">
        <f t="shared" si="0"/>
        <v>1.004</v>
      </c>
      <c r="G62" s="110"/>
      <c r="H62" s="110"/>
      <c r="I62" s="98"/>
    </row>
    <row r="63" spans="2:9">
      <c r="B63" s="106">
        <v>1941</v>
      </c>
      <c r="C63" s="109"/>
      <c r="D63" s="111">
        <v>3.3000000000000002E-2</v>
      </c>
      <c r="E63" s="111">
        <v>-5.5E-2</v>
      </c>
      <c r="F63" s="112">
        <f t="shared" si="0"/>
        <v>0.91200000000000003</v>
      </c>
      <c r="G63" s="110"/>
      <c r="H63" s="110"/>
      <c r="I63" s="98"/>
    </row>
    <row r="64" spans="2:9">
      <c r="B64" s="106">
        <v>1942</v>
      </c>
      <c r="C64" s="109"/>
      <c r="D64" s="111">
        <v>3.2000000000000001E-2</v>
      </c>
      <c r="E64" s="111">
        <v>0.184</v>
      </c>
      <c r="F64" s="112">
        <f t="shared" si="0"/>
        <v>1.1519999999999999</v>
      </c>
      <c r="G64" s="110"/>
      <c r="H64" s="110"/>
      <c r="I64" s="98"/>
    </row>
    <row r="65" spans="2:11">
      <c r="B65" s="106">
        <v>1943</v>
      </c>
      <c r="C65" s="109"/>
      <c r="D65" s="111">
        <v>3.2000000000000001E-2</v>
      </c>
      <c r="E65" s="111">
        <v>8.8999999999999996E-2</v>
      </c>
      <c r="F65" s="112">
        <f t="shared" si="0"/>
        <v>1.0569999999999999</v>
      </c>
      <c r="G65" s="110"/>
      <c r="H65" s="110"/>
      <c r="I65" s="98"/>
    </row>
    <row r="66" spans="2:11">
      <c r="B66" s="106">
        <v>1944</v>
      </c>
      <c r="C66" s="109"/>
      <c r="D66" s="111">
        <v>3.2000000000000001E-2</v>
      </c>
      <c r="E66" s="111">
        <v>0.08</v>
      </c>
      <c r="F66" s="112">
        <f t="shared" si="0"/>
        <v>1.048</v>
      </c>
      <c r="G66" s="110"/>
      <c r="H66" s="110"/>
      <c r="I66" s="98"/>
    </row>
    <row r="67" spans="2:11">
      <c r="B67" s="106">
        <v>1945</v>
      </c>
      <c r="C67" s="109"/>
      <c r="D67" s="111">
        <v>3.3000000000000002E-2</v>
      </c>
      <c r="E67" s="111">
        <v>0.14099999999999999</v>
      </c>
      <c r="F67" s="112">
        <f t="shared" si="0"/>
        <v>1.1080000000000001</v>
      </c>
      <c r="G67" s="110"/>
      <c r="H67" s="110"/>
      <c r="I67" s="98"/>
    </row>
    <row r="68" spans="2:11">
      <c r="B68" s="106">
        <v>1946</v>
      </c>
      <c r="C68" s="109"/>
      <c r="D68" s="111">
        <v>3.2000000000000001E-2</v>
      </c>
      <c r="E68" s="111">
        <v>0.13300000000000001</v>
      </c>
      <c r="F68" s="112">
        <f t="shared" si="0"/>
        <v>1.101</v>
      </c>
      <c r="G68" s="110"/>
      <c r="H68" s="110"/>
      <c r="I68" s="98"/>
    </row>
    <row r="69" spans="2:11">
      <c r="B69" s="106">
        <v>1947</v>
      </c>
      <c r="C69" s="109"/>
      <c r="D69" s="111">
        <v>3.2000000000000001E-2</v>
      </c>
      <c r="E69" s="111">
        <v>0.16600000000000001</v>
      </c>
      <c r="F69" s="112">
        <f t="shared" si="0"/>
        <v>1.1339999999999999</v>
      </c>
      <c r="G69" s="110"/>
      <c r="H69" s="110"/>
      <c r="I69" s="98"/>
    </row>
    <row r="70" spans="2:11">
      <c r="B70" s="106">
        <v>1948</v>
      </c>
      <c r="C70" s="109"/>
      <c r="D70" s="111">
        <v>3.1E-2</v>
      </c>
      <c r="E70" s="111">
        <v>2.4E-2</v>
      </c>
      <c r="F70" s="112">
        <f t="shared" ref="F70:F133" si="1">(E70-D70)+1</f>
        <v>0.99299999999999999</v>
      </c>
      <c r="G70" s="110"/>
      <c r="H70" s="110"/>
      <c r="I70" s="98"/>
    </row>
    <row r="71" spans="2:11">
      <c r="B71" s="106">
        <v>1949</v>
      </c>
      <c r="C71" s="109"/>
      <c r="D71" s="111">
        <v>3.1E-2</v>
      </c>
      <c r="E71" s="111">
        <v>8.1000000000000003E-2</v>
      </c>
      <c r="F71" s="112">
        <f t="shared" si="1"/>
        <v>1.05</v>
      </c>
      <c r="G71" s="110"/>
      <c r="H71" s="110"/>
      <c r="I71" s="98"/>
    </row>
    <row r="72" spans="2:11">
      <c r="B72" s="106">
        <v>1950</v>
      </c>
      <c r="C72" s="109"/>
      <c r="D72" s="111">
        <v>3.2000000000000001E-2</v>
      </c>
      <c r="E72" s="111">
        <v>0.314</v>
      </c>
      <c r="F72" s="112">
        <f t="shared" si="1"/>
        <v>1.282</v>
      </c>
      <c r="G72" s="110"/>
      <c r="H72" s="110"/>
      <c r="I72" s="98"/>
    </row>
    <row r="73" spans="2:11">
      <c r="B73" s="106">
        <v>1951</v>
      </c>
      <c r="C73" s="109"/>
      <c r="D73" s="111">
        <v>3.7999999999999999E-2</v>
      </c>
      <c r="E73" s="111">
        <v>-4.5999999999999999E-2</v>
      </c>
      <c r="F73" s="112">
        <f t="shared" si="1"/>
        <v>0.91600000000000004</v>
      </c>
      <c r="G73" s="110"/>
      <c r="H73" s="110"/>
      <c r="I73" s="98"/>
    </row>
    <row r="74" spans="2:11">
      <c r="B74" s="106">
        <v>1952</v>
      </c>
      <c r="C74" s="109"/>
      <c r="D74" s="111">
        <v>4.4999999999999998E-2</v>
      </c>
      <c r="E74" s="111">
        <v>-0.13300000000000001</v>
      </c>
      <c r="F74" s="112">
        <f t="shared" si="1"/>
        <v>0.82200000000000006</v>
      </c>
      <c r="G74" s="110"/>
      <c r="H74" s="110"/>
      <c r="I74" s="98"/>
    </row>
    <row r="75" spans="2:11">
      <c r="B75" s="106">
        <v>1953</v>
      </c>
      <c r="C75" s="109"/>
      <c r="D75" s="111">
        <v>4.3999999999999997E-2</v>
      </c>
      <c r="E75" s="111">
        <v>0.13</v>
      </c>
      <c r="F75" s="112">
        <f t="shared" si="1"/>
        <v>1.0860000000000001</v>
      </c>
      <c r="G75" s="110"/>
      <c r="H75" s="110"/>
      <c r="I75" s="98"/>
    </row>
    <row r="76" spans="2:11">
      <c r="B76" s="106">
        <v>1954</v>
      </c>
      <c r="C76" s="109"/>
      <c r="D76" s="111">
        <v>4.4999999999999998E-2</v>
      </c>
      <c r="E76" s="111">
        <v>0.186</v>
      </c>
      <c r="F76" s="112">
        <f t="shared" si="1"/>
        <v>1.141</v>
      </c>
      <c r="G76" s="110"/>
      <c r="H76" s="110"/>
      <c r="I76" s="98"/>
    </row>
    <row r="77" spans="2:11">
      <c r="B77" s="106">
        <v>1955</v>
      </c>
      <c r="C77" s="109"/>
      <c r="D77" s="111">
        <v>4.4999999999999998E-2</v>
      </c>
      <c r="E77" s="111">
        <v>0.10299999999999999</v>
      </c>
      <c r="F77" s="112">
        <f t="shared" si="1"/>
        <v>1.0580000000000001</v>
      </c>
      <c r="G77" s="110"/>
      <c r="H77" s="110"/>
      <c r="I77" s="98"/>
    </row>
    <row r="78" spans="2:11">
      <c r="B78" s="106">
        <v>1956</v>
      </c>
      <c r="C78" s="109"/>
      <c r="D78" s="111">
        <v>5.0999999999999997E-2</v>
      </c>
      <c r="E78" s="111">
        <v>7.6999999999999999E-2</v>
      </c>
      <c r="F78" s="112">
        <f t="shared" si="1"/>
        <v>1.026</v>
      </c>
      <c r="G78" s="110"/>
      <c r="H78" s="110"/>
      <c r="I78" s="98"/>
    </row>
    <row r="79" spans="2:11">
      <c r="B79" s="106">
        <v>1957</v>
      </c>
      <c r="C79" s="109"/>
      <c r="D79" s="111">
        <v>0.05</v>
      </c>
      <c r="E79" s="111">
        <v>0.16700000000000001</v>
      </c>
      <c r="F79" s="112">
        <f t="shared" si="1"/>
        <v>1.117</v>
      </c>
      <c r="G79" s="110"/>
      <c r="H79" s="110"/>
      <c r="I79" s="98"/>
    </row>
    <row r="80" spans="2:11">
      <c r="B80" s="106">
        <v>1958</v>
      </c>
      <c r="C80" s="109"/>
      <c r="D80" s="111">
        <v>4.9000000000000002E-2</v>
      </c>
      <c r="E80" s="111">
        <v>0.189</v>
      </c>
      <c r="F80" s="112">
        <f t="shared" si="1"/>
        <v>1.1400000000000001</v>
      </c>
      <c r="G80" s="110"/>
      <c r="H80" s="110"/>
      <c r="I80" s="98"/>
      <c r="K80" s="98"/>
    </row>
    <row r="81" spans="2:11">
      <c r="B81" s="106">
        <v>1959</v>
      </c>
      <c r="C81" s="109"/>
      <c r="D81" s="111">
        <v>4.8000000000000001E-2</v>
      </c>
      <c r="E81" s="111">
        <v>0.443</v>
      </c>
      <c r="F81" s="112">
        <f t="shared" si="1"/>
        <v>1.395</v>
      </c>
      <c r="G81" s="110"/>
      <c r="H81" s="110"/>
      <c r="I81" s="98"/>
      <c r="K81" s="98"/>
    </row>
    <row r="82" spans="2:11">
      <c r="B82" s="106">
        <v>1960</v>
      </c>
      <c r="C82" s="109"/>
      <c r="D82" s="111">
        <v>5.2999999999999999E-2</v>
      </c>
      <c r="E82" s="111">
        <v>-6.2E-2</v>
      </c>
      <c r="F82" s="112">
        <f t="shared" si="1"/>
        <v>0.88500000000000001</v>
      </c>
      <c r="G82" s="110"/>
      <c r="H82" s="110"/>
      <c r="I82" s="98"/>
      <c r="K82" s="98"/>
    </row>
    <row r="83" spans="2:11">
      <c r="B83" s="106">
        <v>1961</v>
      </c>
      <c r="C83" s="109"/>
      <c r="D83" s="111">
        <v>4.9000000000000002E-2</v>
      </c>
      <c r="E83" s="111">
        <v>0.11600000000000001</v>
      </c>
      <c r="F83" s="112">
        <f t="shared" si="1"/>
        <v>1.0669999999999999</v>
      </c>
      <c r="G83" s="110"/>
      <c r="H83" s="110"/>
      <c r="I83" s="98"/>
      <c r="K83" s="98"/>
    </row>
    <row r="84" spans="2:11">
      <c r="B84" s="106">
        <v>1962</v>
      </c>
      <c r="C84" s="109"/>
      <c r="D84" s="111">
        <v>4.7E-2</v>
      </c>
      <c r="E84" s="111">
        <v>4.2000000000000003E-2</v>
      </c>
      <c r="F84" s="112">
        <f t="shared" si="1"/>
        <v>0.995</v>
      </c>
      <c r="G84" s="110"/>
      <c r="H84" s="110"/>
      <c r="I84" s="98"/>
      <c r="K84" s="98"/>
    </row>
    <row r="85" spans="2:11">
      <c r="B85" s="106">
        <v>1963</v>
      </c>
      <c r="C85" s="109"/>
      <c r="D85" s="111">
        <v>4.2999999999999997E-2</v>
      </c>
      <c r="E85" s="111">
        <v>0.26600000000000001</v>
      </c>
      <c r="F85" s="112">
        <f t="shared" si="1"/>
        <v>1.2230000000000001</v>
      </c>
      <c r="G85" s="110"/>
      <c r="H85" s="110"/>
      <c r="I85" s="98"/>
      <c r="K85" s="98"/>
    </row>
    <row r="86" spans="2:11">
      <c r="B86" s="106">
        <v>1964</v>
      </c>
      <c r="C86" s="109"/>
      <c r="D86" s="111">
        <v>4.8000000000000001E-2</v>
      </c>
      <c r="E86" s="111">
        <v>4.3999999999999997E-2</v>
      </c>
      <c r="F86" s="112">
        <f t="shared" si="1"/>
        <v>0.996</v>
      </c>
      <c r="G86" s="110"/>
      <c r="H86" s="110"/>
      <c r="I86" s="98"/>
      <c r="K86" s="98"/>
    </row>
    <row r="87" spans="2:11">
      <c r="B87" s="106">
        <v>1965</v>
      </c>
      <c r="C87" s="109"/>
      <c r="D87" s="111">
        <v>5.1999999999999998E-2</v>
      </c>
      <c r="E87" s="111">
        <v>-8.2000000000000003E-2</v>
      </c>
      <c r="F87" s="112">
        <f t="shared" si="1"/>
        <v>0.86599999999999999</v>
      </c>
      <c r="G87" s="110"/>
      <c r="H87" s="110"/>
      <c r="I87" s="98"/>
      <c r="K87" s="98"/>
    </row>
    <row r="88" spans="2:11">
      <c r="B88" s="106">
        <v>1966</v>
      </c>
      <c r="C88" s="109"/>
      <c r="D88" s="111">
        <v>0.05</v>
      </c>
      <c r="E88" s="111">
        <v>6.7000000000000004E-2</v>
      </c>
      <c r="F88" s="112">
        <f t="shared" si="1"/>
        <v>1.0169999999999999</v>
      </c>
      <c r="G88" s="110"/>
      <c r="H88" s="110"/>
      <c r="I88" s="98"/>
      <c r="K88" s="98"/>
    </row>
    <row r="89" spans="2:11">
      <c r="B89" s="106">
        <v>1967</v>
      </c>
      <c r="C89" s="109"/>
      <c r="D89" s="111">
        <v>5.0999999999999997E-2</v>
      </c>
      <c r="E89" s="111">
        <v>0.42499999999999999</v>
      </c>
      <c r="F89" s="112">
        <f t="shared" si="1"/>
        <v>1.3740000000000001</v>
      </c>
      <c r="G89" s="110"/>
      <c r="H89" s="110"/>
      <c r="I89" s="98"/>
      <c r="K89" s="98"/>
    </row>
    <row r="90" spans="2:11">
      <c r="B90" s="106">
        <v>1968</v>
      </c>
      <c r="C90" s="109"/>
      <c r="D90" s="111">
        <v>4.9000000000000002E-2</v>
      </c>
      <c r="E90" s="111">
        <v>0.34799999999999998</v>
      </c>
      <c r="F90" s="112">
        <f t="shared" si="1"/>
        <v>1.2989999999999999</v>
      </c>
      <c r="G90" s="110"/>
      <c r="H90" s="110"/>
      <c r="I90" s="98"/>
      <c r="K90" s="98"/>
    </row>
    <row r="91" spans="2:11">
      <c r="B91" s="106">
        <v>1969</v>
      </c>
      <c r="C91" s="109"/>
      <c r="D91" s="111">
        <v>5.6000000000000001E-2</v>
      </c>
      <c r="E91" s="111">
        <v>0.10100000000000001</v>
      </c>
      <c r="F91" s="112">
        <f t="shared" si="1"/>
        <v>1.0449999999999999</v>
      </c>
      <c r="G91" s="110"/>
      <c r="H91" s="110"/>
      <c r="I91" s="98"/>
      <c r="K91" s="98"/>
    </row>
    <row r="92" spans="2:11">
      <c r="B92" s="106">
        <v>1970</v>
      </c>
      <c r="C92" s="109"/>
      <c r="D92" s="111">
        <v>6.4000000000000001E-2</v>
      </c>
      <c r="E92" s="111">
        <v>-0.13700000000000001</v>
      </c>
      <c r="F92" s="112">
        <f t="shared" si="1"/>
        <v>0.79899999999999993</v>
      </c>
      <c r="G92" s="110"/>
      <c r="H92" s="110"/>
      <c r="I92" s="98"/>
      <c r="K92" s="98"/>
    </row>
    <row r="93" spans="2:11">
      <c r="B93" s="106">
        <v>1971</v>
      </c>
      <c r="C93" s="109"/>
      <c r="D93" s="111">
        <v>5.7000000000000002E-2</v>
      </c>
      <c r="E93" s="111">
        <v>-6.0999999999999999E-2</v>
      </c>
      <c r="F93" s="112">
        <f t="shared" si="1"/>
        <v>0.88200000000000001</v>
      </c>
      <c r="G93" s="110"/>
      <c r="H93" s="110"/>
      <c r="I93" s="98"/>
      <c r="K93" s="98"/>
    </row>
    <row r="94" spans="2:11">
      <c r="B94" s="106">
        <v>1972</v>
      </c>
      <c r="C94" s="111">
        <v>5.4000000000000006E-2</v>
      </c>
      <c r="D94" s="111">
        <v>5.2999999999999999E-2</v>
      </c>
      <c r="E94" s="111">
        <v>0.36399999999999999</v>
      </c>
      <c r="F94" s="112">
        <f t="shared" si="1"/>
        <v>1.3109999999999999</v>
      </c>
      <c r="G94" s="112">
        <f t="shared" ref="G94:G125" si="2">(E94-C94)+1</f>
        <v>1.31</v>
      </c>
      <c r="H94" s="110"/>
      <c r="I94" s="98"/>
      <c r="K94" s="98"/>
    </row>
    <row r="95" spans="2:11">
      <c r="B95" s="106">
        <v>1973</v>
      </c>
      <c r="C95" s="111">
        <v>8.2400000000000001E-2</v>
      </c>
      <c r="D95" s="111">
        <v>8.1000000000000003E-2</v>
      </c>
      <c r="E95" s="111">
        <v>-0.25800000000000001</v>
      </c>
      <c r="F95" s="112">
        <f t="shared" si="1"/>
        <v>0.66100000000000003</v>
      </c>
      <c r="G95" s="112">
        <f t="shared" si="2"/>
        <v>0.65959999999999996</v>
      </c>
      <c r="H95" s="110"/>
      <c r="I95" s="98"/>
      <c r="K95" s="98"/>
    </row>
    <row r="96" spans="2:11">
      <c r="B96" s="106">
        <v>1974</v>
      </c>
      <c r="C96" s="111">
        <v>9.1499999999999998E-2</v>
      </c>
      <c r="D96" s="111">
        <v>9.1999999999999998E-2</v>
      </c>
      <c r="E96" s="111">
        <v>-0.26200000000000001</v>
      </c>
      <c r="F96" s="112">
        <f t="shared" si="1"/>
        <v>0.64600000000000002</v>
      </c>
      <c r="G96" s="112">
        <f t="shared" si="2"/>
        <v>0.64649999999999996</v>
      </c>
      <c r="H96" s="110"/>
      <c r="I96" s="98"/>
      <c r="K96" s="98"/>
    </row>
    <row r="97" spans="2:11">
      <c r="B97" s="106">
        <v>1975</v>
      </c>
      <c r="C97" s="111">
        <v>9.3900000000000011E-2</v>
      </c>
      <c r="D97" s="111">
        <v>0.1</v>
      </c>
      <c r="E97" s="111">
        <v>0.54600000000000004</v>
      </c>
      <c r="F97" s="112">
        <f t="shared" si="1"/>
        <v>1.4460000000000002</v>
      </c>
      <c r="G97" s="112">
        <f t="shared" si="2"/>
        <v>1.4521000000000002</v>
      </c>
      <c r="H97" s="110"/>
      <c r="I97" s="98"/>
      <c r="K97" s="98"/>
    </row>
    <row r="98" spans="2:11">
      <c r="B98" s="106">
        <v>1976</v>
      </c>
      <c r="C98" s="111">
        <v>0.10210000000000001</v>
      </c>
      <c r="D98" s="111">
        <v>0.104</v>
      </c>
      <c r="E98" s="111">
        <v>3.5999999999999997E-2</v>
      </c>
      <c r="F98" s="112">
        <f t="shared" si="1"/>
        <v>0.93199999999999994</v>
      </c>
      <c r="G98" s="112">
        <f t="shared" si="2"/>
        <v>0.93389999999999995</v>
      </c>
      <c r="H98" s="110"/>
      <c r="I98" s="98"/>
      <c r="K98" s="98"/>
    </row>
    <row r="99" spans="2:11">
      <c r="B99" s="106">
        <v>1977</v>
      </c>
      <c r="C99" s="111">
        <v>9.5000000000000001E-2</v>
      </c>
      <c r="D99" s="111">
        <v>9.5000000000000001E-2</v>
      </c>
      <c r="E99" s="111">
        <v>0.13200000000000001</v>
      </c>
      <c r="F99" s="112">
        <f t="shared" si="1"/>
        <v>1.0369999999999999</v>
      </c>
      <c r="G99" s="112">
        <f t="shared" si="2"/>
        <v>1.0369999999999999</v>
      </c>
      <c r="H99" s="110"/>
      <c r="I99" s="98"/>
      <c r="K99" s="98"/>
    </row>
    <row r="100" spans="2:11">
      <c r="B100" s="106">
        <v>1978</v>
      </c>
      <c r="C100" s="111">
        <v>8.8000000000000009E-2</v>
      </c>
      <c r="D100" s="111">
        <v>8.7999999999999995E-2</v>
      </c>
      <c r="E100" s="111">
        <v>0.24299999999999999</v>
      </c>
      <c r="F100" s="112">
        <f t="shared" si="1"/>
        <v>1.155</v>
      </c>
      <c r="G100" s="112">
        <f t="shared" si="2"/>
        <v>1.155</v>
      </c>
      <c r="H100" s="110"/>
      <c r="I100" s="98"/>
      <c r="K100" s="98"/>
    </row>
    <row r="101" spans="2:11">
      <c r="B101" s="106">
        <v>1979</v>
      </c>
      <c r="C101" s="111">
        <v>0.1002</v>
      </c>
      <c r="D101" s="111">
        <v>0.10100000000000001</v>
      </c>
      <c r="E101" s="111">
        <v>0.39</v>
      </c>
      <c r="F101" s="112">
        <f t="shared" si="1"/>
        <v>1.2890000000000001</v>
      </c>
      <c r="G101" s="112">
        <f t="shared" si="2"/>
        <v>1.2898000000000001</v>
      </c>
      <c r="H101" s="110"/>
      <c r="I101" s="98"/>
      <c r="K101" s="98"/>
    </row>
    <row r="102" spans="2:11">
      <c r="B102" s="106">
        <v>1980</v>
      </c>
      <c r="C102" s="111">
        <v>0.12720000000000001</v>
      </c>
      <c r="D102" s="111">
        <v>0.126</v>
      </c>
      <c r="E102" s="111">
        <v>0.52300000000000002</v>
      </c>
      <c r="F102" s="112">
        <f t="shared" si="1"/>
        <v>1.397</v>
      </c>
      <c r="G102" s="112">
        <f t="shared" si="2"/>
        <v>1.3957999999999999</v>
      </c>
      <c r="H102" s="110"/>
      <c r="I102" s="98"/>
      <c r="K102" s="98"/>
    </row>
    <row r="103" spans="2:11">
      <c r="B103" s="106">
        <v>1981</v>
      </c>
      <c r="C103" s="111">
        <v>0.14899999999999999</v>
      </c>
      <c r="D103" s="111">
        <v>0.15</v>
      </c>
      <c r="E103" s="111">
        <v>-0.108</v>
      </c>
      <c r="F103" s="112">
        <f t="shared" si="1"/>
        <v>0.74199999999999999</v>
      </c>
      <c r="G103" s="112">
        <f t="shared" si="2"/>
        <v>0.74299999999999999</v>
      </c>
      <c r="H103" s="110"/>
      <c r="I103" s="98"/>
      <c r="K103" s="98"/>
    </row>
    <row r="104" spans="2:11">
      <c r="B104" s="106">
        <v>1982</v>
      </c>
      <c r="C104" s="111">
        <v>0.14000000000000001</v>
      </c>
      <c r="D104" s="111">
        <v>0.14000000000000001</v>
      </c>
      <c r="E104" s="111">
        <v>-0.153</v>
      </c>
      <c r="F104" s="112">
        <f t="shared" si="1"/>
        <v>0.70699999999999996</v>
      </c>
      <c r="G104" s="112">
        <f t="shared" si="2"/>
        <v>0.70699999999999996</v>
      </c>
      <c r="H104" s="110"/>
      <c r="I104" s="98"/>
      <c r="K104" s="98"/>
    </row>
    <row r="105" spans="2:11">
      <c r="B105" s="106">
        <v>1983</v>
      </c>
      <c r="C105" s="111">
        <v>0.128</v>
      </c>
      <c r="D105" s="111">
        <v>0.13500000000000001</v>
      </c>
      <c r="E105" s="111">
        <v>0.63700000000000001</v>
      </c>
      <c r="F105" s="112">
        <f t="shared" si="1"/>
        <v>1.502</v>
      </c>
      <c r="G105" s="112">
        <f t="shared" si="2"/>
        <v>1.5089999999999999</v>
      </c>
      <c r="H105" s="110"/>
      <c r="I105" s="98"/>
      <c r="K105" s="98"/>
    </row>
    <row r="106" spans="2:11">
      <c r="B106" s="106">
        <v>1984</v>
      </c>
      <c r="C106" s="111">
        <v>0.13100000000000001</v>
      </c>
      <c r="D106" s="111">
        <v>0.13400000000000001</v>
      </c>
      <c r="E106" s="111">
        <v>5.0000000000000001E-3</v>
      </c>
      <c r="F106" s="112">
        <f t="shared" si="1"/>
        <v>0.871</v>
      </c>
      <c r="G106" s="112">
        <f t="shared" si="2"/>
        <v>0.874</v>
      </c>
      <c r="H106" s="110"/>
      <c r="I106" s="98"/>
      <c r="K106" s="98"/>
    </row>
    <row r="107" spans="2:11">
      <c r="B107" s="106">
        <v>1985</v>
      </c>
      <c r="C107" s="111">
        <v>0.152</v>
      </c>
      <c r="D107" s="111">
        <v>0.14899999999999999</v>
      </c>
      <c r="E107" s="111">
        <v>0.42099999999999999</v>
      </c>
      <c r="F107" s="112">
        <f t="shared" si="1"/>
        <v>1.272</v>
      </c>
      <c r="G107" s="112">
        <f t="shared" si="2"/>
        <v>1.2690000000000001</v>
      </c>
      <c r="H107" s="110"/>
      <c r="I107" s="98"/>
      <c r="K107" s="98"/>
    </row>
    <row r="108" spans="2:11">
      <c r="B108" s="106">
        <v>1986</v>
      </c>
      <c r="C108" s="111">
        <v>0.13849999999999998</v>
      </c>
      <c r="D108" s="111">
        <v>0.13400000000000001</v>
      </c>
      <c r="E108" s="111">
        <v>0.51100000000000001</v>
      </c>
      <c r="F108" s="112">
        <f t="shared" si="1"/>
        <v>1.377</v>
      </c>
      <c r="G108" s="112">
        <f t="shared" si="2"/>
        <v>1.3725000000000001</v>
      </c>
      <c r="H108" s="110"/>
      <c r="I108" s="98"/>
      <c r="K108" s="98"/>
    </row>
    <row r="109" spans="2:11">
      <c r="B109" s="106">
        <v>1987</v>
      </c>
      <c r="C109" s="111">
        <v>0.1215</v>
      </c>
      <c r="D109" s="111">
        <v>0.129</v>
      </c>
      <c r="E109" s="111">
        <v>-9.6000000000000002E-2</v>
      </c>
      <c r="F109" s="112">
        <f t="shared" si="1"/>
        <v>0.77500000000000002</v>
      </c>
      <c r="G109" s="112">
        <f t="shared" si="2"/>
        <v>0.78249999999999997</v>
      </c>
      <c r="H109" s="110"/>
      <c r="I109" s="98"/>
      <c r="K109" s="98"/>
    </row>
    <row r="110" spans="2:11">
      <c r="B110" s="106">
        <v>1988</v>
      </c>
      <c r="C110" s="111">
        <v>0.13500000000000001</v>
      </c>
      <c r="D110" s="111">
        <v>0.13</v>
      </c>
      <c r="E110" s="111">
        <v>0.23441911764705881</v>
      </c>
      <c r="F110" s="112">
        <f t="shared" si="1"/>
        <v>1.1044191176470588</v>
      </c>
      <c r="G110" s="112">
        <f t="shared" si="2"/>
        <v>1.0994191176470589</v>
      </c>
      <c r="H110" s="110"/>
      <c r="I110" s="98"/>
      <c r="K110" s="98"/>
    </row>
    <row r="111" spans="2:11">
      <c r="B111" s="106">
        <v>1989</v>
      </c>
      <c r="C111" s="111">
        <v>0.13449999999999998</v>
      </c>
      <c r="D111" s="111">
        <v>0.129</v>
      </c>
      <c r="E111" s="111">
        <v>0.19957090163934427</v>
      </c>
      <c r="F111" s="112">
        <f t="shared" si="1"/>
        <v>1.0705709016393443</v>
      </c>
      <c r="G111" s="112">
        <f t="shared" si="2"/>
        <v>1.0650709016393443</v>
      </c>
      <c r="H111" s="110"/>
      <c r="I111" s="98"/>
      <c r="K111" s="98"/>
    </row>
    <row r="112" spans="2:11">
      <c r="B112" s="106">
        <v>1990</v>
      </c>
      <c r="C112" s="111">
        <v>0.11990000000000001</v>
      </c>
      <c r="D112" s="111">
        <v>0.121</v>
      </c>
      <c r="E112" s="111">
        <v>-0.13803934426229508</v>
      </c>
      <c r="F112" s="112">
        <f t="shared" si="1"/>
        <v>0.74096065573770487</v>
      </c>
      <c r="G112" s="112">
        <f t="shared" si="2"/>
        <v>0.74206065573770497</v>
      </c>
      <c r="H112" s="110"/>
      <c r="I112" s="98"/>
      <c r="K112" s="98"/>
    </row>
    <row r="113" spans="2:11">
      <c r="B113" s="106">
        <v>1991</v>
      </c>
      <c r="C113" s="111">
        <v>8.2200000000000009E-2</v>
      </c>
      <c r="D113" s="111">
        <v>9.4E-2</v>
      </c>
      <c r="E113" s="111">
        <v>0.2915190573770492</v>
      </c>
      <c r="F113" s="112">
        <f t="shared" si="1"/>
        <v>1.1975190573770491</v>
      </c>
      <c r="G113" s="112">
        <f t="shared" si="2"/>
        <v>1.2093190573770491</v>
      </c>
      <c r="H113" s="110"/>
      <c r="I113" s="98"/>
      <c r="K113" s="98"/>
    </row>
    <row r="114" spans="2:11">
      <c r="B114" s="106">
        <v>1992</v>
      </c>
      <c r="C114" s="111">
        <v>8.2400000000000001E-2</v>
      </c>
      <c r="D114" s="111">
        <v>8.8999999999999996E-2</v>
      </c>
      <c r="E114" s="111">
        <v>-1.0156147540983604E-2</v>
      </c>
      <c r="F114" s="112">
        <f t="shared" si="1"/>
        <v>0.90084385245901644</v>
      </c>
      <c r="G114" s="112">
        <f t="shared" si="2"/>
        <v>0.90744385245901638</v>
      </c>
      <c r="H114" s="110"/>
      <c r="I114" s="98"/>
      <c r="K114" s="98"/>
    </row>
    <row r="115" spans="2:11">
      <c r="B115" s="106">
        <v>1993</v>
      </c>
      <c r="C115" s="111">
        <v>6.1699999999999998E-2</v>
      </c>
      <c r="D115" s="111">
        <v>6.7000000000000004E-2</v>
      </c>
      <c r="E115" s="111">
        <v>0.45424570895522387</v>
      </c>
      <c r="F115" s="112">
        <f t="shared" si="1"/>
        <v>1.3872457089552239</v>
      </c>
      <c r="G115" s="112">
        <f t="shared" si="2"/>
        <v>1.392545708955224</v>
      </c>
      <c r="H115" s="110"/>
      <c r="I115" s="98"/>
      <c r="K115" s="98"/>
    </row>
    <row r="116" spans="2:11">
      <c r="B116" s="106">
        <v>1994</v>
      </c>
      <c r="C116" s="111">
        <v>0.10060000000000001</v>
      </c>
      <c r="D116" s="111">
        <v>0.1</v>
      </c>
      <c r="E116" s="111">
        <v>-4.9836194029850747E-2</v>
      </c>
      <c r="F116" s="112">
        <f t="shared" si="1"/>
        <v>0.85016380597014929</v>
      </c>
      <c r="G116" s="112">
        <f t="shared" si="2"/>
        <v>0.84956380597014924</v>
      </c>
      <c r="H116" s="110"/>
      <c r="I116" s="98"/>
      <c r="K116" s="98"/>
    </row>
    <row r="117" spans="2:11">
      <c r="B117" s="106">
        <v>1995</v>
      </c>
      <c r="C117" s="111">
        <v>7.8526315789473694E-2</v>
      </c>
      <c r="D117" s="111">
        <v>8.2000000000000003E-2</v>
      </c>
      <c r="E117" s="111">
        <v>0.22871093749999999</v>
      </c>
      <c r="F117" s="112">
        <f t="shared" si="1"/>
        <v>1.1467109375</v>
      </c>
      <c r="G117" s="112">
        <f t="shared" si="2"/>
        <v>1.1501846217105263</v>
      </c>
      <c r="H117" s="110"/>
      <c r="I117" s="98"/>
      <c r="K117" s="98"/>
    </row>
    <row r="118" spans="2:11">
      <c r="B118" s="106">
        <v>1996</v>
      </c>
      <c r="C118" s="111">
        <v>6.9264999999999993E-2</v>
      </c>
      <c r="D118" s="111">
        <v>7.3999999999999996E-2</v>
      </c>
      <c r="E118" s="111">
        <v>0.12933984375000002</v>
      </c>
      <c r="F118" s="112">
        <f t="shared" si="1"/>
        <v>1.0553398437500001</v>
      </c>
      <c r="G118" s="112">
        <f t="shared" si="2"/>
        <v>1.0600748437500001</v>
      </c>
      <c r="H118" s="110"/>
      <c r="I118" s="98"/>
      <c r="K118" s="98"/>
    </row>
    <row r="119" spans="2:11">
      <c r="B119" s="106">
        <v>1997</v>
      </c>
      <c r="C119" s="111">
        <v>5.8257142857142855E-2</v>
      </c>
      <c r="D119" s="111">
        <v>6.0999999999999999E-2</v>
      </c>
      <c r="E119" s="111">
        <v>0.13633984374999999</v>
      </c>
      <c r="F119" s="112">
        <f t="shared" si="1"/>
        <v>1.0753398437499999</v>
      </c>
      <c r="G119" s="112">
        <f t="shared" si="2"/>
        <v>1.0780827008928571</v>
      </c>
      <c r="H119" s="110"/>
      <c r="I119" s="98"/>
      <c r="K119" s="98"/>
    </row>
    <row r="120" spans="2:11">
      <c r="B120" s="106">
        <v>1998</v>
      </c>
      <c r="C120" s="111">
        <v>4.6104761904761905E-2</v>
      </c>
      <c r="D120" s="111">
        <v>0.05</v>
      </c>
      <c r="E120" s="111">
        <v>0.128165</v>
      </c>
      <c r="F120" s="112">
        <f t="shared" si="1"/>
        <v>1.078165</v>
      </c>
      <c r="G120" s="112">
        <f t="shared" si="2"/>
        <v>1.082060238095238</v>
      </c>
      <c r="H120" s="110"/>
      <c r="I120" s="98"/>
      <c r="K120" s="98"/>
    </row>
    <row r="121" spans="2:11">
      <c r="B121" s="106">
        <v>1999</v>
      </c>
      <c r="C121" s="111">
        <v>6.4880952380952386E-2</v>
      </c>
      <c r="D121" s="111">
        <v>7.0000000000000007E-2</v>
      </c>
      <c r="E121" s="111">
        <v>0.18451499999999998</v>
      </c>
      <c r="F121" s="112">
        <f t="shared" si="1"/>
        <v>1.1145149999999999</v>
      </c>
      <c r="G121" s="112">
        <f t="shared" si="2"/>
        <v>1.1196340476190476</v>
      </c>
      <c r="H121" s="110"/>
      <c r="I121" s="98"/>
      <c r="K121" s="98"/>
    </row>
    <row r="122" spans="2:11">
      <c r="B122" s="106">
        <v>2000</v>
      </c>
      <c r="C122" s="111">
        <v>5.4371052631578938E-2</v>
      </c>
      <c r="D122" s="111">
        <v>5.5E-2</v>
      </c>
      <c r="E122" s="111">
        <v>7.3775000000000007E-2</v>
      </c>
      <c r="F122" s="112">
        <f t="shared" si="1"/>
        <v>1.018775</v>
      </c>
      <c r="G122" s="112">
        <f t="shared" si="2"/>
        <v>1.0194039473684211</v>
      </c>
      <c r="H122" s="110"/>
      <c r="I122" s="98"/>
      <c r="K122" s="98"/>
    </row>
    <row r="123" spans="2:11">
      <c r="B123" s="106">
        <v>2001</v>
      </c>
      <c r="C123" s="111">
        <v>5.3278947368421044E-2</v>
      </c>
      <c r="D123" s="111">
        <v>0.06</v>
      </c>
      <c r="E123" s="111">
        <v>6.9385000000000002E-2</v>
      </c>
      <c r="F123" s="112">
        <f t="shared" si="1"/>
        <v>1.009385</v>
      </c>
      <c r="G123" s="112">
        <f t="shared" si="2"/>
        <v>1.016106052631579</v>
      </c>
      <c r="H123" s="110"/>
      <c r="I123" s="98"/>
      <c r="K123" s="98"/>
    </row>
    <row r="124" spans="2:11">
      <c r="B124" s="106">
        <v>2002</v>
      </c>
      <c r="C124" s="111">
        <v>4.9967499999999984E-2</v>
      </c>
      <c r="D124" s="111">
        <v>5.1999999999999998E-2</v>
      </c>
      <c r="E124" s="111">
        <v>-5.4265000000000001E-2</v>
      </c>
      <c r="F124" s="112">
        <f t="shared" si="1"/>
        <v>0.89373499999999995</v>
      </c>
      <c r="G124" s="112">
        <f t="shared" si="2"/>
        <v>0.89576750000000005</v>
      </c>
      <c r="H124" s="110"/>
      <c r="I124" s="98"/>
      <c r="K124" s="98"/>
    </row>
    <row r="125" spans="2:11">
      <c r="B125" s="106">
        <v>2003</v>
      </c>
      <c r="C125" s="111">
        <v>5.7054761904761914E-2</v>
      </c>
      <c r="D125" s="111">
        <v>5.6000000000000001E-2</v>
      </c>
      <c r="E125" s="111">
        <v>0.14576500000000001</v>
      </c>
      <c r="F125" s="112">
        <f t="shared" si="1"/>
        <v>1.0897650000000001</v>
      </c>
      <c r="G125" s="112">
        <f t="shared" si="2"/>
        <v>1.088710238095238</v>
      </c>
      <c r="H125" s="110"/>
      <c r="I125" s="98"/>
      <c r="K125" s="98"/>
    </row>
    <row r="126" spans="2:11">
      <c r="B126" s="106">
        <v>2004</v>
      </c>
      <c r="C126" s="111">
        <v>5.0999999999999997E-2</v>
      </c>
      <c r="D126" s="111">
        <v>5.2999999999999999E-2</v>
      </c>
      <c r="E126" s="111">
        <v>0.28645000000000004</v>
      </c>
      <c r="F126" s="112">
        <f t="shared" si="1"/>
        <v>1.2334499999999999</v>
      </c>
      <c r="G126" s="112">
        <f t="shared" ref="G126:G143" si="3">(E126-C126)+1</f>
        <v>1.2354500000000002</v>
      </c>
      <c r="H126" s="110"/>
      <c r="I126" s="98"/>
      <c r="K126" s="98"/>
    </row>
    <row r="127" spans="2:11">
      <c r="B127" s="106">
        <v>2005</v>
      </c>
      <c r="C127" s="111">
        <v>5.3427500000000003E-2</v>
      </c>
      <c r="D127" s="111">
        <v>5.1999999999999998E-2</v>
      </c>
      <c r="E127" s="111">
        <v>0.21470999999999998</v>
      </c>
      <c r="F127" s="112">
        <f t="shared" si="1"/>
        <v>1.1627099999999999</v>
      </c>
      <c r="G127" s="112">
        <f t="shared" si="3"/>
        <v>1.1612825</v>
      </c>
      <c r="H127" s="110"/>
      <c r="I127" s="98"/>
      <c r="K127" s="98"/>
    </row>
    <row r="128" spans="2:11">
      <c r="B128" s="106">
        <v>2006</v>
      </c>
      <c r="C128" s="111">
        <v>5.868421052631579E-2</v>
      </c>
      <c r="D128" s="111">
        <v>5.8999999999999997E-2</v>
      </c>
      <c r="E128" s="111">
        <v>0.25757999999999998</v>
      </c>
      <c r="F128" s="112">
        <f t="shared" si="1"/>
        <v>1.19858</v>
      </c>
      <c r="G128" s="112">
        <f t="shared" si="3"/>
        <v>1.1988957894736842</v>
      </c>
      <c r="H128" s="110"/>
      <c r="I128" s="98"/>
      <c r="K128" s="98"/>
    </row>
    <row r="129" spans="2:11">
      <c r="B129" s="106">
        <v>2007</v>
      </c>
      <c r="C129" s="111">
        <v>6.4636842105263159E-2</v>
      </c>
      <c r="D129" s="111">
        <v>6.3E-2</v>
      </c>
      <c r="E129" s="111">
        <v>0.23002</v>
      </c>
      <c r="F129" s="112">
        <f t="shared" si="1"/>
        <v>1.1670199999999999</v>
      </c>
      <c r="G129" s="112">
        <f t="shared" si="3"/>
        <v>1.1653831578947369</v>
      </c>
      <c r="H129" s="110"/>
      <c r="I129" s="98"/>
      <c r="K129" s="98"/>
    </row>
    <row r="130" spans="2:11">
      <c r="B130" s="106">
        <v>2008</v>
      </c>
      <c r="C130" s="111">
        <v>3.7221428571428558E-2</v>
      </c>
      <c r="D130" s="111">
        <v>0.04</v>
      </c>
      <c r="E130" s="111">
        <v>-0.4239</v>
      </c>
      <c r="F130" s="112">
        <f t="shared" si="1"/>
        <v>0.53610000000000002</v>
      </c>
      <c r="G130" s="112">
        <f t="shared" si="3"/>
        <v>0.53887857142857143</v>
      </c>
      <c r="H130" s="110"/>
      <c r="I130" s="98"/>
      <c r="K130" s="98"/>
    </row>
    <row r="131" spans="2:11">
      <c r="B131" s="106">
        <v>2009</v>
      </c>
      <c r="C131" s="111">
        <v>5.1500000000000004E-2</v>
      </c>
      <c r="D131" s="111">
        <v>5.7036397984886647E-2</v>
      </c>
      <c r="E131" s="111">
        <v>0.41251500000000002</v>
      </c>
      <c r="F131" s="112">
        <f t="shared" si="1"/>
        <v>1.3554786020151135</v>
      </c>
      <c r="G131" s="112">
        <f t="shared" si="3"/>
        <v>1.3610150000000001</v>
      </c>
      <c r="H131" s="110"/>
      <c r="I131" s="98"/>
      <c r="K131" s="98"/>
    </row>
    <row r="132" spans="2:11">
      <c r="B132" s="106">
        <v>2010</v>
      </c>
      <c r="C132" s="111">
        <v>5.33E-2</v>
      </c>
      <c r="D132" s="111">
        <v>5.5363291139240503E-2</v>
      </c>
      <c r="E132" s="111">
        <v>7.1864999999999998E-2</v>
      </c>
      <c r="F132" s="112">
        <f t="shared" si="1"/>
        <v>1.0165017088607595</v>
      </c>
      <c r="G132" s="112">
        <f t="shared" si="3"/>
        <v>1.0185649999999999</v>
      </c>
      <c r="H132" s="110"/>
      <c r="I132" s="98"/>
      <c r="K132" s="98"/>
    </row>
    <row r="133" spans="2:11">
      <c r="B133" s="106">
        <v>2011</v>
      </c>
      <c r="C133" s="111">
        <v>3.3349999999999998E-2</v>
      </c>
      <c r="D133" s="111">
        <v>3.7345070422535209E-2</v>
      </c>
      <c r="E133" s="111">
        <v>-7.609500000000001E-2</v>
      </c>
      <c r="F133" s="112">
        <f t="shared" si="1"/>
        <v>0.88655992957746477</v>
      </c>
      <c r="G133" s="112">
        <f t="shared" si="3"/>
        <v>0.89055499999999999</v>
      </c>
      <c r="H133" s="110"/>
      <c r="I133" s="98"/>
      <c r="K133" s="98"/>
    </row>
    <row r="134" spans="2:11">
      <c r="B134" s="106">
        <v>2012</v>
      </c>
      <c r="C134" s="111">
        <v>2.8250000000000001E-2</v>
      </c>
      <c r="D134" s="111">
        <v>3.2481964285714288E-2</v>
      </c>
      <c r="E134" s="111">
        <v>0.14788000000000001</v>
      </c>
      <c r="F134" s="112">
        <f t="shared" ref="F134:F143" si="4">(E134-D134)+1</f>
        <v>1.1153980357142856</v>
      </c>
      <c r="G134" s="112">
        <f t="shared" si="3"/>
        <v>1.1196299999999999</v>
      </c>
      <c r="H134" s="110"/>
      <c r="I134" s="98"/>
      <c r="K134" s="98"/>
    </row>
    <row r="135" spans="2:11">
      <c r="B135" s="106">
        <v>2013</v>
      </c>
      <c r="C135" s="111">
        <v>3.4575000000000002E-2</v>
      </c>
      <c r="D135" s="111">
        <v>4.1948087431693988E-2</v>
      </c>
      <c r="E135" s="111">
        <v>0.19029499999999999</v>
      </c>
      <c r="F135" s="112">
        <f t="shared" si="4"/>
        <v>1.1483469125683059</v>
      </c>
      <c r="G135" s="112">
        <f t="shared" si="3"/>
        <v>1.1557200000000001</v>
      </c>
      <c r="H135" s="110"/>
      <c r="I135" s="98"/>
      <c r="K135" s="98"/>
    </row>
    <row r="136" spans="2:11">
      <c r="B136" s="106">
        <v>2014</v>
      </c>
      <c r="C136" s="111">
        <v>2.435E-2</v>
      </c>
      <c r="D136" s="111">
        <v>2.7871917808219179E-2</v>
      </c>
      <c r="E136" s="111">
        <v>6.7295000000000008E-2</v>
      </c>
      <c r="F136" s="112">
        <f t="shared" si="4"/>
        <v>1.0394230821917809</v>
      </c>
      <c r="G136" s="112">
        <f t="shared" si="3"/>
        <v>1.042945</v>
      </c>
      <c r="H136" s="110"/>
      <c r="I136" s="98"/>
      <c r="K136" s="98"/>
    </row>
    <row r="137" spans="2:11">
      <c r="B137" s="106">
        <v>2015</v>
      </c>
      <c r="C137" s="111">
        <v>2.2850000000000002E-2</v>
      </c>
      <c r="D137" s="111">
        <v>2.8602328767123288E-2</v>
      </c>
      <c r="E137" s="111">
        <v>3.6749999999999998E-2</v>
      </c>
      <c r="F137" s="112">
        <f t="shared" si="4"/>
        <v>1.0081476712328767</v>
      </c>
      <c r="G137" s="112">
        <f t="shared" si="3"/>
        <v>1.0139</v>
      </c>
      <c r="H137" s="110"/>
      <c r="I137" s="98"/>
      <c r="K137" s="98"/>
    </row>
    <row r="138" spans="2:11">
      <c r="B138" s="106">
        <v>2016</v>
      </c>
      <c r="C138" s="111">
        <v>2.2400000000000003E-2</v>
      </c>
      <c r="D138" s="111">
        <v>2.7431232876712328E-2</v>
      </c>
      <c r="E138" s="111">
        <v>0.138905</v>
      </c>
      <c r="F138" s="112">
        <f t="shared" si="4"/>
        <v>1.1114737671232877</v>
      </c>
      <c r="G138" s="112">
        <f t="shared" si="3"/>
        <v>1.1165050000000001</v>
      </c>
      <c r="H138" s="110"/>
      <c r="I138" s="98"/>
      <c r="K138" s="98"/>
    </row>
    <row r="139" spans="2:11">
      <c r="B139" s="106">
        <v>2017</v>
      </c>
      <c r="C139" s="111">
        <v>2.2499999999999999E-2</v>
      </c>
      <c r="D139" s="111">
        <v>2.6373076923076923E-2</v>
      </c>
      <c r="E139" s="111">
        <v>0.14490500000000001</v>
      </c>
      <c r="F139" s="112">
        <f t="shared" si="4"/>
        <v>1.1185319230769231</v>
      </c>
      <c r="G139" s="112">
        <f t="shared" si="3"/>
        <v>1.1224050000000001</v>
      </c>
      <c r="H139" s="110"/>
      <c r="I139" s="98"/>
      <c r="K139" s="98"/>
    </row>
    <row r="140" spans="2:11">
      <c r="B140" s="106">
        <v>2018</v>
      </c>
      <c r="C140" s="111">
        <v>2.1000000000000001E-2</v>
      </c>
      <c r="D140" s="111">
        <v>2.3163245033112581E-2</v>
      </c>
      <c r="E140" s="111">
        <v>-2.1225000000000001E-2</v>
      </c>
      <c r="F140" s="112">
        <f t="shared" si="4"/>
        <v>0.95561175496688744</v>
      </c>
      <c r="G140" s="112">
        <f t="shared" si="3"/>
        <v>0.95777500000000004</v>
      </c>
      <c r="H140" s="110"/>
      <c r="I140" s="98"/>
      <c r="K140" s="98"/>
    </row>
    <row r="141" spans="2:11">
      <c r="B141" s="106">
        <v>2019</v>
      </c>
      <c r="C141" s="111">
        <v>8.8000000000000005E-3</v>
      </c>
      <c r="D141" s="111">
        <v>1.373314917127072E-2</v>
      </c>
      <c r="E141" s="111">
        <v>0.26632</v>
      </c>
      <c r="F141" s="112">
        <f t="shared" si="4"/>
        <v>1.2525868508287292</v>
      </c>
      <c r="G141" s="112">
        <f t="shared" si="3"/>
        <v>1.25752</v>
      </c>
      <c r="H141" s="110"/>
      <c r="I141" s="98"/>
      <c r="K141" s="98"/>
    </row>
    <row r="142" spans="2:11">
      <c r="B142" s="106">
        <v>2020</v>
      </c>
      <c r="C142" s="111">
        <v>3.4000000000000002E-3</v>
      </c>
      <c r="D142" s="111">
        <v>9.7192307692307682E-3</v>
      </c>
      <c r="E142" s="111">
        <v>4.0045000000000004E-2</v>
      </c>
      <c r="F142" s="112">
        <f t="shared" si="4"/>
        <v>1.0303257692307692</v>
      </c>
      <c r="G142" s="112">
        <f t="shared" si="3"/>
        <v>1.036645</v>
      </c>
      <c r="H142" s="110"/>
      <c r="I142" s="98"/>
      <c r="K142" s="98"/>
    </row>
    <row r="143" spans="2:11">
      <c r="B143" s="106">
        <v>2021</v>
      </c>
      <c r="C143" s="111">
        <v>1.32E-2</v>
      </c>
      <c r="D143" s="111">
        <v>1.6732967032967033E-2</v>
      </c>
      <c r="E143" s="111">
        <v>0.159995</v>
      </c>
      <c r="F143" s="112">
        <f t="shared" si="4"/>
        <v>1.1432620329670329</v>
      </c>
      <c r="G143" s="112">
        <f t="shared" si="3"/>
        <v>1.146795</v>
      </c>
      <c r="H143" s="109"/>
      <c r="I143" s="98"/>
      <c r="K143" s="98"/>
    </row>
    <row r="144" spans="2:11" s="285" customFormat="1">
      <c r="B144" s="286"/>
      <c r="C144" s="109"/>
      <c r="D144" s="109"/>
      <c r="E144" s="109"/>
      <c r="F144" s="110"/>
      <c r="G144" s="110"/>
      <c r="H144" s="110"/>
      <c r="I144" s="287"/>
      <c r="K144" s="287"/>
    </row>
    <row r="145" spans="2:12" s="285" customFormat="1">
      <c r="B145" s="260" t="s">
        <v>527</v>
      </c>
      <c r="C145" s="259"/>
      <c r="D145" s="276"/>
      <c r="E145" s="276"/>
      <c r="F145" s="276"/>
      <c r="G145" s="276"/>
      <c r="H145" s="276"/>
      <c r="I145" s="287"/>
      <c r="K145" s="287"/>
    </row>
    <row r="146" spans="2:12">
      <c r="I146" s="276"/>
      <c r="J146" s="276"/>
      <c r="K146" s="276"/>
      <c r="L146" s="276"/>
    </row>
    <row r="147" spans="2:12" hidden="1">
      <c r="C147" s="108"/>
      <c r="D147" s="108"/>
      <c r="E147" s="108"/>
      <c r="F147" s="108"/>
      <c r="G147" s="108"/>
      <c r="H147" s="100"/>
    </row>
    <row r="148" spans="2:12" hidden="1">
      <c r="C148" s="108"/>
      <c r="D148" s="108"/>
      <c r="E148" s="108"/>
      <c r="F148" s="108"/>
      <c r="G148" s="108"/>
      <c r="H148" s="100"/>
    </row>
    <row r="149" spans="2:12" hidden="1">
      <c r="C149" s="108"/>
      <c r="D149" s="108"/>
      <c r="E149" s="108"/>
      <c r="F149" s="108"/>
      <c r="G149" s="108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5D57-1EF0-3843-BC2C-2C00E9364689}">
  <sheetPr>
    <tabColor rgb="FFFFFFCC"/>
  </sheetPr>
  <dimension ref="A1:AN45"/>
  <sheetViews>
    <sheetView showGridLines="0" zoomScale="80" zoomScaleNormal="80" workbookViewId="0">
      <selection activeCell="I6" sqref="I6"/>
    </sheetView>
  </sheetViews>
  <sheetFormatPr defaultColWidth="0" defaultRowHeight="15" zeroHeight="1"/>
  <cols>
    <col min="1" max="1" width="5" style="33" customWidth="1"/>
    <col min="2" max="2" width="15.28515625" style="33" customWidth="1"/>
    <col min="3" max="3" width="22" style="33" customWidth="1"/>
    <col min="4" max="4" width="17.85546875" style="33" customWidth="1"/>
    <col min="5" max="5" width="12.28515625" style="33" customWidth="1"/>
    <col min="6" max="6" width="12.42578125" style="33" customWidth="1"/>
    <col min="7" max="7" width="10.140625" style="33" customWidth="1"/>
    <col min="8" max="8" width="10.42578125" style="33" customWidth="1"/>
    <col min="9" max="9" width="20.28515625" style="33" customWidth="1"/>
    <col min="10" max="10" width="12.85546875" style="33" customWidth="1"/>
    <col min="11" max="12" width="17.85546875" style="33" customWidth="1"/>
    <col min="13" max="13" width="12.42578125" style="33" customWidth="1"/>
    <col min="14" max="14" width="9.28515625" style="33" bestFit="1" customWidth="1"/>
    <col min="15" max="15" width="14" style="33" customWidth="1"/>
    <col min="16" max="16" width="17.42578125" style="33" customWidth="1"/>
    <col min="17" max="17" width="11.85546875" style="33" customWidth="1"/>
    <col min="18" max="18" width="12.85546875" style="33" bestFit="1" customWidth="1"/>
    <col min="19" max="19" width="11.85546875" style="33" customWidth="1"/>
    <col min="20" max="29" width="11.85546875" style="33" hidden="1" customWidth="1"/>
    <col min="30" max="30" width="16.140625" style="33" hidden="1" customWidth="1"/>
    <col min="31" max="31" width="11" style="9" hidden="1" customWidth="1"/>
    <col min="32" max="40" width="16.140625" style="9" hidden="1" customWidth="1"/>
    <col min="41" max="16384" width="0" style="9" hidden="1"/>
  </cols>
  <sheetData>
    <row r="1" spans="1:31" s="84" customFormat="1" ht="26.25">
      <c r="B1" s="85" t="s">
        <v>480</v>
      </c>
      <c r="C1" s="86"/>
      <c r="D1" s="86"/>
      <c r="E1" s="86"/>
    </row>
    <row r="2" spans="1:3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1">
      <c r="A3" s="9"/>
      <c r="B3" s="277" t="s">
        <v>530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8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1">
      <c r="C4" s="45"/>
      <c r="O4" s="45"/>
      <c r="P4" s="45"/>
    </row>
    <row r="5" spans="1:31" s="122" customFormat="1" ht="78" customHeight="1">
      <c r="B5" s="127"/>
      <c r="C5" s="128" t="s">
        <v>97</v>
      </c>
      <c r="D5" s="128" t="s">
        <v>98</v>
      </c>
      <c r="E5" s="129" t="s">
        <v>99</v>
      </c>
      <c r="F5" s="129" t="s">
        <v>100</v>
      </c>
      <c r="G5" s="129" t="s">
        <v>101</v>
      </c>
      <c r="H5" s="129" t="s">
        <v>102</v>
      </c>
      <c r="I5" s="129" t="s">
        <v>9</v>
      </c>
      <c r="J5" s="130" t="s">
        <v>105</v>
      </c>
      <c r="K5" s="129" t="s">
        <v>103</v>
      </c>
      <c r="L5" s="129" t="s">
        <v>104</v>
      </c>
      <c r="M5" s="131" t="s">
        <v>106</v>
      </c>
      <c r="N5" s="121"/>
      <c r="O5" s="134"/>
      <c r="P5" s="128" t="s">
        <v>107</v>
      </c>
      <c r="Q5" s="128" t="s">
        <v>108</v>
      </c>
      <c r="R5" s="131" t="s">
        <v>481</v>
      </c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120"/>
    </row>
    <row r="6" spans="1:31">
      <c r="B6" s="132">
        <v>2011</v>
      </c>
      <c r="C6" s="233"/>
      <c r="D6" s="234">
        <v>5.3743915218287031E-2</v>
      </c>
      <c r="E6" s="139">
        <v>8.5731856686387289E-2</v>
      </c>
      <c r="F6" s="136">
        <f t="shared" ref="F6:F17" si="0">AVERAGE(D6,E6)</f>
        <v>6.9737885952337153E-2</v>
      </c>
      <c r="G6" s="235">
        <v>0.6</v>
      </c>
      <c r="H6" s="135">
        <f t="shared" ref="H6:H16" si="1">F6*G6</f>
        <v>4.1842731571402288E-2</v>
      </c>
      <c r="I6" s="140">
        <v>3.7693733993751088E-2</v>
      </c>
      <c r="J6" s="133"/>
      <c r="K6" s="136">
        <f t="shared" ref="K6:K17" si="2">I6+H6</f>
        <v>7.9536465565153369E-2</v>
      </c>
      <c r="L6" s="135">
        <f t="shared" ref="L6:L17" si="3">(D6*G6)+I6</f>
        <v>6.9940083124723301E-2</v>
      </c>
      <c r="M6" s="236">
        <v>3.5188382105569405E-2</v>
      </c>
      <c r="O6" s="132"/>
      <c r="P6" s="210" t="s">
        <v>482</v>
      </c>
      <c r="Q6" s="210" t="s">
        <v>483</v>
      </c>
      <c r="R6" s="211" t="s">
        <v>484</v>
      </c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</row>
    <row r="7" spans="1:31">
      <c r="B7" s="132">
        <v>2012</v>
      </c>
      <c r="C7" s="233"/>
      <c r="D7" s="234">
        <v>5.6210080038126886E-2</v>
      </c>
      <c r="E7" s="139">
        <v>8.7096751753610646E-2</v>
      </c>
      <c r="F7" s="136">
        <f t="shared" si="0"/>
        <v>7.1653415895868766E-2</v>
      </c>
      <c r="G7" s="235">
        <v>0.6</v>
      </c>
      <c r="H7" s="135">
        <f t="shared" si="1"/>
        <v>4.2992049537521261E-2</v>
      </c>
      <c r="I7" s="140">
        <v>3.2745733786678777E-2</v>
      </c>
      <c r="J7" s="133"/>
      <c r="K7" s="136">
        <f t="shared" si="2"/>
        <v>7.5737783324200031E-2</v>
      </c>
      <c r="L7" s="135">
        <f t="shared" si="3"/>
        <v>6.6471781809554903E-2</v>
      </c>
      <c r="M7" s="236">
        <v>3.8283156425534148E-2</v>
      </c>
      <c r="O7" s="132"/>
      <c r="P7" s="137">
        <f>I13 + 0.6*C13</f>
        <v>5.9897379013228703E-2</v>
      </c>
      <c r="Q7" s="137">
        <f>I13 + 0.6*F13</f>
        <v>6.2390302998840359E-2</v>
      </c>
      <c r="R7" s="138">
        <f t="shared" ref="R7:R11" si="4">P7-Q7</f>
        <v>-2.4929239856116558E-3</v>
      </c>
    </row>
    <row r="8" spans="1:31">
      <c r="B8" s="132">
        <v>2013</v>
      </c>
      <c r="C8" s="233"/>
      <c r="D8" s="234">
        <v>5.9753804366210694E-2</v>
      </c>
      <c r="E8" s="139">
        <v>7.0499724834387212E-2</v>
      </c>
      <c r="F8" s="136">
        <f t="shared" si="0"/>
        <v>6.5126764600298953E-2</v>
      </c>
      <c r="G8" s="235">
        <v>0.6</v>
      </c>
      <c r="H8" s="135">
        <f t="shared" si="1"/>
        <v>3.9076058760179368E-2</v>
      </c>
      <c r="I8" s="140">
        <v>4.2387997941488287E-2</v>
      </c>
      <c r="J8" s="133"/>
      <c r="K8" s="136">
        <f t="shared" si="2"/>
        <v>8.1464056701667648E-2</v>
      </c>
      <c r="L8" s="135">
        <f t="shared" si="3"/>
        <v>7.8240280561214709E-2</v>
      </c>
      <c r="M8" s="236">
        <v>4.2314505525474555E-2</v>
      </c>
      <c r="N8" s="126"/>
      <c r="O8" s="132"/>
      <c r="P8" s="137">
        <f>I14 + 0.6*C14</f>
        <v>5.038029901781086E-2</v>
      </c>
      <c r="Q8" s="137">
        <f>I14 + 0.6*F14</f>
        <v>5.5377008913192992E-2</v>
      </c>
      <c r="R8" s="138">
        <f t="shared" si="4"/>
        <v>-4.9967098953821315E-3</v>
      </c>
      <c r="S8"/>
      <c r="T8"/>
      <c r="U8"/>
      <c r="V8"/>
      <c r="W8"/>
      <c r="X8"/>
      <c r="Y8"/>
      <c r="Z8"/>
      <c r="AA8"/>
      <c r="AB8"/>
      <c r="AC8"/>
      <c r="AD8" s="46"/>
    </row>
    <row r="9" spans="1:31">
      <c r="B9" s="132">
        <v>2014</v>
      </c>
      <c r="C9" s="233"/>
      <c r="D9" s="234">
        <v>5.9000814656046785E-2</v>
      </c>
      <c r="E9" s="139">
        <v>8.0954989349247441E-2</v>
      </c>
      <c r="F9" s="136">
        <f t="shared" si="0"/>
        <v>6.9977902002647113E-2</v>
      </c>
      <c r="G9" s="235">
        <v>0.6</v>
      </c>
      <c r="H9" s="135">
        <f t="shared" si="1"/>
        <v>4.1986741201588268E-2</v>
      </c>
      <c r="I9" s="140">
        <v>2.8066128758795994E-2</v>
      </c>
      <c r="J9" s="133"/>
      <c r="K9" s="136">
        <f t="shared" si="2"/>
        <v>7.0052869960384262E-2</v>
      </c>
      <c r="L9" s="135">
        <f t="shared" si="3"/>
        <v>6.3466617552424054E-2</v>
      </c>
      <c r="M9" s="236">
        <v>4.220727247784728E-2</v>
      </c>
      <c r="N9" s="126"/>
      <c r="O9" s="132"/>
      <c r="P9" s="137">
        <f>I15 + 0.6*C15</f>
        <v>4.6342846630917291E-2</v>
      </c>
      <c r="Q9" s="137">
        <f>I15 + 0.6*F15</f>
        <v>5.7025759111367168E-2</v>
      </c>
      <c r="R9" s="138">
        <f t="shared" si="4"/>
        <v>-1.0682912480449877E-2</v>
      </c>
      <c r="S9"/>
      <c r="T9"/>
      <c r="U9"/>
      <c r="V9"/>
      <c r="W9"/>
      <c r="X9"/>
      <c r="Y9"/>
      <c r="Z9"/>
      <c r="AA9"/>
      <c r="AB9"/>
      <c r="AC9"/>
      <c r="AD9" s="46"/>
    </row>
    <row r="10" spans="1:31">
      <c r="B10" s="132">
        <v>2015</v>
      </c>
      <c r="C10" s="233"/>
      <c r="D10" s="234">
        <v>5.7184630962362037E-2</v>
      </c>
      <c r="E10" s="139">
        <v>8.2731968608934114E-2</v>
      </c>
      <c r="F10" s="136">
        <f t="shared" si="0"/>
        <v>6.9958299785648076E-2</v>
      </c>
      <c r="G10" s="235">
        <v>0.6</v>
      </c>
      <c r="H10" s="135">
        <f t="shared" si="1"/>
        <v>4.1974979871388846E-2</v>
      </c>
      <c r="I10" s="140">
        <v>2.8806852069848787E-2</v>
      </c>
      <c r="J10" s="133"/>
      <c r="K10" s="136">
        <f t="shared" si="2"/>
        <v>7.0781831941237633E-2</v>
      </c>
      <c r="L10" s="135">
        <f t="shared" si="3"/>
        <v>6.3117630647265999E-2</v>
      </c>
      <c r="M10" s="236">
        <v>4.0971271334000026E-2</v>
      </c>
      <c r="N10" s="126"/>
      <c r="O10" s="132"/>
      <c r="P10" s="137">
        <f>I16 + 0.6*C16</f>
        <v>5.3402965079398824E-2</v>
      </c>
      <c r="Q10" s="137">
        <f>I16 + 0.6*F16</f>
        <v>5.6760155289891756E-2</v>
      </c>
      <c r="R10" s="138">
        <f t="shared" si="4"/>
        <v>-3.3571902104929316E-3</v>
      </c>
      <c r="S10"/>
      <c r="T10"/>
      <c r="U10"/>
      <c r="V10"/>
      <c r="W10"/>
      <c r="X10"/>
      <c r="Y10"/>
      <c r="Z10"/>
      <c r="AA10"/>
      <c r="AB10"/>
      <c r="AC10"/>
      <c r="AD10" s="46"/>
    </row>
    <row r="11" spans="1:31">
      <c r="B11" s="132">
        <v>2016</v>
      </c>
      <c r="C11" s="233"/>
      <c r="D11" s="234">
        <v>5.9056670140325007E-2</v>
      </c>
      <c r="E11" s="139">
        <v>7.6105493991882045E-2</v>
      </c>
      <c r="F11" s="136">
        <f t="shared" si="0"/>
        <v>6.7581082066103526E-2</v>
      </c>
      <c r="G11" s="235">
        <v>0.6</v>
      </c>
      <c r="H11" s="135">
        <f t="shared" si="1"/>
        <v>4.0548649239662116E-2</v>
      </c>
      <c r="I11" s="140">
        <v>2.7619351010996329E-2</v>
      </c>
      <c r="J11" s="133"/>
      <c r="K11" s="136">
        <f t="shared" si="2"/>
        <v>6.8168000250658445E-2</v>
      </c>
      <c r="L11" s="135">
        <f t="shared" si="3"/>
        <v>6.3053353095191333E-2</v>
      </c>
      <c r="M11" s="236">
        <v>4.3326262800743809E-2</v>
      </c>
      <c r="N11" s="126"/>
      <c r="O11" s="132"/>
      <c r="P11" s="137">
        <f>I17 + 0.6*C17</f>
        <v>5.78335223852013E-2</v>
      </c>
      <c r="Q11" s="137">
        <f>I17 + 0.6*F17</f>
        <v>5.9150112050525512E-2</v>
      </c>
      <c r="R11" s="138">
        <f t="shared" si="4"/>
        <v>-1.3165896653242123E-3</v>
      </c>
      <c r="S11"/>
      <c r="T11"/>
      <c r="U11"/>
      <c r="V11"/>
      <c r="W11"/>
      <c r="X11"/>
      <c r="Y11"/>
      <c r="Z11"/>
      <c r="AA11"/>
      <c r="AB11"/>
      <c r="AC11"/>
      <c r="AD11" s="46"/>
      <c r="AE11" s="11"/>
    </row>
    <row r="12" spans="1:31" ht="15.75" thickBot="1">
      <c r="B12" s="132">
        <v>2017</v>
      </c>
      <c r="C12" s="237">
        <v>6.0999999999999999E-2</v>
      </c>
      <c r="D12" s="234">
        <v>6.103917857154495E-2</v>
      </c>
      <c r="E12" s="139">
        <v>7.2589608740583594E-2</v>
      </c>
      <c r="F12" s="136">
        <f t="shared" si="0"/>
        <v>6.6814393656064272E-2</v>
      </c>
      <c r="G12" s="235">
        <v>0.6</v>
      </c>
      <c r="H12" s="135">
        <f t="shared" si="1"/>
        <v>4.008863619363856E-2</v>
      </c>
      <c r="I12" s="140">
        <v>2.65469617196743E-2</v>
      </c>
      <c r="J12" s="133"/>
      <c r="K12" s="136">
        <f t="shared" si="2"/>
        <v>6.6635597913312861E-2</v>
      </c>
      <c r="L12" s="135">
        <f t="shared" si="3"/>
        <v>6.3170468862601276E-2</v>
      </c>
      <c r="M12" s="236">
        <v>4.5749697886197094E-2</v>
      </c>
      <c r="N12" s="126"/>
      <c r="O12" s="143" t="s">
        <v>3</v>
      </c>
      <c r="P12" s="141">
        <f>AVERAGE(P7:P11)</f>
        <v>5.3571402425311401E-2</v>
      </c>
      <c r="Q12" s="141">
        <f>AVERAGE(Q7:Q11)</f>
        <v>5.814066767276356E-2</v>
      </c>
      <c r="R12" s="142">
        <f>P12-Q12</f>
        <v>-4.5692652474521589E-3</v>
      </c>
      <c r="S12"/>
      <c r="T12"/>
      <c r="U12"/>
      <c r="V12"/>
      <c r="W12"/>
      <c r="X12"/>
      <c r="Y12"/>
      <c r="Z12"/>
      <c r="AA12"/>
      <c r="AB12"/>
      <c r="AC12"/>
      <c r="AD12" s="46"/>
      <c r="AE12" s="10"/>
    </row>
    <row r="13" spans="1:31" ht="15.75" thickTop="1">
      <c r="B13" s="132">
        <v>2018</v>
      </c>
      <c r="C13" s="237">
        <v>6.0999999999999999E-2</v>
      </c>
      <c r="D13" s="234">
        <v>5.7638293939136664E-2</v>
      </c>
      <c r="E13" s="139">
        <v>7.2671452679568885E-2</v>
      </c>
      <c r="F13" s="136">
        <f t="shared" si="0"/>
        <v>6.5154873309352768E-2</v>
      </c>
      <c r="G13" s="235">
        <v>0.6</v>
      </c>
      <c r="H13" s="135">
        <f t="shared" si="1"/>
        <v>3.9092923985611656E-2</v>
      </c>
      <c r="I13" s="140">
        <v>2.3297379013228703E-2</v>
      </c>
      <c r="J13" s="135">
        <f>(C13*G13)+I13</f>
        <v>5.9897379013228703E-2</v>
      </c>
      <c r="K13" s="136">
        <f t="shared" si="2"/>
        <v>6.2390302998840359E-2</v>
      </c>
      <c r="L13" s="135">
        <f t="shared" si="3"/>
        <v>5.7880355376710699E-2</v>
      </c>
      <c r="M13" s="236">
        <v>4.2713424802374833E-2</v>
      </c>
      <c r="N13" s="12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1">
      <c r="B14" s="132">
        <v>2019</v>
      </c>
      <c r="C14" s="237">
        <v>6.0999999999999999E-2</v>
      </c>
      <c r="D14" s="234">
        <v>6.3730436341936425E-2</v>
      </c>
      <c r="E14" s="139">
        <v>7.4925263309337353E-2</v>
      </c>
      <c r="F14" s="136">
        <f t="shared" si="0"/>
        <v>6.9327849825636889E-2</v>
      </c>
      <c r="G14" s="235">
        <v>0.6</v>
      </c>
      <c r="H14" s="135">
        <f t="shared" si="1"/>
        <v>4.1596709895382132E-2</v>
      </c>
      <c r="I14" s="140">
        <v>1.378029901781086E-2</v>
      </c>
      <c r="J14" s="135">
        <f>(C14*G14)+I14</f>
        <v>5.038029901781086E-2</v>
      </c>
      <c r="K14" s="136">
        <f t="shared" si="2"/>
        <v>5.5377008913192992E-2</v>
      </c>
      <c r="L14" s="135">
        <f t="shared" si="3"/>
        <v>5.2018560822972716E-2</v>
      </c>
      <c r="M14" s="236">
        <v>4.8706126553465623E-2</v>
      </c>
      <c r="N14" s="12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1">
      <c r="B15" s="132">
        <v>2020</v>
      </c>
      <c r="C15" s="237">
        <v>6.0999999999999999E-2</v>
      </c>
      <c r="D15" s="234">
        <v>6.2718173702204227E-2</v>
      </c>
      <c r="E15" s="139">
        <v>9.4891534565962027E-2</v>
      </c>
      <c r="F15" s="136">
        <f>AVERAGE(D15,E15)</f>
        <v>7.8804854134083127E-2</v>
      </c>
      <c r="G15" s="235">
        <v>0.6</v>
      </c>
      <c r="H15" s="135">
        <f t="shared" si="1"/>
        <v>4.7282912480449878E-2</v>
      </c>
      <c r="I15" s="140">
        <v>9.7428466309172901E-3</v>
      </c>
      <c r="J15" s="135">
        <f>(C15*G15)+I15</f>
        <v>4.6342846630917291E-2</v>
      </c>
      <c r="K15" s="136">
        <f t="shared" si="2"/>
        <v>5.7025759111367168E-2</v>
      </c>
      <c r="L15" s="135">
        <f t="shared" si="3"/>
        <v>4.7373750852239827E-2</v>
      </c>
      <c r="M15" s="236">
        <v>4.814435773828718E-2</v>
      </c>
      <c r="N15" s="12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1">
      <c r="B16" s="132">
        <v>2021</v>
      </c>
      <c r="C16" s="237">
        <v>6.0999999999999999E-2</v>
      </c>
      <c r="D16" s="136">
        <f>'Verified Inputs'!$C$9</f>
        <v>6.5087110739404874E-2</v>
      </c>
      <c r="E16" s="139">
        <v>6.8103523295571566E-2</v>
      </c>
      <c r="F16" s="136">
        <f t="shared" si="0"/>
        <v>6.659531701748822E-2</v>
      </c>
      <c r="G16" s="235">
        <v>0.6</v>
      </c>
      <c r="H16" s="135">
        <f t="shared" si="1"/>
        <v>3.9957190210492932E-2</v>
      </c>
      <c r="I16" s="140">
        <v>1.6802965079398824E-2</v>
      </c>
      <c r="J16" s="135">
        <f>(C16*G16)+I16</f>
        <v>5.3402965079398824E-2</v>
      </c>
      <c r="K16" s="136">
        <f t="shared" si="2"/>
        <v>5.6760155289891756E-2</v>
      </c>
      <c r="L16" s="135">
        <f t="shared" si="3"/>
        <v>5.5855231523041747E-2</v>
      </c>
      <c r="M16" s="236">
        <v>5.0825614055431734E-2</v>
      </c>
      <c r="N16" s="12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0">
      <c r="B17" s="132">
        <v>2022</v>
      </c>
      <c r="C17" s="237">
        <v>6.0999999999999999E-2</v>
      </c>
      <c r="D17" s="136">
        <f>'Verified Inputs'!$C$9</f>
        <v>6.5087110739404874E-2</v>
      </c>
      <c r="E17" s="140">
        <v>6.1301521478342502E-2</v>
      </c>
      <c r="F17" s="136">
        <f t="shared" si="0"/>
        <v>6.3194316108873688E-2</v>
      </c>
      <c r="G17" s="250">
        <f>'Verified Inputs'!C12</f>
        <v>0.6</v>
      </c>
      <c r="H17" s="135">
        <f>F17*G17</f>
        <v>3.7916589665324213E-2</v>
      </c>
      <c r="I17" s="135">
        <f>'Verified Inputs'!$C$7</f>
        <v>2.1233522385201299E-2</v>
      </c>
      <c r="J17" s="135">
        <f>(C17*G17)+I17</f>
        <v>5.78335223852013E-2</v>
      </c>
      <c r="K17" s="136">
        <f t="shared" si="2"/>
        <v>5.9150112050525512E-2</v>
      </c>
      <c r="L17" s="135">
        <f t="shared" si="3"/>
        <v>6.0285788828844222E-2</v>
      </c>
      <c r="M17" s="238">
        <f>M16</f>
        <v>5.0825614055431734E-2</v>
      </c>
      <c r="N17" s="12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2:30">
      <c r="B18" s="239" t="s">
        <v>3</v>
      </c>
      <c r="C18" s="240"/>
      <c r="D18" s="240"/>
      <c r="E18" s="240"/>
      <c r="F18" s="240"/>
      <c r="G18" s="240"/>
      <c r="H18" s="240"/>
      <c r="I18" s="240"/>
      <c r="J18" s="241">
        <f>AVERAGE(J6:J17)</f>
        <v>5.3571402425311401E-2</v>
      </c>
      <c r="K18" s="241">
        <f>AVERAGE(K6:K17)</f>
        <v>6.692332866836935E-2</v>
      </c>
      <c r="L18" s="241">
        <f>AVERAGE(L6:L17)</f>
        <v>6.1739491921398736E-2</v>
      </c>
      <c r="M18" s="242"/>
      <c r="N18" s="46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46"/>
    </row>
    <row r="19" spans="2:30"/>
    <row r="20" spans="2:30"/>
    <row r="21" spans="2:30"/>
    <row r="22" spans="2:30"/>
    <row r="23" spans="2:30"/>
    <row r="24" spans="2:30"/>
    <row r="25" spans="2:30">
      <c r="F25" s="47"/>
      <c r="G25" s="46"/>
    </row>
    <row r="26" spans="2:30"/>
    <row r="27" spans="2:30"/>
    <row r="28" spans="2:30"/>
    <row r="29" spans="2:30"/>
    <row r="30" spans="2:30"/>
    <row r="31" spans="2:30"/>
    <row r="32" spans="2:30"/>
    <row r="33" spans="2:18"/>
    <row r="34" spans="2:18"/>
    <row r="35" spans="2:18"/>
    <row r="36" spans="2:18"/>
    <row r="37" spans="2:18"/>
    <row r="38" spans="2:18"/>
    <row r="39" spans="2:18"/>
    <row r="40" spans="2:18"/>
    <row r="41" spans="2:18"/>
    <row r="42" spans="2:18"/>
    <row r="43" spans="2:18"/>
    <row r="44" spans="2:18">
      <c r="B44" s="260" t="s">
        <v>527</v>
      </c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</row>
    <row r="45" spans="2:18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D1ED-A0D6-3D44-930A-A0C56AD4CB44}">
  <sheetPr>
    <tabColor rgb="FFFFFFCC"/>
  </sheetPr>
  <dimension ref="A1:Y314"/>
  <sheetViews>
    <sheetView showGridLines="0" zoomScale="85" workbookViewId="0">
      <pane ySplit="4" topLeftCell="A271" activePane="bottomLeft" state="frozen"/>
      <selection activeCell="B2" sqref="B2"/>
      <selection pane="bottomLeft" activeCell="D2" sqref="D2"/>
    </sheetView>
  </sheetViews>
  <sheetFormatPr defaultColWidth="0" defaultRowHeight="15" zeroHeight="1"/>
  <cols>
    <col min="1" max="1" width="4.140625" style="12" customWidth="1"/>
    <col min="2" max="2" width="14.85546875" style="36" customWidth="1"/>
    <col min="3" max="6" width="8.85546875" style="36" customWidth="1"/>
    <col min="7" max="14" width="8.85546875" style="36" hidden="1" customWidth="1"/>
    <col min="15" max="15" width="13.7109375" style="36" hidden="1" customWidth="1"/>
    <col min="16" max="16" width="14.42578125" style="36" hidden="1" customWidth="1"/>
    <col min="17" max="19" width="8.85546875" style="36" hidden="1" customWidth="1"/>
    <col min="20" max="25" width="0" style="12" hidden="1" customWidth="1"/>
    <col min="26" max="16384" width="8.85546875" style="12" hidden="1"/>
  </cols>
  <sheetData>
    <row r="1" spans="2:19" s="92" customFormat="1" ht="26.25">
      <c r="B1" s="89" t="s">
        <v>485</v>
      </c>
      <c r="D1" s="90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2:19" s="92" customFormat="1" ht="21">
      <c r="B2" s="296"/>
      <c r="C2" s="29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2:19" s="92" customFormat="1" ht="21">
      <c r="B3" s="296"/>
      <c r="C3" s="29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2:19">
      <c r="B4" s="36" t="s">
        <v>109</v>
      </c>
      <c r="C4" s="36" t="s">
        <v>46</v>
      </c>
      <c r="D4" s="290" t="s">
        <v>9</v>
      </c>
    </row>
    <row r="5" spans="2:19">
      <c r="B5" s="36" t="s">
        <v>110</v>
      </c>
      <c r="C5" s="36" t="str">
        <f t="shared" ref="C5:C68" si="0">MID(B5,1,4)</f>
        <v>1996</v>
      </c>
      <c r="D5" s="123">
        <v>8.1123809523809501E-2</v>
      </c>
    </row>
    <row r="6" spans="2:19">
      <c r="B6" s="36" t="s">
        <v>111</v>
      </c>
      <c r="C6" s="36" t="str">
        <f t="shared" si="0"/>
        <v>1996</v>
      </c>
      <c r="D6" s="123">
        <v>8.2485714285714301E-2</v>
      </c>
      <c r="N6" s="40"/>
    </row>
    <row r="7" spans="2:19">
      <c r="B7" s="36" t="s">
        <v>112</v>
      </c>
      <c r="C7" s="36" t="str">
        <f t="shared" si="0"/>
        <v>1996</v>
      </c>
      <c r="D7" s="123">
        <v>8.8080952380952399E-2</v>
      </c>
      <c r="N7" s="40"/>
    </row>
    <row r="8" spans="2:19">
      <c r="B8" s="36" t="s">
        <v>113</v>
      </c>
      <c r="C8" s="36" t="str">
        <f t="shared" si="0"/>
        <v>1996</v>
      </c>
      <c r="D8" s="123">
        <v>8.8736842105263197E-2</v>
      </c>
      <c r="O8" s="12"/>
      <c r="P8" s="12"/>
    </row>
    <row r="9" spans="2:19">
      <c r="B9" s="36" t="s">
        <v>116</v>
      </c>
      <c r="C9" s="36" t="str">
        <f t="shared" si="0"/>
        <v>1996</v>
      </c>
      <c r="D9" s="123">
        <v>8.8321739130434798E-2</v>
      </c>
      <c r="O9" s="12"/>
      <c r="P9" s="12"/>
    </row>
    <row r="10" spans="2:19">
      <c r="B10" s="36" t="s">
        <v>118</v>
      </c>
      <c r="C10" s="36" t="str">
        <f t="shared" si="0"/>
        <v>1996</v>
      </c>
      <c r="D10" s="123">
        <v>8.9315789473684196E-2</v>
      </c>
    </row>
    <row r="11" spans="2:19">
      <c r="B11" s="36" t="s">
        <v>120</v>
      </c>
      <c r="C11" s="36" t="str">
        <f t="shared" si="0"/>
        <v>1996</v>
      </c>
      <c r="D11" s="123">
        <v>8.6295652173912996E-2</v>
      </c>
    </row>
    <row r="12" spans="2:19">
      <c r="B12" s="36" t="s">
        <v>122</v>
      </c>
      <c r="C12" s="36" t="str">
        <f t="shared" si="0"/>
        <v>1996</v>
      </c>
      <c r="D12" s="123">
        <v>8.0399999999999999E-2</v>
      </c>
    </row>
    <row r="13" spans="2:19">
      <c r="B13" s="36" t="s">
        <v>124</v>
      </c>
      <c r="C13" s="36" t="str">
        <f t="shared" si="0"/>
        <v>1996</v>
      </c>
      <c r="D13" s="123">
        <v>8.0033333333333304E-2</v>
      </c>
    </row>
    <row r="14" spans="2:19">
      <c r="B14" s="36" t="s">
        <v>126</v>
      </c>
      <c r="C14" s="36" t="str">
        <f t="shared" si="0"/>
        <v>1996</v>
      </c>
      <c r="D14" s="123">
        <v>7.5504347826087004E-2</v>
      </c>
    </row>
    <row r="15" spans="2:19">
      <c r="B15" s="36" t="s">
        <v>128</v>
      </c>
      <c r="C15" s="36" t="str">
        <f t="shared" si="0"/>
        <v>1996</v>
      </c>
      <c r="D15" s="123">
        <v>7.1566666666666695E-2</v>
      </c>
    </row>
    <row r="16" spans="2:19">
      <c r="B16" s="36" t="s">
        <v>130</v>
      </c>
      <c r="C16" s="36" t="str">
        <f t="shared" si="0"/>
        <v>1996</v>
      </c>
      <c r="D16" s="123">
        <v>7.324E-2</v>
      </c>
    </row>
    <row r="17" spans="2:4">
      <c r="B17" s="36" t="s">
        <v>132</v>
      </c>
      <c r="C17" s="36" t="str">
        <f t="shared" si="0"/>
        <v>1997</v>
      </c>
      <c r="D17" s="123">
        <v>7.4590476190476193E-2</v>
      </c>
    </row>
    <row r="18" spans="2:4">
      <c r="B18" s="36" t="s">
        <v>134</v>
      </c>
      <c r="C18" s="36" t="str">
        <f t="shared" si="0"/>
        <v>1997</v>
      </c>
      <c r="D18" s="123">
        <v>7.3940000000000006E-2</v>
      </c>
    </row>
    <row r="19" spans="2:4">
      <c r="B19" s="36" t="s">
        <v>136</v>
      </c>
      <c r="C19" s="36" t="str">
        <f t="shared" si="0"/>
        <v>1997</v>
      </c>
      <c r="D19" s="123">
        <v>7.8994736842105298E-2</v>
      </c>
    </row>
    <row r="20" spans="2:4">
      <c r="B20" s="36" t="s">
        <v>138</v>
      </c>
      <c r="C20" s="36" t="str">
        <f t="shared" si="0"/>
        <v>1997</v>
      </c>
      <c r="D20" s="123">
        <v>7.9238095238095205E-2</v>
      </c>
    </row>
    <row r="21" spans="2:4">
      <c r="B21" s="36" t="s">
        <v>140</v>
      </c>
      <c r="C21" s="36" t="str">
        <f t="shared" si="0"/>
        <v>1997</v>
      </c>
      <c r="D21" s="123">
        <v>7.6745454545454603E-2</v>
      </c>
    </row>
    <row r="22" spans="2:4">
      <c r="B22" s="36" t="s">
        <v>142</v>
      </c>
      <c r="C22" s="36" t="str">
        <f t="shared" si="0"/>
        <v>1997</v>
      </c>
      <c r="D22" s="123">
        <v>7.1510000000000004E-2</v>
      </c>
    </row>
    <row r="23" spans="2:4">
      <c r="B23" s="36" t="s">
        <v>144</v>
      </c>
      <c r="C23" s="36" t="str">
        <f t="shared" si="0"/>
        <v>1997</v>
      </c>
      <c r="D23" s="123">
        <v>6.6426086956521802E-2</v>
      </c>
    </row>
    <row r="24" spans="2:4">
      <c r="B24" s="36" t="s">
        <v>146</v>
      </c>
      <c r="C24" s="36" t="str">
        <f t="shared" si="0"/>
        <v>1997</v>
      </c>
      <c r="D24" s="123">
        <v>6.6509523809523796E-2</v>
      </c>
    </row>
    <row r="25" spans="2:4">
      <c r="B25" s="36" t="s">
        <v>148</v>
      </c>
      <c r="C25" s="36" t="str">
        <f t="shared" si="0"/>
        <v>1997</v>
      </c>
      <c r="D25" s="123">
        <v>6.31136363636364E-2</v>
      </c>
    </row>
    <row r="26" spans="2:4">
      <c r="B26" s="36" t="s">
        <v>150</v>
      </c>
      <c r="C26" s="36" t="str">
        <f t="shared" si="0"/>
        <v>1997</v>
      </c>
      <c r="D26" s="123">
        <v>6.1821739130434802E-2</v>
      </c>
    </row>
    <row r="27" spans="2:4">
      <c r="B27" s="36" t="s">
        <v>152</v>
      </c>
      <c r="C27" s="36" t="str">
        <f t="shared" si="0"/>
        <v>1997</v>
      </c>
      <c r="D27" s="123">
        <v>6.0310000000000002E-2</v>
      </c>
    </row>
    <row r="28" spans="2:4">
      <c r="B28" s="36" t="s">
        <v>154</v>
      </c>
      <c r="C28" s="36" t="str">
        <f t="shared" si="0"/>
        <v>1997</v>
      </c>
      <c r="D28" s="123">
        <v>6.1390476190476197E-2</v>
      </c>
    </row>
    <row r="29" spans="2:4">
      <c r="B29" s="36" t="s">
        <v>156</v>
      </c>
      <c r="C29" s="36" t="str">
        <f t="shared" si="0"/>
        <v>1998</v>
      </c>
      <c r="D29" s="123">
        <v>5.806E-2</v>
      </c>
    </row>
    <row r="30" spans="2:4">
      <c r="B30" s="36" t="s">
        <v>158</v>
      </c>
      <c r="C30" s="36" t="str">
        <f t="shared" si="0"/>
        <v>1998</v>
      </c>
      <c r="D30" s="123">
        <v>5.8869999999999999E-2</v>
      </c>
    </row>
    <row r="31" spans="2:4">
      <c r="B31" s="36" t="s">
        <v>160</v>
      </c>
      <c r="C31" s="36" t="str">
        <f t="shared" si="0"/>
        <v>1998</v>
      </c>
      <c r="D31" s="123">
        <v>5.8650000000000001E-2</v>
      </c>
    </row>
    <row r="32" spans="2:4">
      <c r="B32" s="36" t="s">
        <v>162</v>
      </c>
      <c r="C32" s="36" t="str">
        <f t="shared" si="0"/>
        <v>1998</v>
      </c>
      <c r="D32" s="123">
        <v>5.6849999999999998E-2</v>
      </c>
    </row>
    <row r="33" spans="2:4">
      <c r="B33" s="36" t="s">
        <v>164</v>
      </c>
      <c r="C33" s="36" t="str">
        <f t="shared" si="0"/>
        <v>1998</v>
      </c>
      <c r="D33" s="123">
        <v>5.6390476190476199E-2</v>
      </c>
    </row>
    <row r="34" spans="2:4">
      <c r="B34" s="36" t="s">
        <v>166</v>
      </c>
      <c r="C34" s="36" t="str">
        <f t="shared" si="0"/>
        <v>1998</v>
      </c>
      <c r="D34" s="123">
        <v>5.5761904761904797E-2</v>
      </c>
    </row>
    <row r="35" spans="2:4">
      <c r="B35" s="36" t="s">
        <v>168</v>
      </c>
      <c r="C35" s="36" t="str">
        <f t="shared" si="0"/>
        <v>1998</v>
      </c>
      <c r="D35" s="123">
        <v>5.5213043478260899E-2</v>
      </c>
    </row>
    <row r="36" spans="2:4">
      <c r="B36" s="36" t="s">
        <v>169</v>
      </c>
      <c r="C36" s="36" t="str">
        <f t="shared" si="0"/>
        <v>1998</v>
      </c>
      <c r="D36" s="123">
        <v>5.6385714285714303E-2</v>
      </c>
    </row>
    <row r="37" spans="2:4">
      <c r="B37" s="36" t="s">
        <v>170</v>
      </c>
      <c r="C37" s="36" t="str">
        <f t="shared" si="0"/>
        <v>1998</v>
      </c>
      <c r="D37" s="123">
        <v>5.3459090909090901E-2</v>
      </c>
    </row>
    <row r="38" spans="2:4">
      <c r="B38" s="36" t="s">
        <v>171</v>
      </c>
      <c r="C38" s="36" t="str">
        <f t="shared" si="0"/>
        <v>1998</v>
      </c>
      <c r="D38" s="123">
        <v>4.9659090909090903E-2</v>
      </c>
    </row>
    <row r="39" spans="2:4">
      <c r="B39" s="36" t="s">
        <v>172</v>
      </c>
      <c r="C39" s="36" t="str">
        <f t="shared" si="0"/>
        <v>1998</v>
      </c>
      <c r="D39" s="123">
        <v>5.1309523809523798E-2</v>
      </c>
    </row>
    <row r="40" spans="2:4">
      <c r="B40" s="36" t="s">
        <v>173</v>
      </c>
      <c r="C40" s="36" t="str">
        <f t="shared" si="0"/>
        <v>1998</v>
      </c>
      <c r="D40" s="123">
        <v>4.8547619047619103E-2</v>
      </c>
    </row>
    <row r="41" spans="2:4">
      <c r="B41" s="36" t="s">
        <v>174</v>
      </c>
      <c r="C41" s="36" t="str">
        <f t="shared" si="0"/>
        <v>1999</v>
      </c>
      <c r="D41" s="123">
        <v>5.1278947368421098E-2</v>
      </c>
    </row>
    <row r="42" spans="2:4">
      <c r="B42" s="36" t="s">
        <v>175</v>
      </c>
      <c r="C42" s="36" t="str">
        <f t="shared" si="0"/>
        <v>1999</v>
      </c>
      <c r="D42" s="123">
        <v>5.2999999999999999E-2</v>
      </c>
    </row>
    <row r="43" spans="2:4">
      <c r="B43" s="36" t="s">
        <v>176</v>
      </c>
      <c r="C43" s="36" t="str">
        <f t="shared" si="0"/>
        <v>1999</v>
      </c>
      <c r="D43" s="123">
        <v>5.5265217391304397E-2</v>
      </c>
    </row>
    <row r="44" spans="2:4">
      <c r="B44" s="36" t="s">
        <v>177</v>
      </c>
      <c r="C44" s="36" t="str">
        <f t="shared" si="0"/>
        <v>1999</v>
      </c>
      <c r="D44" s="123">
        <v>5.3574999999999998E-2</v>
      </c>
    </row>
    <row r="45" spans="2:4">
      <c r="B45" s="36" t="s">
        <v>178</v>
      </c>
      <c r="C45" s="36" t="str">
        <f t="shared" si="0"/>
        <v>1999</v>
      </c>
      <c r="D45" s="123">
        <v>5.8757142857142897E-2</v>
      </c>
    </row>
    <row r="46" spans="2:4">
      <c r="B46" s="36" t="s">
        <v>179</v>
      </c>
      <c r="C46" s="36" t="str">
        <f t="shared" si="0"/>
        <v>1999</v>
      </c>
      <c r="D46" s="123">
        <v>6.2066666666666701E-2</v>
      </c>
    </row>
    <row r="47" spans="2:4">
      <c r="B47" s="36" t="s">
        <v>180</v>
      </c>
      <c r="C47" s="36" t="str">
        <f t="shared" si="0"/>
        <v>1999</v>
      </c>
      <c r="D47" s="123">
        <v>6.1359090909090898E-2</v>
      </c>
    </row>
    <row r="48" spans="2:4">
      <c r="B48" s="36" t="s">
        <v>181</v>
      </c>
      <c r="C48" s="36" t="str">
        <f t="shared" si="0"/>
        <v>1999</v>
      </c>
      <c r="D48" s="123">
        <v>6.3399999999999998E-2</v>
      </c>
    </row>
    <row r="49" spans="2:4">
      <c r="B49" s="36" t="s">
        <v>182</v>
      </c>
      <c r="C49" s="36" t="str">
        <f t="shared" si="0"/>
        <v>1999</v>
      </c>
      <c r="D49" s="123">
        <v>6.3413636363636394E-2</v>
      </c>
    </row>
    <row r="50" spans="2:4">
      <c r="B50" s="36" t="s">
        <v>183</v>
      </c>
      <c r="C50" s="36" t="str">
        <f t="shared" si="0"/>
        <v>1999</v>
      </c>
      <c r="D50" s="123">
        <v>6.6066666666666704E-2</v>
      </c>
    </row>
    <row r="51" spans="2:4">
      <c r="B51" s="36" t="s">
        <v>184</v>
      </c>
      <c r="C51" s="36" t="str">
        <f t="shared" si="0"/>
        <v>1999</v>
      </c>
      <c r="D51" s="123">
        <v>6.5563636363636393E-2</v>
      </c>
    </row>
    <row r="52" spans="2:4">
      <c r="B52" s="36" t="s">
        <v>185</v>
      </c>
      <c r="C52" s="36" t="str">
        <f t="shared" si="0"/>
        <v>1999</v>
      </c>
      <c r="D52" s="123">
        <v>6.7371428571428596E-2</v>
      </c>
    </row>
    <row r="53" spans="2:4">
      <c r="B53" s="36" t="s">
        <v>186</v>
      </c>
      <c r="C53" s="36" t="str">
        <f t="shared" si="0"/>
        <v>2000</v>
      </c>
      <c r="D53" s="123">
        <v>7.1778947368421095E-2</v>
      </c>
    </row>
    <row r="54" spans="2:4">
      <c r="B54" s="36" t="s">
        <v>187</v>
      </c>
      <c r="C54" s="36" t="str">
        <f t="shared" si="0"/>
        <v>2000</v>
      </c>
      <c r="D54" s="123">
        <v>6.95761904761905E-2</v>
      </c>
    </row>
    <row r="55" spans="2:4">
      <c r="B55" s="36" t="s">
        <v>188</v>
      </c>
      <c r="C55" s="36" t="str">
        <f t="shared" si="0"/>
        <v>2000</v>
      </c>
      <c r="D55" s="123">
        <v>6.5704347826087001E-2</v>
      </c>
    </row>
    <row r="56" spans="2:4">
      <c r="B56" s="36" t="s">
        <v>189</v>
      </c>
      <c r="C56" s="36" t="str">
        <f t="shared" si="0"/>
        <v>2000</v>
      </c>
      <c r="D56" s="123">
        <v>6.2647058823529403E-2</v>
      </c>
    </row>
    <row r="57" spans="2:4">
      <c r="B57" s="36" t="s">
        <v>190</v>
      </c>
      <c r="C57" s="36" t="str">
        <f t="shared" si="0"/>
        <v>2000</v>
      </c>
      <c r="D57" s="123">
        <v>6.4656521739130404E-2</v>
      </c>
    </row>
    <row r="58" spans="2:4">
      <c r="B58" s="36" t="s">
        <v>191</v>
      </c>
      <c r="C58" s="36" t="str">
        <f t="shared" si="0"/>
        <v>2000</v>
      </c>
      <c r="D58" s="123">
        <v>6.17238095238095E-2</v>
      </c>
    </row>
    <row r="59" spans="2:4">
      <c r="B59" s="36" t="s">
        <v>192</v>
      </c>
      <c r="C59" s="36" t="str">
        <f t="shared" si="0"/>
        <v>2000</v>
      </c>
      <c r="D59" s="123">
        <v>6.1619047619047601E-2</v>
      </c>
    </row>
    <row r="60" spans="2:4">
      <c r="B60" s="36" t="s">
        <v>193</v>
      </c>
      <c r="C60" s="36" t="str">
        <f t="shared" si="0"/>
        <v>2000</v>
      </c>
      <c r="D60" s="123">
        <v>6.2273913043478298E-2</v>
      </c>
    </row>
    <row r="61" spans="2:4">
      <c r="B61" s="36" t="s">
        <v>194</v>
      </c>
      <c r="C61" s="36" t="str">
        <f t="shared" si="0"/>
        <v>2000</v>
      </c>
      <c r="D61" s="123">
        <v>6.1361904761904798E-2</v>
      </c>
    </row>
    <row r="62" spans="2:4">
      <c r="B62" s="36" t="s">
        <v>195</v>
      </c>
      <c r="C62" s="36" t="str">
        <f t="shared" si="0"/>
        <v>2000</v>
      </c>
      <c r="D62" s="123">
        <v>6.1079545454545497E-2</v>
      </c>
    </row>
    <row r="63" spans="2:4">
      <c r="B63" s="36" t="s">
        <v>196</v>
      </c>
      <c r="C63" s="36" t="str">
        <f t="shared" si="0"/>
        <v>2000</v>
      </c>
      <c r="D63" s="123">
        <v>5.9895454545454502E-2</v>
      </c>
    </row>
    <row r="64" spans="2:4">
      <c r="B64" s="36" t="s">
        <v>197</v>
      </c>
      <c r="C64" s="36" t="str">
        <f t="shared" si="0"/>
        <v>2000</v>
      </c>
      <c r="D64" s="123">
        <v>5.5431578947368401E-2</v>
      </c>
    </row>
    <row r="65" spans="2:4">
      <c r="B65" s="36" t="s">
        <v>198</v>
      </c>
      <c r="C65" s="36" t="str">
        <f t="shared" si="0"/>
        <v>2001</v>
      </c>
      <c r="D65" s="123">
        <v>5.4054761904761897E-2</v>
      </c>
    </row>
    <row r="66" spans="2:4">
      <c r="B66" s="36" t="s">
        <v>199</v>
      </c>
      <c r="C66" s="36" t="str">
        <f t="shared" si="0"/>
        <v>2001</v>
      </c>
      <c r="D66" s="123">
        <v>5.3212500000000003E-2</v>
      </c>
    </row>
    <row r="67" spans="2:4">
      <c r="B67" s="36" t="s">
        <v>200</v>
      </c>
      <c r="C67" s="36" t="str">
        <f t="shared" si="0"/>
        <v>2001</v>
      </c>
      <c r="D67" s="123">
        <v>5.1306818181818203E-2</v>
      </c>
    </row>
    <row r="68" spans="2:4">
      <c r="B68" s="36" t="s">
        <v>201</v>
      </c>
      <c r="C68" s="36" t="str">
        <f t="shared" si="0"/>
        <v>2001</v>
      </c>
      <c r="D68" s="123">
        <v>5.5772222222222202E-2</v>
      </c>
    </row>
    <row r="69" spans="2:4">
      <c r="B69" s="36" t="s">
        <v>202</v>
      </c>
      <c r="C69" s="36" t="str">
        <f t="shared" ref="C69:C132" si="1">MID(B69,1,4)</f>
        <v>2001</v>
      </c>
      <c r="D69" s="123">
        <v>5.9434782608695703E-2</v>
      </c>
    </row>
    <row r="70" spans="2:4">
      <c r="B70" s="36" t="s">
        <v>203</v>
      </c>
      <c r="C70" s="36" t="str">
        <f t="shared" si="1"/>
        <v>2001</v>
      </c>
      <c r="D70" s="123">
        <v>5.8967499999999999E-2</v>
      </c>
    </row>
    <row r="71" spans="2:4">
      <c r="B71" s="36" t="s">
        <v>204</v>
      </c>
      <c r="C71" s="36" t="str">
        <f t="shared" si="1"/>
        <v>2001</v>
      </c>
      <c r="D71" s="123">
        <v>6.0863636363636398E-2</v>
      </c>
    </row>
    <row r="72" spans="2:4">
      <c r="B72" s="36" t="s">
        <v>205</v>
      </c>
      <c r="C72" s="36" t="str">
        <f t="shared" si="1"/>
        <v>2001</v>
      </c>
      <c r="D72" s="123">
        <v>5.7615217391304402E-2</v>
      </c>
    </row>
    <row r="73" spans="2:4">
      <c r="B73" s="36" t="s">
        <v>206</v>
      </c>
      <c r="C73" s="36" t="str">
        <f t="shared" si="1"/>
        <v>2001</v>
      </c>
      <c r="D73" s="123">
        <v>5.5782499999999999E-2</v>
      </c>
    </row>
    <row r="74" spans="2:4">
      <c r="B74" s="36" t="s">
        <v>207</v>
      </c>
      <c r="C74" s="36" t="str">
        <f t="shared" si="1"/>
        <v>2001</v>
      </c>
      <c r="D74" s="123">
        <v>5.4076086956521698E-2</v>
      </c>
    </row>
    <row r="75" spans="2:4">
      <c r="B75" s="36" t="s">
        <v>208</v>
      </c>
      <c r="C75" s="36" t="str">
        <f t="shared" si="1"/>
        <v>2001</v>
      </c>
      <c r="D75" s="123">
        <v>5.4577272727272703E-2</v>
      </c>
    </row>
    <row r="76" spans="2:4">
      <c r="B76" s="36" t="s">
        <v>209</v>
      </c>
      <c r="C76" s="36" t="str">
        <f t="shared" si="1"/>
        <v>2001</v>
      </c>
      <c r="D76" s="123">
        <v>5.8168421052631598E-2</v>
      </c>
    </row>
    <row r="77" spans="2:4">
      <c r="B77" s="36" t="s">
        <v>210</v>
      </c>
      <c r="C77" s="36" t="str">
        <f t="shared" si="1"/>
        <v>2002</v>
      </c>
      <c r="D77" s="123">
        <v>5.85833333333333E-2</v>
      </c>
    </row>
    <row r="78" spans="2:4">
      <c r="B78" s="36" t="s">
        <v>211</v>
      </c>
      <c r="C78" s="36" t="str">
        <f t="shared" si="1"/>
        <v>2002</v>
      </c>
      <c r="D78" s="123">
        <v>5.9457500000000003E-2</v>
      </c>
    </row>
    <row r="79" spans="2:4">
      <c r="B79" s="36" t="s">
        <v>212</v>
      </c>
      <c r="C79" s="36" t="str">
        <f t="shared" si="1"/>
        <v>2002</v>
      </c>
      <c r="D79" s="123">
        <v>6.3089999999999993E-2</v>
      </c>
    </row>
    <row r="80" spans="2:4">
      <c r="B80" s="36" t="s">
        <v>213</v>
      </c>
      <c r="C80" s="36" t="str">
        <f t="shared" si="1"/>
        <v>2002</v>
      </c>
      <c r="D80" s="123">
        <v>6.2939999999999996E-2</v>
      </c>
    </row>
    <row r="81" spans="2:4">
      <c r="B81" s="36" t="s">
        <v>214</v>
      </c>
      <c r="C81" s="36" t="str">
        <f t="shared" si="1"/>
        <v>2002</v>
      </c>
      <c r="D81" s="123">
        <v>6.21521739130435E-2</v>
      </c>
    </row>
    <row r="82" spans="2:4">
      <c r="B82" s="36" t="s">
        <v>215</v>
      </c>
      <c r="C82" s="36" t="str">
        <f t="shared" si="1"/>
        <v>2002</v>
      </c>
      <c r="D82" s="123">
        <v>6.00763157894737E-2</v>
      </c>
    </row>
    <row r="83" spans="2:4">
      <c r="B83" s="36" t="s">
        <v>216</v>
      </c>
      <c r="C83" s="36" t="str">
        <f t="shared" si="1"/>
        <v>2002</v>
      </c>
      <c r="D83" s="123">
        <v>5.8597826086956503E-2</v>
      </c>
    </row>
    <row r="84" spans="2:4">
      <c r="B84" s="36" t="s">
        <v>217</v>
      </c>
      <c r="C84" s="36" t="str">
        <f t="shared" si="1"/>
        <v>2002</v>
      </c>
      <c r="D84" s="123">
        <v>5.64840909090909E-2</v>
      </c>
    </row>
    <row r="85" spans="2:4">
      <c r="B85" s="36" t="s">
        <v>218</v>
      </c>
      <c r="C85" s="36" t="str">
        <f t="shared" si="1"/>
        <v>2002</v>
      </c>
      <c r="D85" s="123">
        <v>5.4357142857142902E-2</v>
      </c>
    </row>
    <row r="86" spans="2:4">
      <c r="B86" s="36" t="s">
        <v>219</v>
      </c>
      <c r="C86" s="36" t="str">
        <f t="shared" si="1"/>
        <v>2002</v>
      </c>
      <c r="D86" s="123">
        <v>5.6591304347826103E-2</v>
      </c>
    </row>
    <row r="87" spans="2:4">
      <c r="B87" s="36" t="s">
        <v>220</v>
      </c>
      <c r="C87" s="36" t="str">
        <f t="shared" si="1"/>
        <v>2002</v>
      </c>
      <c r="D87" s="123">
        <v>5.4995238095238097E-2</v>
      </c>
    </row>
    <row r="88" spans="2:4">
      <c r="B88" s="36" t="s">
        <v>221</v>
      </c>
      <c r="C88" s="36" t="str">
        <f t="shared" si="1"/>
        <v>2002</v>
      </c>
      <c r="D88" s="123">
        <v>5.3949999999999998E-2</v>
      </c>
    </row>
    <row r="89" spans="2:4">
      <c r="B89" s="36" t="s">
        <v>222</v>
      </c>
      <c r="C89" s="36" t="str">
        <f t="shared" si="1"/>
        <v>2003</v>
      </c>
      <c r="D89" s="123">
        <v>5.2749999999999998E-2</v>
      </c>
    </row>
    <row r="90" spans="2:4">
      <c r="B90" s="36" t="s">
        <v>223</v>
      </c>
      <c r="C90" s="36" t="str">
        <f t="shared" si="1"/>
        <v>2003</v>
      </c>
      <c r="D90" s="123">
        <v>5.1677500000000001E-2</v>
      </c>
    </row>
    <row r="91" spans="2:4">
      <c r="B91" s="36" t="s">
        <v>224</v>
      </c>
      <c r="C91" s="36" t="str">
        <f t="shared" si="1"/>
        <v>2003</v>
      </c>
      <c r="D91" s="123">
        <v>5.2716666666666703E-2</v>
      </c>
    </row>
    <row r="92" spans="2:4">
      <c r="B92" s="36" t="s">
        <v>225</v>
      </c>
      <c r="C92" s="36" t="str">
        <f t="shared" si="1"/>
        <v>2003</v>
      </c>
      <c r="D92" s="123">
        <v>5.34605263157895E-2</v>
      </c>
    </row>
    <row r="93" spans="2:4">
      <c r="B93" s="36" t="s">
        <v>226</v>
      </c>
      <c r="C93" s="36" t="str">
        <f t="shared" si="1"/>
        <v>2003</v>
      </c>
      <c r="D93" s="123">
        <v>5.0281818181818198E-2</v>
      </c>
    </row>
    <row r="94" spans="2:4">
      <c r="B94" s="36" t="s">
        <v>227</v>
      </c>
      <c r="C94" s="36" t="str">
        <f t="shared" si="1"/>
        <v>2003</v>
      </c>
      <c r="D94" s="123">
        <v>4.8027500000000001E-2</v>
      </c>
    </row>
    <row r="95" spans="2:4">
      <c r="B95" s="36" t="s">
        <v>228</v>
      </c>
      <c r="C95" s="36" t="str">
        <f t="shared" si="1"/>
        <v>2003</v>
      </c>
      <c r="D95" s="123">
        <v>5.2328260869565199E-2</v>
      </c>
    </row>
    <row r="96" spans="2:4">
      <c r="B96" s="36" t="s">
        <v>229</v>
      </c>
      <c r="C96" s="36" t="str">
        <f t="shared" si="1"/>
        <v>2003</v>
      </c>
      <c r="D96" s="123">
        <v>5.5240476190476201E-2</v>
      </c>
    </row>
    <row r="97" spans="2:4">
      <c r="B97" s="36" t="s">
        <v>230</v>
      </c>
      <c r="C97" s="36" t="str">
        <f t="shared" si="1"/>
        <v>2003</v>
      </c>
      <c r="D97" s="123">
        <v>5.51295454545455E-2</v>
      </c>
    </row>
    <row r="98" spans="2:4">
      <c r="B98" s="36" t="s">
        <v>231</v>
      </c>
      <c r="C98" s="36" t="str">
        <f t="shared" si="1"/>
        <v>2003</v>
      </c>
      <c r="D98" s="123">
        <v>5.6086956521739097E-2</v>
      </c>
    </row>
    <row r="99" spans="2:4">
      <c r="B99" s="36" t="s">
        <v>232</v>
      </c>
      <c r="C99" s="36" t="str">
        <f t="shared" si="1"/>
        <v>2003</v>
      </c>
      <c r="D99" s="123">
        <v>5.8740000000000001E-2</v>
      </c>
    </row>
    <row r="100" spans="2:4">
      <c r="B100" s="36" t="s">
        <v>233</v>
      </c>
      <c r="C100" s="36" t="str">
        <f t="shared" si="1"/>
        <v>2003</v>
      </c>
      <c r="D100" s="123">
        <v>5.7573809523809499E-2</v>
      </c>
    </row>
    <row r="101" spans="2:4">
      <c r="B101" s="36" t="s">
        <v>234</v>
      </c>
      <c r="C101" s="36" t="str">
        <f t="shared" si="1"/>
        <v>2004</v>
      </c>
      <c r="D101" s="123">
        <v>5.7005E-2</v>
      </c>
    </row>
    <row r="102" spans="2:4">
      <c r="B102" s="36" t="s">
        <v>235</v>
      </c>
      <c r="C102" s="36" t="str">
        <f t="shared" si="1"/>
        <v>2004</v>
      </c>
      <c r="D102" s="123">
        <v>5.6204999999999998E-2</v>
      </c>
    </row>
    <row r="103" spans="2:4">
      <c r="B103" s="36" t="s">
        <v>236</v>
      </c>
      <c r="C103" s="36" t="str">
        <f t="shared" si="1"/>
        <v>2004</v>
      </c>
      <c r="D103" s="123">
        <v>5.4154347826087003E-2</v>
      </c>
    </row>
    <row r="104" spans="2:4">
      <c r="B104" s="36" t="s">
        <v>237</v>
      </c>
      <c r="C104" s="36" t="str">
        <f t="shared" si="1"/>
        <v>2004</v>
      </c>
      <c r="D104" s="123">
        <v>5.8029999999999998E-2</v>
      </c>
    </row>
    <row r="105" spans="2:4">
      <c r="B105" s="36" t="s">
        <v>238</v>
      </c>
      <c r="C105" s="36" t="str">
        <f t="shared" si="1"/>
        <v>2004</v>
      </c>
      <c r="D105" s="123">
        <v>5.9580952380952401E-2</v>
      </c>
    </row>
    <row r="106" spans="2:4">
      <c r="B106" s="36" t="s">
        <v>239</v>
      </c>
      <c r="C106" s="36" t="str">
        <f t="shared" si="1"/>
        <v>2004</v>
      </c>
      <c r="D106" s="123">
        <v>5.8454761904761898E-2</v>
      </c>
    </row>
    <row r="107" spans="2:4">
      <c r="B107" s="36" t="s">
        <v>240</v>
      </c>
      <c r="C107" s="36" t="str">
        <f t="shared" si="1"/>
        <v>2004</v>
      </c>
      <c r="D107" s="123">
        <v>5.7177272727272702E-2</v>
      </c>
    </row>
    <row r="108" spans="2:4">
      <c r="B108" s="36" t="s">
        <v>241</v>
      </c>
      <c r="C108" s="36" t="str">
        <f t="shared" si="1"/>
        <v>2004</v>
      </c>
      <c r="D108" s="123">
        <v>5.5831818181818198E-2</v>
      </c>
    </row>
    <row r="109" spans="2:4">
      <c r="B109" s="36" t="s">
        <v>242</v>
      </c>
      <c r="C109" s="36" t="str">
        <f t="shared" si="1"/>
        <v>2004</v>
      </c>
      <c r="D109" s="123">
        <v>5.4120454545454597E-2</v>
      </c>
    </row>
    <row r="110" spans="2:4">
      <c r="B110" s="36" t="s">
        <v>243</v>
      </c>
      <c r="C110" s="36" t="str">
        <f t="shared" si="1"/>
        <v>2004</v>
      </c>
      <c r="D110" s="123">
        <v>5.4014285714285702E-2</v>
      </c>
    </row>
    <row r="111" spans="2:4">
      <c r="B111" s="36" t="s">
        <v>244</v>
      </c>
      <c r="C111" s="36" t="str">
        <f t="shared" si="1"/>
        <v>2004</v>
      </c>
      <c r="D111" s="123">
        <v>5.3999999999999999E-2</v>
      </c>
    </row>
    <row r="112" spans="2:4">
      <c r="B112" s="36" t="s">
        <v>245</v>
      </c>
      <c r="C112" s="36" t="str">
        <f t="shared" si="1"/>
        <v>2004</v>
      </c>
      <c r="D112" s="123">
        <v>5.2319047619047598E-2</v>
      </c>
    </row>
    <row r="113" spans="2:4">
      <c r="B113" s="36" t="s">
        <v>246</v>
      </c>
      <c r="C113" s="36" t="str">
        <f t="shared" si="1"/>
        <v>2005</v>
      </c>
      <c r="D113" s="123">
        <v>5.3518421052631597E-2</v>
      </c>
    </row>
    <row r="114" spans="2:4">
      <c r="B114" s="36" t="s">
        <v>247</v>
      </c>
      <c r="C114" s="36" t="str">
        <f t="shared" si="1"/>
        <v>2005</v>
      </c>
      <c r="D114" s="123">
        <v>5.3977499999999998E-2</v>
      </c>
    </row>
    <row r="115" spans="2:4">
      <c r="B115" s="36" t="s">
        <v>248</v>
      </c>
      <c r="C115" s="36" t="str">
        <f t="shared" si="1"/>
        <v>2005</v>
      </c>
      <c r="D115" s="123">
        <v>5.6526190476190501E-2</v>
      </c>
    </row>
    <row r="116" spans="2:4">
      <c r="B116" s="36" t="s">
        <v>249</v>
      </c>
      <c r="C116" s="36" t="str">
        <f t="shared" si="1"/>
        <v>2005</v>
      </c>
      <c r="D116" s="123">
        <v>5.4719999999999998E-2</v>
      </c>
    </row>
    <row r="117" spans="2:4">
      <c r="B117" s="36" t="s">
        <v>250</v>
      </c>
      <c r="C117" s="36" t="str">
        <f t="shared" si="1"/>
        <v>2005</v>
      </c>
      <c r="D117" s="123">
        <v>5.2877272727272703E-2</v>
      </c>
    </row>
    <row r="118" spans="2:4">
      <c r="B118" s="36" t="s">
        <v>251</v>
      </c>
      <c r="C118" s="36" t="str">
        <f t="shared" si="1"/>
        <v>2005</v>
      </c>
      <c r="D118" s="123">
        <v>5.1404761904761898E-2</v>
      </c>
    </row>
    <row r="119" spans="2:4">
      <c r="B119" s="36" t="s">
        <v>252</v>
      </c>
      <c r="C119" s="36" t="str">
        <f t="shared" si="1"/>
        <v>2005</v>
      </c>
      <c r="D119" s="123">
        <v>5.1902380952380998E-2</v>
      </c>
    </row>
    <row r="120" spans="2:4">
      <c r="B120" s="36" t="s">
        <v>253</v>
      </c>
      <c r="C120" s="36" t="str">
        <f t="shared" si="1"/>
        <v>2005</v>
      </c>
      <c r="D120" s="123">
        <v>5.2186956521739103E-2</v>
      </c>
    </row>
    <row r="121" spans="2:4">
      <c r="B121" s="36" t="s">
        <v>254</v>
      </c>
      <c r="C121" s="36" t="str">
        <f t="shared" si="1"/>
        <v>2005</v>
      </c>
      <c r="D121" s="123">
        <v>5.1863636363636403E-2</v>
      </c>
    </row>
    <row r="122" spans="2:4">
      <c r="B122" s="36" t="s">
        <v>255</v>
      </c>
      <c r="C122" s="36" t="str">
        <f t="shared" si="1"/>
        <v>2005</v>
      </c>
      <c r="D122" s="123">
        <v>5.4002380952381003E-2</v>
      </c>
    </row>
    <row r="123" spans="2:4">
      <c r="B123" s="36" t="s">
        <v>256</v>
      </c>
      <c r="C123" s="36" t="str">
        <f t="shared" si="1"/>
        <v>2005</v>
      </c>
      <c r="D123" s="123">
        <v>5.43522727272727E-2</v>
      </c>
    </row>
    <row r="124" spans="2:4">
      <c r="B124" s="36" t="s">
        <v>257</v>
      </c>
      <c r="C124" s="36" t="str">
        <f t="shared" si="1"/>
        <v>2005</v>
      </c>
      <c r="D124" s="123">
        <v>5.3464999999999999E-2</v>
      </c>
    </row>
    <row r="125" spans="2:4">
      <c r="B125" s="36" t="s">
        <v>258</v>
      </c>
      <c r="C125" s="36" t="str">
        <f t="shared" si="1"/>
        <v>2006</v>
      </c>
      <c r="D125" s="123">
        <v>5.2034999999999998E-2</v>
      </c>
    </row>
    <row r="126" spans="2:4">
      <c r="B126" s="36" t="s">
        <v>259</v>
      </c>
      <c r="C126" s="36" t="str">
        <f t="shared" si="1"/>
        <v>2006</v>
      </c>
      <c r="D126" s="123">
        <v>5.2720000000000003E-2</v>
      </c>
    </row>
    <row r="127" spans="2:4">
      <c r="B127" s="36" t="s">
        <v>260</v>
      </c>
      <c r="C127" s="36" t="str">
        <f t="shared" si="1"/>
        <v>2006</v>
      </c>
      <c r="D127" s="123">
        <v>5.3413043478260903E-2</v>
      </c>
    </row>
    <row r="128" spans="2:4">
      <c r="B128" s="36" t="s">
        <v>261</v>
      </c>
      <c r="C128" s="36" t="str">
        <f t="shared" si="1"/>
        <v>2006</v>
      </c>
      <c r="D128" s="123">
        <v>5.5797058823529401E-2</v>
      </c>
    </row>
    <row r="129" spans="2:4">
      <c r="B129" s="36" t="s">
        <v>262</v>
      </c>
      <c r="C129" s="36" t="str">
        <f t="shared" si="1"/>
        <v>2006</v>
      </c>
      <c r="D129" s="123">
        <v>5.7500000000000002E-2</v>
      </c>
    </row>
    <row r="130" spans="2:4">
      <c r="B130" s="36" t="s">
        <v>263</v>
      </c>
      <c r="C130" s="36" t="str">
        <f t="shared" si="1"/>
        <v>2006</v>
      </c>
      <c r="D130" s="123">
        <v>5.7378571428571397E-2</v>
      </c>
    </row>
    <row r="131" spans="2:4">
      <c r="B131" s="36" t="s">
        <v>264</v>
      </c>
      <c r="C131" s="36" t="str">
        <f t="shared" si="1"/>
        <v>2006</v>
      </c>
      <c r="D131" s="123">
        <v>5.83404761904762E-2</v>
      </c>
    </row>
    <row r="132" spans="2:4">
      <c r="B132" s="36" t="s">
        <v>265</v>
      </c>
      <c r="C132" s="36" t="str">
        <f t="shared" si="1"/>
        <v>2006</v>
      </c>
      <c r="D132" s="123">
        <v>5.77326086956522E-2</v>
      </c>
    </row>
    <row r="133" spans="2:4">
      <c r="B133" s="36" t="s">
        <v>266</v>
      </c>
      <c r="C133" s="36" t="str">
        <f t="shared" ref="C133:C196" si="2">MID(B133,1,4)</f>
        <v>2006</v>
      </c>
      <c r="D133" s="123">
        <v>5.6016666666666701E-2</v>
      </c>
    </row>
    <row r="134" spans="2:4">
      <c r="B134" s="36" t="s">
        <v>267</v>
      </c>
      <c r="C134" s="36" t="str">
        <f t="shared" si="2"/>
        <v>2006</v>
      </c>
      <c r="D134" s="123">
        <v>5.6649999999999999E-2</v>
      </c>
    </row>
    <row r="135" spans="2:4">
      <c r="B135" s="36" t="s">
        <v>268</v>
      </c>
      <c r="C135" s="36" t="str">
        <f t="shared" si="2"/>
        <v>2006</v>
      </c>
      <c r="D135" s="123">
        <v>5.5995454545454598E-2</v>
      </c>
    </row>
    <row r="136" spans="2:4">
      <c r="B136" s="36" t="s">
        <v>269</v>
      </c>
      <c r="C136" s="36" t="str">
        <f t="shared" si="2"/>
        <v>2006</v>
      </c>
      <c r="D136" s="123">
        <v>5.6965789473684199E-2</v>
      </c>
    </row>
    <row r="137" spans="2:4">
      <c r="B137" s="36" t="s">
        <v>270</v>
      </c>
      <c r="C137" s="36" t="str">
        <f t="shared" si="2"/>
        <v>2007</v>
      </c>
      <c r="D137" s="123">
        <v>5.8776190476190503E-2</v>
      </c>
    </row>
    <row r="138" spans="2:4">
      <c r="B138" s="36" t="s">
        <v>271</v>
      </c>
      <c r="C138" s="36" t="str">
        <f t="shared" si="2"/>
        <v>2007</v>
      </c>
      <c r="D138" s="123">
        <v>5.8092499999999998E-2</v>
      </c>
    </row>
    <row r="139" spans="2:4">
      <c r="B139" s="36" t="s">
        <v>272</v>
      </c>
      <c r="C139" s="36" t="str">
        <f t="shared" si="2"/>
        <v>2007</v>
      </c>
      <c r="D139" s="123">
        <v>5.7368181818181797E-2</v>
      </c>
    </row>
    <row r="140" spans="2:4">
      <c r="B140" s="36" t="s">
        <v>273</v>
      </c>
      <c r="C140" s="36" t="str">
        <f t="shared" si="2"/>
        <v>2007</v>
      </c>
      <c r="D140" s="123">
        <v>5.9097222222222197E-2</v>
      </c>
    </row>
    <row r="141" spans="2:4">
      <c r="B141" s="36" t="s">
        <v>274</v>
      </c>
      <c r="C141" s="36" t="str">
        <f t="shared" si="2"/>
        <v>2007</v>
      </c>
      <c r="D141" s="123">
        <v>5.9208695652173897E-2</v>
      </c>
    </row>
    <row r="142" spans="2:4">
      <c r="B142" s="36" t="s">
        <v>275</v>
      </c>
      <c r="C142" s="36" t="str">
        <f t="shared" si="2"/>
        <v>2007</v>
      </c>
      <c r="D142" s="123">
        <v>6.2047499999999998E-2</v>
      </c>
    </row>
    <row r="143" spans="2:4">
      <c r="B143" s="36" t="s">
        <v>276</v>
      </c>
      <c r="C143" s="36" t="str">
        <f t="shared" si="2"/>
        <v>2007</v>
      </c>
      <c r="D143" s="123">
        <v>6.1497727272727301E-2</v>
      </c>
    </row>
    <row r="144" spans="2:4">
      <c r="B144" s="36" t="s">
        <v>277</v>
      </c>
      <c r="C144" s="36" t="str">
        <f t="shared" si="2"/>
        <v>2007</v>
      </c>
      <c r="D144" s="123">
        <v>5.92590909090909E-2</v>
      </c>
    </row>
    <row r="145" spans="2:4">
      <c r="B145" s="36" t="s">
        <v>278</v>
      </c>
      <c r="C145" s="36" t="str">
        <f t="shared" si="2"/>
        <v>2007</v>
      </c>
      <c r="D145" s="123">
        <v>5.9921052631578903E-2</v>
      </c>
    </row>
    <row r="146" spans="2:4">
      <c r="B146" s="36" t="s">
        <v>279</v>
      </c>
      <c r="C146" s="36" t="str">
        <f t="shared" si="2"/>
        <v>2007</v>
      </c>
      <c r="D146" s="123">
        <v>6.1743478260869601E-2</v>
      </c>
    </row>
    <row r="147" spans="2:4">
      <c r="B147" s="36" t="s">
        <v>280</v>
      </c>
      <c r="C147" s="36" t="str">
        <f t="shared" si="2"/>
        <v>2007</v>
      </c>
      <c r="D147" s="123">
        <v>6.0254545454545498E-2</v>
      </c>
    </row>
    <row r="148" spans="2:4">
      <c r="B148" s="36" t="s">
        <v>281</v>
      </c>
      <c r="C148" s="36" t="str">
        <f t="shared" si="2"/>
        <v>2007</v>
      </c>
      <c r="D148" s="123">
        <v>6.2076315789473702E-2</v>
      </c>
    </row>
    <row r="149" spans="2:4">
      <c r="B149" s="36" t="s">
        <v>282</v>
      </c>
      <c r="C149" s="36" t="str">
        <f t="shared" si="2"/>
        <v>2008</v>
      </c>
      <c r="D149" s="123">
        <v>6.0764285714285701E-2</v>
      </c>
    </row>
    <row r="150" spans="2:4">
      <c r="B150" s="36" t="s">
        <v>283</v>
      </c>
      <c r="C150" s="36" t="str">
        <f t="shared" si="2"/>
        <v>2008</v>
      </c>
      <c r="D150" s="123">
        <v>6.2945238095238096E-2</v>
      </c>
    </row>
    <row r="151" spans="2:4">
      <c r="B151" s="36" t="s">
        <v>284</v>
      </c>
      <c r="C151" s="36" t="str">
        <f t="shared" si="2"/>
        <v>2008</v>
      </c>
      <c r="D151" s="123">
        <v>6.0855263157894697E-2</v>
      </c>
    </row>
    <row r="152" spans="2:4">
      <c r="B152" s="36" t="s">
        <v>285</v>
      </c>
      <c r="C152" s="36" t="str">
        <f t="shared" si="2"/>
        <v>2008</v>
      </c>
      <c r="D152" s="123">
        <v>6.1704761904761901E-2</v>
      </c>
    </row>
    <row r="153" spans="2:4">
      <c r="B153" s="36" t="s">
        <v>286</v>
      </c>
      <c r="C153" s="36" t="str">
        <f t="shared" si="2"/>
        <v>2008</v>
      </c>
      <c r="D153" s="123">
        <v>6.3549999999999995E-2</v>
      </c>
    </row>
    <row r="154" spans="2:4">
      <c r="B154" s="36" t="s">
        <v>287</v>
      </c>
      <c r="C154" s="36" t="str">
        <f t="shared" si="2"/>
        <v>2008</v>
      </c>
      <c r="D154" s="123">
        <v>6.5867499999999995E-2</v>
      </c>
    </row>
    <row r="155" spans="2:4">
      <c r="B155" s="36" t="s">
        <v>288</v>
      </c>
      <c r="C155" s="36" t="str">
        <f t="shared" si="2"/>
        <v>2008</v>
      </c>
      <c r="D155" s="123">
        <v>6.3665217391304402E-2</v>
      </c>
    </row>
    <row r="156" spans="2:4">
      <c r="B156" s="36" t="s">
        <v>289</v>
      </c>
      <c r="C156" s="36" t="str">
        <f t="shared" si="2"/>
        <v>2008</v>
      </c>
      <c r="D156" s="123">
        <v>5.8624999999999997E-2</v>
      </c>
    </row>
    <row r="157" spans="2:4">
      <c r="B157" s="36" t="s">
        <v>290</v>
      </c>
      <c r="C157" s="36" t="str">
        <f t="shared" si="2"/>
        <v>2008</v>
      </c>
      <c r="D157" s="123">
        <v>5.6459090909090903E-2</v>
      </c>
    </row>
    <row r="158" spans="2:4">
      <c r="B158" s="36" t="s">
        <v>291</v>
      </c>
      <c r="C158" s="36" t="str">
        <f t="shared" si="2"/>
        <v>2008</v>
      </c>
      <c r="D158" s="123">
        <v>5.21522727272727E-2</v>
      </c>
    </row>
    <row r="159" spans="2:4">
      <c r="B159" s="36" t="s">
        <v>292</v>
      </c>
      <c r="C159" s="36" t="str">
        <f t="shared" si="2"/>
        <v>2008</v>
      </c>
      <c r="D159" s="123">
        <v>4.94075E-2</v>
      </c>
    </row>
    <row r="160" spans="2:4">
      <c r="B160" s="36" t="s">
        <v>293</v>
      </c>
      <c r="C160" s="36" t="str">
        <f t="shared" si="2"/>
        <v>2008</v>
      </c>
      <c r="D160" s="123">
        <v>4.21571428571429E-2</v>
      </c>
    </row>
    <row r="161" spans="2:4">
      <c r="B161" s="36" t="s">
        <v>294</v>
      </c>
      <c r="C161" s="36" t="str">
        <f t="shared" si="2"/>
        <v>2009</v>
      </c>
      <c r="D161" s="123">
        <v>4.0857499999999998E-2</v>
      </c>
    </row>
    <row r="162" spans="2:4">
      <c r="B162" s="36" t="s">
        <v>295</v>
      </c>
      <c r="C162" s="36" t="str">
        <f t="shared" si="2"/>
        <v>2009</v>
      </c>
      <c r="D162" s="123">
        <v>4.2529999999999998E-2</v>
      </c>
    </row>
    <row r="163" spans="2:4">
      <c r="B163" s="36" t="s">
        <v>296</v>
      </c>
      <c r="C163" s="36" t="str">
        <f t="shared" si="2"/>
        <v>2009</v>
      </c>
      <c r="D163" s="123">
        <v>4.3277272727272699E-2</v>
      </c>
    </row>
    <row r="164" spans="2:4">
      <c r="B164" s="36" t="s">
        <v>297</v>
      </c>
      <c r="C164" s="36" t="str">
        <f t="shared" si="2"/>
        <v>2009</v>
      </c>
      <c r="D164" s="123">
        <v>4.512E-2</v>
      </c>
    </row>
    <row r="165" spans="2:4">
      <c r="B165" s="36" t="s">
        <v>298</v>
      </c>
      <c r="C165" s="36" t="str">
        <f t="shared" si="2"/>
        <v>2009</v>
      </c>
      <c r="D165" s="123">
        <v>5.0042857142857097E-2</v>
      </c>
    </row>
    <row r="166" spans="2:4">
      <c r="B166" s="36" t="s">
        <v>299</v>
      </c>
      <c r="C166" s="36" t="str">
        <f t="shared" si="2"/>
        <v>2009</v>
      </c>
      <c r="D166" s="123">
        <v>5.5566666666666702E-2</v>
      </c>
    </row>
    <row r="167" spans="2:4">
      <c r="B167" s="36" t="s">
        <v>300</v>
      </c>
      <c r="C167" s="36" t="str">
        <f t="shared" si="2"/>
        <v>2009</v>
      </c>
      <c r="D167" s="123">
        <v>5.4878260869565203E-2</v>
      </c>
    </row>
    <row r="168" spans="2:4">
      <c r="B168" s="36" t="s">
        <v>301</v>
      </c>
      <c r="C168" s="36" t="str">
        <f t="shared" si="2"/>
        <v>2009</v>
      </c>
      <c r="D168" s="123">
        <v>5.53325E-2</v>
      </c>
    </row>
    <row r="169" spans="2:4">
      <c r="B169" s="36" t="s">
        <v>302</v>
      </c>
      <c r="C169" s="36" t="str">
        <f t="shared" si="2"/>
        <v>2009</v>
      </c>
      <c r="D169" s="123">
        <v>5.3236363636363603E-2</v>
      </c>
    </row>
    <row r="170" spans="2:4">
      <c r="B170" s="36" t="s">
        <v>303</v>
      </c>
      <c r="C170" s="36" t="str">
        <f t="shared" si="2"/>
        <v>2009</v>
      </c>
      <c r="D170" s="123">
        <v>5.4502380952380997E-2</v>
      </c>
    </row>
    <row r="171" spans="2:4">
      <c r="B171" s="36" t="s">
        <v>304</v>
      </c>
      <c r="C171" s="36" t="str">
        <f t="shared" si="2"/>
        <v>2009</v>
      </c>
      <c r="D171" s="123">
        <v>5.4666666666666697E-2</v>
      </c>
    </row>
    <row r="172" spans="2:4">
      <c r="B172" s="36" t="s">
        <v>305</v>
      </c>
      <c r="C172" s="36" t="str">
        <f t="shared" si="2"/>
        <v>2009</v>
      </c>
      <c r="D172" s="123">
        <v>5.4730952380952401E-2</v>
      </c>
    </row>
    <row r="173" spans="2:4">
      <c r="B173" s="36" t="s">
        <v>306</v>
      </c>
      <c r="C173" s="36" t="str">
        <f t="shared" si="2"/>
        <v>2010</v>
      </c>
      <c r="D173" s="123">
        <v>5.5574999999999999E-2</v>
      </c>
    </row>
    <row r="174" spans="2:4">
      <c r="B174" s="36" t="s">
        <v>307</v>
      </c>
      <c r="C174" s="36" t="str">
        <f t="shared" si="2"/>
        <v>2010</v>
      </c>
      <c r="D174" s="123">
        <v>5.4774999999999997E-2</v>
      </c>
    </row>
    <row r="175" spans="2:4">
      <c r="B175" s="36" t="s">
        <v>308</v>
      </c>
      <c r="C175" s="36" t="str">
        <f t="shared" si="2"/>
        <v>2010</v>
      </c>
      <c r="D175" s="123">
        <v>5.62E-2</v>
      </c>
    </row>
    <row r="176" spans="2:4">
      <c r="B176" s="36" t="s">
        <v>309</v>
      </c>
      <c r="C176" s="36" t="str">
        <f t="shared" si="2"/>
        <v>2010</v>
      </c>
      <c r="D176" s="123">
        <v>5.7950000000000002E-2</v>
      </c>
    </row>
    <row r="177" spans="2:4">
      <c r="B177" s="36" t="s">
        <v>310</v>
      </c>
      <c r="C177" s="36" t="str">
        <f t="shared" si="2"/>
        <v>2010</v>
      </c>
      <c r="D177" s="123">
        <v>5.4800000000000001E-2</v>
      </c>
    </row>
    <row r="178" spans="2:4">
      <c r="B178" s="36" t="s">
        <v>311</v>
      </c>
      <c r="C178" s="36" t="str">
        <f t="shared" si="2"/>
        <v>2010</v>
      </c>
      <c r="D178" s="123">
        <v>5.3275000000000003E-2</v>
      </c>
    </row>
    <row r="179" spans="2:4">
      <c r="B179" s="36" t="s">
        <v>312</v>
      </c>
      <c r="C179" s="36" t="str">
        <f t="shared" si="2"/>
        <v>2010</v>
      </c>
      <c r="D179" s="123">
        <v>5.1450000000000003E-2</v>
      </c>
    </row>
    <row r="180" spans="2:4">
      <c r="B180" s="36" t="s">
        <v>313</v>
      </c>
      <c r="C180" s="36" t="str">
        <f t="shared" si="2"/>
        <v>2010</v>
      </c>
      <c r="D180" s="123">
        <v>4.9700000000000001E-2</v>
      </c>
    </row>
    <row r="181" spans="2:4">
      <c r="B181" s="36" t="s">
        <v>314</v>
      </c>
      <c r="C181" s="36" t="str">
        <f t="shared" si="2"/>
        <v>2010</v>
      </c>
      <c r="D181" s="123">
        <v>5.0025E-2</v>
      </c>
    </row>
    <row r="182" spans="2:4">
      <c r="B182" s="36" t="s">
        <v>315</v>
      </c>
      <c r="C182" s="36" t="str">
        <f t="shared" si="2"/>
        <v>2010</v>
      </c>
      <c r="D182" s="123">
        <v>5.0849999999999999E-2</v>
      </c>
    </row>
    <row r="183" spans="2:4">
      <c r="B183" s="36" t="s">
        <v>316</v>
      </c>
      <c r="C183" s="36" t="str">
        <f t="shared" si="2"/>
        <v>2010</v>
      </c>
      <c r="D183" s="123">
        <v>5.3775000000000003E-2</v>
      </c>
    </row>
    <row r="184" spans="2:4">
      <c r="B184" s="36" t="s">
        <v>317</v>
      </c>
      <c r="C184" s="36" t="str">
        <f t="shared" si="2"/>
        <v>2010</v>
      </c>
      <c r="D184" s="123">
        <v>5.5550000000000002E-2</v>
      </c>
    </row>
    <row r="185" spans="2:4">
      <c r="B185" s="36" t="s">
        <v>318</v>
      </c>
      <c r="C185" s="36" t="str">
        <f t="shared" si="2"/>
        <v>2011</v>
      </c>
      <c r="D185" s="123">
        <v>5.5199999999999999E-2</v>
      </c>
    </row>
    <row r="186" spans="2:4">
      <c r="B186" s="36" t="s">
        <v>319</v>
      </c>
      <c r="C186" s="36" t="str">
        <f t="shared" si="2"/>
        <v>2011</v>
      </c>
      <c r="D186" s="123">
        <v>5.6099999999999997E-2</v>
      </c>
    </row>
    <row r="187" spans="2:4">
      <c r="B187" s="36" t="s">
        <v>320</v>
      </c>
      <c r="C187" s="36" t="str">
        <f t="shared" si="2"/>
        <v>2011</v>
      </c>
      <c r="D187" s="123">
        <v>5.4350000000000002E-2</v>
      </c>
    </row>
    <row r="188" spans="2:4">
      <c r="B188" s="36" t="s">
        <v>321</v>
      </c>
      <c r="C188" s="36" t="str">
        <f t="shared" si="2"/>
        <v>2011</v>
      </c>
      <c r="D188" s="123">
        <v>5.5125E-2</v>
      </c>
    </row>
    <row r="189" spans="2:4">
      <c r="B189" s="36" t="s">
        <v>322</v>
      </c>
      <c r="C189" s="36" t="str">
        <f t="shared" si="2"/>
        <v>2011</v>
      </c>
      <c r="D189" s="123">
        <v>5.3249999999999999E-2</v>
      </c>
    </row>
    <row r="190" spans="2:4">
      <c r="B190" s="36" t="s">
        <v>323</v>
      </c>
      <c r="C190" s="36" t="str">
        <f t="shared" si="2"/>
        <v>2011</v>
      </c>
      <c r="D190" s="123">
        <v>5.16E-2</v>
      </c>
    </row>
    <row r="191" spans="2:4">
      <c r="B191" s="36" t="s">
        <v>324</v>
      </c>
      <c r="C191" s="36" t="str">
        <f t="shared" si="2"/>
        <v>2011</v>
      </c>
      <c r="D191" s="123">
        <v>5.0200000000000002E-2</v>
      </c>
    </row>
    <row r="192" spans="2:4">
      <c r="B192" s="36" t="s">
        <v>325</v>
      </c>
      <c r="C192" s="36" t="str">
        <f t="shared" si="2"/>
        <v>2011</v>
      </c>
      <c r="D192" s="123">
        <v>4.4925E-2</v>
      </c>
    </row>
    <row r="193" spans="2:4">
      <c r="B193" s="36" t="s">
        <v>326</v>
      </c>
      <c r="C193" s="36" t="str">
        <f t="shared" si="2"/>
        <v>2011</v>
      </c>
      <c r="D193" s="123">
        <v>4.2025E-2</v>
      </c>
    </row>
    <row r="194" spans="2:4">
      <c r="B194" s="36" t="s">
        <v>327</v>
      </c>
      <c r="C194" s="36" t="str">
        <f t="shared" si="2"/>
        <v>2011</v>
      </c>
      <c r="D194" s="123">
        <v>4.3700000000000003E-2</v>
      </c>
    </row>
    <row r="195" spans="2:4">
      <c r="B195" s="36" t="s">
        <v>328</v>
      </c>
      <c r="C195" s="36" t="str">
        <f t="shared" si="2"/>
        <v>2011</v>
      </c>
      <c r="D195" s="123">
        <v>4.0825E-2</v>
      </c>
    </row>
    <row r="196" spans="2:4">
      <c r="B196" s="36" t="s">
        <v>329</v>
      </c>
      <c r="C196" s="36" t="str">
        <f t="shared" si="2"/>
        <v>2011</v>
      </c>
      <c r="D196" s="123">
        <v>3.8249999999999999E-2</v>
      </c>
    </row>
    <row r="197" spans="2:4">
      <c r="B197" s="36" t="s">
        <v>330</v>
      </c>
      <c r="C197" s="36" t="str">
        <f t="shared" ref="C197:C260" si="3">MID(B197,1,4)</f>
        <v>2012</v>
      </c>
      <c r="D197" s="123">
        <v>3.7949999999999998E-2</v>
      </c>
    </row>
    <row r="198" spans="2:4">
      <c r="B198" s="36" t="s">
        <v>331</v>
      </c>
      <c r="C198" s="36" t="str">
        <f t="shared" si="3"/>
        <v>2012</v>
      </c>
      <c r="D198" s="123">
        <v>3.9699999999999999E-2</v>
      </c>
    </row>
    <row r="199" spans="2:4">
      <c r="B199" s="36" t="s">
        <v>332</v>
      </c>
      <c r="C199" s="36" t="str">
        <f t="shared" si="3"/>
        <v>2012</v>
      </c>
      <c r="D199" s="123">
        <v>4.1500000000000002E-2</v>
      </c>
    </row>
    <row r="200" spans="2:4">
      <c r="B200" s="36" t="s">
        <v>333</v>
      </c>
      <c r="C200" s="36" t="str">
        <f t="shared" si="3"/>
        <v>2012</v>
      </c>
      <c r="D200" s="123">
        <v>3.8574999999999998E-2</v>
      </c>
    </row>
    <row r="201" spans="2:4">
      <c r="B201" s="36" t="s">
        <v>334</v>
      </c>
      <c r="C201" s="36" t="str">
        <f t="shared" si="3"/>
        <v>2012</v>
      </c>
      <c r="D201" s="123">
        <v>3.2774999999999999E-2</v>
      </c>
    </row>
    <row r="202" spans="2:4">
      <c r="B202" s="36" t="s">
        <v>335</v>
      </c>
      <c r="C202" s="36" t="str">
        <f t="shared" si="3"/>
        <v>2012</v>
      </c>
      <c r="D202" s="123">
        <v>2.9950000000000001E-2</v>
      </c>
    </row>
    <row r="203" spans="2:4">
      <c r="B203" s="36" t="s">
        <v>336</v>
      </c>
      <c r="C203" s="36" t="str">
        <f t="shared" si="3"/>
        <v>2012</v>
      </c>
      <c r="D203" s="123">
        <v>2.8875000000000001E-2</v>
      </c>
    </row>
    <row r="204" spans="2:4">
      <c r="B204" s="36" t="s">
        <v>337</v>
      </c>
      <c r="C204" s="36" t="str">
        <f t="shared" si="3"/>
        <v>2012</v>
      </c>
      <c r="D204" s="123">
        <v>3.1875000000000001E-2</v>
      </c>
    </row>
    <row r="205" spans="2:4">
      <c r="B205" s="36" t="s">
        <v>338</v>
      </c>
      <c r="C205" s="36" t="str">
        <f t="shared" si="3"/>
        <v>2012</v>
      </c>
      <c r="D205" s="123">
        <v>3.0925000000000001E-2</v>
      </c>
    </row>
    <row r="206" spans="2:4">
      <c r="B206" s="36" t="s">
        <v>339</v>
      </c>
      <c r="C206" s="36" t="str">
        <f t="shared" si="3"/>
        <v>2012</v>
      </c>
      <c r="D206" s="123">
        <v>3.0224999999999998E-2</v>
      </c>
    </row>
    <row r="207" spans="2:4">
      <c r="B207" s="36" t="s">
        <v>340</v>
      </c>
      <c r="C207" s="36" t="str">
        <f t="shared" si="3"/>
        <v>2012</v>
      </c>
      <c r="D207" s="123">
        <v>3.0875E-2</v>
      </c>
    </row>
    <row r="208" spans="2:4">
      <c r="B208" s="36" t="s">
        <v>341</v>
      </c>
      <c r="C208" s="36" t="str">
        <f t="shared" si="3"/>
        <v>2012</v>
      </c>
      <c r="D208" s="123">
        <v>3.2274999999999998E-2</v>
      </c>
    </row>
    <row r="209" spans="2:4">
      <c r="B209" s="36" t="s">
        <v>342</v>
      </c>
      <c r="C209" s="36" t="str">
        <f t="shared" si="3"/>
        <v>2013</v>
      </c>
      <c r="D209" s="123">
        <v>3.3974999999999998E-2</v>
      </c>
    </row>
    <row r="210" spans="2:4">
      <c r="B210" s="36" t="s">
        <v>343</v>
      </c>
      <c r="C210" s="36" t="str">
        <f t="shared" si="3"/>
        <v>2013</v>
      </c>
      <c r="D210" s="123">
        <v>3.4974999999999999E-2</v>
      </c>
    </row>
    <row r="211" spans="2:4">
      <c r="B211" s="36" t="s">
        <v>344</v>
      </c>
      <c r="C211" s="36" t="str">
        <f t="shared" si="3"/>
        <v>2013</v>
      </c>
      <c r="D211" s="123">
        <v>3.5125000000000003E-2</v>
      </c>
    </row>
    <row r="212" spans="2:4">
      <c r="B212" s="36" t="s">
        <v>345</v>
      </c>
      <c r="C212" s="36" t="str">
        <f t="shared" si="3"/>
        <v>2013</v>
      </c>
      <c r="D212" s="123">
        <v>3.245E-2</v>
      </c>
    </row>
    <row r="213" spans="2:4">
      <c r="B213" s="36" t="s">
        <v>346</v>
      </c>
      <c r="C213" s="36" t="str">
        <f t="shared" si="3"/>
        <v>2013</v>
      </c>
      <c r="D213" s="123">
        <v>3.2250000000000001E-2</v>
      </c>
    </row>
    <row r="214" spans="2:4">
      <c r="B214" s="36" t="s">
        <v>347</v>
      </c>
      <c r="C214" s="36" t="str">
        <f t="shared" si="3"/>
        <v>2013</v>
      </c>
      <c r="D214" s="123">
        <v>3.5400000000000001E-2</v>
      </c>
    </row>
    <row r="215" spans="2:4">
      <c r="B215" s="36" t="s">
        <v>348</v>
      </c>
      <c r="C215" s="36" t="str">
        <f t="shared" si="3"/>
        <v>2013</v>
      </c>
      <c r="D215" s="123">
        <v>3.7499999999999999E-2</v>
      </c>
    </row>
    <row r="216" spans="2:4">
      <c r="B216" s="36" t="s">
        <v>349</v>
      </c>
      <c r="C216" s="36" t="str">
        <f t="shared" si="3"/>
        <v>2013</v>
      </c>
      <c r="D216" s="123">
        <v>3.8600000000000002E-2</v>
      </c>
    </row>
    <row r="217" spans="2:4">
      <c r="B217" s="36" t="s">
        <v>350</v>
      </c>
      <c r="C217" s="36" t="str">
        <f t="shared" si="3"/>
        <v>2013</v>
      </c>
      <c r="D217" s="123">
        <v>3.9949999999999999E-2</v>
      </c>
    </row>
    <row r="218" spans="2:4">
      <c r="B218" s="36" t="s">
        <v>351</v>
      </c>
      <c r="C218" s="36" t="str">
        <f t="shared" si="3"/>
        <v>2013</v>
      </c>
      <c r="D218" s="123">
        <v>3.9699999999999999E-2</v>
      </c>
    </row>
    <row r="219" spans="2:4">
      <c r="B219" s="36" t="s">
        <v>352</v>
      </c>
      <c r="C219" s="36" t="str">
        <f t="shared" si="3"/>
        <v>2013</v>
      </c>
      <c r="D219" s="123">
        <v>4.1250000000000002E-2</v>
      </c>
    </row>
    <row r="220" spans="2:4">
      <c r="B220" s="36" t="s">
        <v>353</v>
      </c>
      <c r="C220" s="36" t="str">
        <f t="shared" si="3"/>
        <v>2013</v>
      </c>
      <c r="D220" s="123">
        <v>4.2424999999999997E-2</v>
      </c>
    </row>
    <row r="221" spans="2:4">
      <c r="B221" s="36" t="s">
        <v>354</v>
      </c>
      <c r="C221" s="36" t="str">
        <f t="shared" si="3"/>
        <v>2014</v>
      </c>
      <c r="D221" s="123">
        <v>4.1825000000000001E-2</v>
      </c>
    </row>
    <row r="222" spans="2:4">
      <c r="B222" s="36" t="s">
        <v>355</v>
      </c>
      <c r="C222" s="36" t="str">
        <f t="shared" si="3"/>
        <v>2014</v>
      </c>
      <c r="D222" s="123">
        <v>4.1200000000000001E-2</v>
      </c>
    </row>
    <row r="223" spans="2:4">
      <c r="B223" s="36" t="s">
        <v>356</v>
      </c>
      <c r="C223" s="36" t="str">
        <f t="shared" si="3"/>
        <v>2014</v>
      </c>
      <c r="D223" s="123">
        <v>4.1024999999999999E-2</v>
      </c>
    </row>
    <row r="224" spans="2:4">
      <c r="B224" s="36" t="s">
        <v>357</v>
      </c>
      <c r="C224" s="36" t="str">
        <f t="shared" si="3"/>
        <v>2014</v>
      </c>
      <c r="D224" s="123">
        <v>4.0300000000000002E-2</v>
      </c>
    </row>
    <row r="225" spans="2:4">
      <c r="B225" s="36" t="s">
        <v>358</v>
      </c>
      <c r="C225" s="36" t="str">
        <f t="shared" si="3"/>
        <v>2014</v>
      </c>
      <c r="D225" s="123">
        <v>3.7749999999999999E-2</v>
      </c>
    </row>
    <row r="226" spans="2:4">
      <c r="B226" s="36" t="s">
        <v>359</v>
      </c>
      <c r="C226" s="36" t="str">
        <f t="shared" si="3"/>
        <v>2014</v>
      </c>
      <c r="D226" s="123">
        <v>3.7025000000000002E-2</v>
      </c>
    </row>
    <row r="227" spans="2:4">
      <c r="B227" s="36" t="s">
        <v>360</v>
      </c>
      <c r="C227" s="36" t="str">
        <f t="shared" si="3"/>
        <v>2014</v>
      </c>
      <c r="D227" s="123">
        <v>3.4674999999999997E-2</v>
      </c>
    </row>
    <row r="228" spans="2:4">
      <c r="B228" s="36" t="s">
        <v>361</v>
      </c>
      <c r="C228" s="36" t="str">
        <f t="shared" si="3"/>
        <v>2014</v>
      </c>
      <c r="D228" s="123">
        <v>3.4099999999999998E-2</v>
      </c>
    </row>
    <row r="229" spans="2:4">
      <c r="B229" s="36" t="s">
        <v>362</v>
      </c>
      <c r="C229" s="36" t="str">
        <f t="shared" si="3"/>
        <v>2014</v>
      </c>
      <c r="D229" s="123">
        <v>3.5450000000000002E-2</v>
      </c>
    </row>
    <row r="230" spans="2:4">
      <c r="B230" s="36" t="s">
        <v>363</v>
      </c>
      <c r="C230" s="36" t="str">
        <f t="shared" si="3"/>
        <v>2014</v>
      </c>
      <c r="D230" s="123">
        <v>3.3175000000000003E-2</v>
      </c>
    </row>
    <row r="231" spans="2:4">
      <c r="B231" s="36" t="s">
        <v>364</v>
      </c>
      <c r="C231" s="36" t="str">
        <f t="shared" si="3"/>
        <v>2014</v>
      </c>
      <c r="D231" s="123">
        <v>3.2575E-2</v>
      </c>
    </row>
    <row r="232" spans="2:4">
      <c r="B232" s="36" t="s">
        <v>365</v>
      </c>
      <c r="C232" s="36" t="str">
        <f t="shared" si="3"/>
        <v>2014</v>
      </c>
      <c r="D232" s="123">
        <v>2.955E-2</v>
      </c>
    </row>
    <row r="233" spans="2:4">
      <c r="B233" s="36" t="s">
        <v>366</v>
      </c>
      <c r="C233" s="36" t="str">
        <f t="shared" si="3"/>
        <v>2015</v>
      </c>
      <c r="D233" s="123">
        <v>2.6374999999999999E-2</v>
      </c>
    </row>
    <row r="234" spans="2:4">
      <c r="B234" s="36" t="s">
        <v>367</v>
      </c>
      <c r="C234" s="36" t="str">
        <f t="shared" si="3"/>
        <v>2015</v>
      </c>
      <c r="D234" s="123">
        <v>2.5024999999999999E-2</v>
      </c>
    </row>
    <row r="235" spans="2:4">
      <c r="B235" s="36" t="s">
        <v>368</v>
      </c>
      <c r="C235" s="36" t="str">
        <f t="shared" si="3"/>
        <v>2015</v>
      </c>
      <c r="D235" s="123">
        <v>2.4825E-2</v>
      </c>
    </row>
    <row r="236" spans="2:4">
      <c r="B236" s="36" t="s">
        <v>369</v>
      </c>
      <c r="C236" s="36" t="str">
        <f t="shared" si="3"/>
        <v>2015</v>
      </c>
      <c r="D236" s="123">
        <v>2.41E-2</v>
      </c>
    </row>
    <row r="237" spans="2:4">
      <c r="B237" s="36" t="s">
        <v>370</v>
      </c>
      <c r="C237" s="36" t="str">
        <f t="shared" si="3"/>
        <v>2015</v>
      </c>
      <c r="D237" s="123">
        <v>2.8799999999999999E-2</v>
      </c>
    </row>
    <row r="238" spans="2:4">
      <c r="B238" s="36" t="s">
        <v>371</v>
      </c>
      <c r="C238" s="36" t="str">
        <f t="shared" si="3"/>
        <v>2015</v>
      </c>
      <c r="D238" s="123">
        <v>2.9749999999999999E-2</v>
      </c>
    </row>
    <row r="239" spans="2:4">
      <c r="B239" s="36" t="s">
        <v>372</v>
      </c>
      <c r="C239" s="36" t="str">
        <f t="shared" si="3"/>
        <v>2015</v>
      </c>
      <c r="D239" s="123">
        <v>2.9024999999999999E-2</v>
      </c>
    </row>
    <row r="240" spans="2:4">
      <c r="B240" s="36" t="s">
        <v>373</v>
      </c>
      <c r="C240" s="36" t="str">
        <f t="shared" si="3"/>
        <v>2015</v>
      </c>
      <c r="D240" s="123">
        <v>2.7150000000000001E-2</v>
      </c>
    </row>
    <row r="241" spans="2:4">
      <c r="B241" s="36" t="s">
        <v>374</v>
      </c>
      <c r="C241" s="36" t="str">
        <f t="shared" si="3"/>
        <v>2015</v>
      </c>
      <c r="D241" s="123">
        <v>2.6950000000000002E-2</v>
      </c>
    </row>
    <row r="242" spans="2:4">
      <c r="B242" s="36" t="s">
        <v>375</v>
      </c>
      <c r="C242" s="36" t="str">
        <f t="shared" si="3"/>
        <v>2015</v>
      </c>
      <c r="D242" s="123">
        <v>2.6224999999999998E-2</v>
      </c>
    </row>
    <row r="243" spans="2:4">
      <c r="B243" s="36" t="s">
        <v>376</v>
      </c>
      <c r="C243" s="36" t="str">
        <f t="shared" si="3"/>
        <v>2015</v>
      </c>
      <c r="D243" s="123">
        <v>2.8524999999999998E-2</v>
      </c>
    </row>
    <row r="244" spans="2:4">
      <c r="B244" s="36" t="s">
        <v>377</v>
      </c>
      <c r="C244" s="36" t="str">
        <f t="shared" si="3"/>
        <v>2015</v>
      </c>
      <c r="D244" s="123">
        <v>2.845E-2</v>
      </c>
    </row>
    <row r="245" spans="2:4">
      <c r="B245" s="36" t="s">
        <v>378</v>
      </c>
      <c r="C245" s="36" t="str">
        <f t="shared" si="3"/>
        <v>2016</v>
      </c>
      <c r="D245" s="123">
        <v>2.725E-2</v>
      </c>
    </row>
    <row r="246" spans="2:4">
      <c r="B246" s="36" t="s">
        <v>379</v>
      </c>
      <c r="C246" s="36" t="str">
        <f t="shared" si="3"/>
        <v>2016</v>
      </c>
      <c r="D246" s="123">
        <v>2.4750000000000001E-2</v>
      </c>
    </row>
    <row r="247" spans="2:4">
      <c r="B247" s="36" t="s">
        <v>380</v>
      </c>
      <c r="C247" s="36" t="str">
        <f t="shared" si="3"/>
        <v>2016</v>
      </c>
      <c r="D247" s="123">
        <v>2.5675E-2</v>
      </c>
    </row>
    <row r="248" spans="2:4">
      <c r="B248" s="36" t="s">
        <v>381</v>
      </c>
      <c r="C248" s="36" t="str">
        <f t="shared" si="3"/>
        <v>2016</v>
      </c>
      <c r="D248" s="123">
        <v>2.5149999999999999E-2</v>
      </c>
    </row>
    <row r="249" spans="2:4">
      <c r="B249" s="36" t="s">
        <v>382</v>
      </c>
      <c r="C249" s="36" t="str">
        <f t="shared" si="3"/>
        <v>2016</v>
      </c>
      <c r="D249" s="123">
        <v>2.3199999999999998E-2</v>
      </c>
    </row>
    <row r="250" spans="2:4">
      <c r="B250" s="36" t="s">
        <v>383</v>
      </c>
      <c r="C250" s="36" t="str">
        <f t="shared" si="3"/>
        <v>2016</v>
      </c>
      <c r="D250" s="123">
        <v>2.1174999999999999E-2</v>
      </c>
    </row>
    <row r="251" spans="2:4">
      <c r="B251" s="36" t="s">
        <v>384</v>
      </c>
      <c r="C251" s="36" t="str">
        <f t="shared" si="3"/>
        <v>2016</v>
      </c>
      <c r="D251" s="123">
        <v>1.9275E-2</v>
      </c>
    </row>
    <row r="252" spans="2:4">
      <c r="B252" s="36" t="s">
        <v>385</v>
      </c>
      <c r="C252" s="36" t="str">
        <f t="shared" si="3"/>
        <v>2016</v>
      </c>
      <c r="D252" s="123">
        <v>1.8749999999999999E-2</v>
      </c>
    </row>
    <row r="253" spans="2:4">
      <c r="B253" s="36" t="s">
        <v>386</v>
      </c>
      <c r="C253" s="36" t="str">
        <f t="shared" si="3"/>
        <v>2016</v>
      </c>
      <c r="D253" s="123">
        <v>1.985E-2</v>
      </c>
    </row>
    <row r="254" spans="2:4">
      <c r="B254" s="36" t="s">
        <v>387</v>
      </c>
      <c r="C254" s="36" t="str">
        <f t="shared" si="3"/>
        <v>2016</v>
      </c>
      <c r="D254" s="123">
        <v>2.1999999999999999E-2</v>
      </c>
    </row>
    <row r="255" spans="2:4">
      <c r="B255" s="36" t="s">
        <v>388</v>
      </c>
      <c r="C255" s="36" t="str">
        <f t="shared" si="3"/>
        <v>2016</v>
      </c>
      <c r="D255" s="123">
        <v>2.5049999999999999E-2</v>
      </c>
    </row>
    <row r="256" spans="2:4">
      <c r="B256" s="36" t="s">
        <v>389</v>
      </c>
      <c r="C256" s="36" t="str">
        <f t="shared" si="3"/>
        <v>2016</v>
      </c>
      <c r="D256" s="123">
        <v>2.7924999999999998E-2</v>
      </c>
    </row>
    <row r="257" spans="2:4">
      <c r="B257" s="36" t="s">
        <v>390</v>
      </c>
      <c r="C257" s="36" t="str">
        <f t="shared" si="3"/>
        <v>2017</v>
      </c>
      <c r="D257" s="123">
        <v>2.7275000000000001E-2</v>
      </c>
    </row>
    <row r="258" spans="2:4">
      <c r="B258" s="36" t="s">
        <v>391</v>
      </c>
      <c r="C258" s="36" t="str">
        <f t="shared" si="3"/>
        <v>2017</v>
      </c>
      <c r="D258" s="123">
        <v>2.75E-2</v>
      </c>
    </row>
    <row r="259" spans="2:4">
      <c r="B259" s="36" t="s">
        <v>392</v>
      </c>
      <c r="C259" s="36" t="str">
        <f t="shared" si="3"/>
        <v>2017</v>
      </c>
      <c r="D259" s="123">
        <v>2.81E-2</v>
      </c>
    </row>
    <row r="260" spans="2:4">
      <c r="B260" s="36" t="s">
        <v>393</v>
      </c>
      <c r="C260" s="36" t="str">
        <f t="shared" si="3"/>
        <v>2017</v>
      </c>
      <c r="D260" s="123">
        <v>2.5600000000000001E-2</v>
      </c>
    </row>
    <row r="261" spans="2:4">
      <c r="B261" s="36" t="s">
        <v>394</v>
      </c>
      <c r="C261" s="36" t="str">
        <f t="shared" ref="C261:C310" si="4">MID(B261,1,4)</f>
        <v>2017</v>
      </c>
      <c r="D261" s="123">
        <v>2.5425E-2</v>
      </c>
    </row>
    <row r="262" spans="2:4">
      <c r="B262" s="36" t="s">
        <v>395</v>
      </c>
      <c r="C262" s="36" t="str">
        <f t="shared" si="4"/>
        <v>2017</v>
      </c>
      <c r="D262" s="123">
        <v>2.4074999999999999E-2</v>
      </c>
    </row>
    <row r="263" spans="2:4">
      <c r="B263" s="36" t="s">
        <v>396</v>
      </c>
      <c r="C263" s="36" t="str">
        <f t="shared" si="4"/>
        <v>2017</v>
      </c>
      <c r="D263" s="123">
        <v>2.6425000000000001E-2</v>
      </c>
    </row>
    <row r="264" spans="2:4">
      <c r="B264" s="36" t="s">
        <v>397</v>
      </c>
      <c r="C264" s="36" t="str">
        <f t="shared" si="4"/>
        <v>2017</v>
      </c>
      <c r="D264" s="123">
        <v>2.5975000000000002E-2</v>
      </c>
    </row>
    <row r="265" spans="2:4">
      <c r="B265" s="36" t="s">
        <v>398</v>
      </c>
      <c r="C265" s="36" t="str">
        <f t="shared" si="4"/>
        <v>2017</v>
      </c>
      <c r="D265" s="123">
        <v>2.7E-2</v>
      </c>
    </row>
    <row r="266" spans="2:4">
      <c r="B266" s="36" t="s">
        <v>399</v>
      </c>
      <c r="C266" s="36" t="str">
        <f t="shared" si="4"/>
        <v>2017</v>
      </c>
      <c r="D266" s="123">
        <v>2.7799999999999998E-2</v>
      </c>
    </row>
    <row r="267" spans="2:4">
      <c r="B267" s="36" t="s">
        <v>400</v>
      </c>
      <c r="C267" s="36" t="str">
        <f t="shared" si="4"/>
        <v>2017</v>
      </c>
      <c r="D267" s="123">
        <v>2.5700000000000001E-2</v>
      </c>
    </row>
    <row r="268" spans="2:4">
      <c r="B268" s="36" t="s">
        <v>401</v>
      </c>
      <c r="C268" s="36" t="str">
        <f t="shared" si="4"/>
        <v>2017</v>
      </c>
      <c r="D268" s="123">
        <v>2.58E-2</v>
      </c>
    </row>
    <row r="269" spans="2:4">
      <c r="B269" s="36" t="s">
        <v>402</v>
      </c>
      <c r="C269" s="36" t="str">
        <f t="shared" si="4"/>
        <v>2018</v>
      </c>
      <c r="D269" s="123">
        <v>2.75E-2</v>
      </c>
    </row>
    <row r="270" spans="2:4">
      <c r="B270" s="36" t="s">
        <v>403</v>
      </c>
      <c r="C270" s="36" t="str">
        <f t="shared" si="4"/>
        <v>2018</v>
      </c>
      <c r="D270" s="123">
        <v>2.86E-2</v>
      </c>
    </row>
    <row r="271" spans="2:4">
      <c r="B271" s="36" t="s">
        <v>404</v>
      </c>
      <c r="C271" s="36" t="str">
        <f t="shared" si="4"/>
        <v>2018</v>
      </c>
      <c r="D271" s="123">
        <v>2.7199999999999998E-2</v>
      </c>
    </row>
    <row r="272" spans="2:4">
      <c r="B272" s="36" t="s">
        <v>405</v>
      </c>
      <c r="C272" s="36" t="str">
        <f t="shared" si="4"/>
        <v>2018</v>
      </c>
      <c r="D272" s="123">
        <v>2.7400000000000001E-2</v>
      </c>
    </row>
    <row r="273" spans="2:4">
      <c r="B273" s="36" t="s">
        <v>406</v>
      </c>
      <c r="C273" s="36" t="str">
        <f t="shared" si="4"/>
        <v>2018</v>
      </c>
      <c r="D273" s="123">
        <v>2.7900000000000001E-2</v>
      </c>
    </row>
    <row r="274" spans="2:4">
      <c r="B274" s="36" t="s">
        <v>407</v>
      </c>
      <c r="C274" s="36" t="str">
        <f t="shared" si="4"/>
        <v>2018</v>
      </c>
      <c r="D274" s="123">
        <v>2.7E-2</v>
      </c>
    </row>
    <row r="275" spans="2:4">
      <c r="B275" s="36" t="s">
        <v>408</v>
      </c>
      <c r="C275" s="36" t="str">
        <f t="shared" si="4"/>
        <v>2018</v>
      </c>
      <c r="D275" s="123">
        <v>2.64E-2</v>
      </c>
    </row>
    <row r="276" spans="2:4">
      <c r="B276" s="36" t="s">
        <v>409</v>
      </c>
      <c r="C276" s="36" t="str">
        <f t="shared" si="4"/>
        <v>2018</v>
      </c>
      <c r="D276" s="123">
        <v>2.5899999999999999E-2</v>
      </c>
    </row>
    <row r="277" spans="2:4">
      <c r="B277" s="36" t="s">
        <v>410</v>
      </c>
      <c r="C277" s="36" t="str">
        <f t="shared" si="4"/>
        <v>2018</v>
      </c>
      <c r="D277" s="123">
        <v>2.63E-2</v>
      </c>
    </row>
    <row r="278" spans="2:4">
      <c r="B278" s="36" t="s">
        <v>411</v>
      </c>
      <c r="C278" s="36" t="str">
        <f t="shared" si="4"/>
        <v>2018</v>
      </c>
      <c r="D278" s="123">
        <v>2.6800000000000001E-2</v>
      </c>
    </row>
    <row r="279" spans="2:4">
      <c r="B279" s="36" t="s">
        <v>412</v>
      </c>
      <c r="C279" s="36" t="str">
        <f t="shared" si="4"/>
        <v>2018</v>
      </c>
      <c r="D279" s="123">
        <v>2.6800000000000001E-2</v>
      </c>
    </row>
    <row r="280" spans="2:4">
      <c r="B280" s="36" t="s">
        <v>413</v>
      </c>
      <c r="C280" s="36" t="str">
        <f t="shared" si="4"/>
        <v>2018</v>
      </c>
      <c r="D280" s="123">
        <v>2.4299999999999999E-2</v>
      </c>
    </row>
    <row r="281" spans="2:4">
      <c r="B281" s="36" t="s">
        <v>414</v>
      </c>
      <c r="C281" s="36" t="str">
        <f t="shared" si="4"/>
        <v>2019</v>
      </c>
      <c r="D281" s="123">
        <v>2.2700000000000001E-2</v>
      </c>
    </row>
    <row r="282" spans="2:4">
      <c r="B282" s="36" t="s">
        <v>415</v>
      </c>
      <c r="C282" s="36" t="str">
        <f t="shared" si="4"/>
        <v>2019</v>
      </c>
      <c r="D282" s="123">
        <v>2.1299999999999999E-2</v>
      </c>
    </row>
    <row r="283" spans="2:4">
      <c r="B283" s="36" t="s">
        <v>416</v>
      </c>
      <c r="C283" s="36" t="str">
        <f t="shared" si="4"/>
        <v>2019</v>
      </c>
      <c r="D283" s="123">
        <v>1.9599999999999999E-2</v>
      </c>
    </row>
    <row r="284" spans="2:4">
      <c r="B284" s="36" t="s">
        <v>417</v>
      </c>
      <c r="C284" s="36" t="str">
        <f t="shared" si="4"/>
        <v>2019</v>
      </c>
      <c r="D284" s="123">
        <v>1.8599999999999998E-2</v>
      </c>
    </row>
    <row r="285" spans="2:4">
      <c r="B285" s="36" t="s">
        <v>418</v>
      </c>
      <c r="C285" s="36" t="str">
        <f t="shared" si="4"/>
        <v>2019</v>
      </c>
      <c r="D285" s="123">
        <v>1.6500000000000001E-2</v>
      </c>
    </row>
    <row r="286" spans="2:4">
      <c r="B286" s="36" t="s">
        <v>419</v>
      </c>
      <c r="C286" s="36" t="str">
        <f t="shared" si="4"/>
        <v>2019</v>
      </c>
      <c r="D286" s="123">
        <v>1.38E-2</v>
      </c>
    </row>
    <row r="287" spans="2:4">
      <c r="B287" s="36" t="s">
        <v>420</v>
      </c>
      <c r="C287" s="36" t="str">
        <f t="shared" si="4"/>
        <v>2019</v>
      </c>
      <c r="D287" s="123">
        <v>1.3100000000000001E-2</v>
      </c>
    </row>
    <row r="288" spans="2:4">
      <c r="B288" s="36" t="s">
        <v>421</v>
      </c>
      <c r="C288" s="36" t="str">
        <f t="shared" si="4"/>
        <v>2019</v>
      </c>
      <c r="D288" s="123">
        <v>9.4999999999999998E-3</v>
      </c>
    </row>
    <row r="289" spans="2:4">
      <c r="B289" s="36" t="s">
        <v>422</v>
      </c>
      <c r="C289" s="36" t="str">
        <f t="shared" si="4"/>
        <v>2019</v>
      </c>
      <c r="D289" s="123">
        <v>1.03E-2</v>
      </c>
    </row>
    <row r="290" spans="2:4">
      <c r="B290" s="36" t="s">
        <v>423</v>
      </c>
      <c r="C290" s="36" t="str">
        <f t="shared" si="4"/>
        <v>2019</v>
      </c>
      <c r="D290" s="123">
        <v>1.03E-2</v>
      </c>
    </row>
    <row r="291" spans="2:4">
      <c r="B291" s="36" t="s">
        <v>424</v>
      </c>
      <c r="C291" s="36" t="str">
        <f t="shared" si="4"/>
        <v>2019</v>
      </c>
      <c r="D291" s="123">
        <v>1.15E-2</v>
      </c>
    </row>
    <row r="292" spans="2:4">
      <c r="B292" s="36" t="s">
        <v>425</v>
      </c>
      <c r="C292" s="36" t="str">
        <f t="shared" si="4"/>
        <v>2019</v>
      </c>
      <c r="D292" s="123">
        <v>1.2E-2</v>
      </c>
    </row>
    <row r="293" spans="2:4">
      <c r="B293" s="36" t="s">
        <v>426</v>
      </c>
      <c r="C293" s="36" t="str">
        <f t="shared" si="4"/>
        <v>2020</v>
      </c>
      <c r="D293" s="123">
        <v>1.15E-2</v>
      </c>
    </row>
    <row r="294" spans="2:4">
      <c r="B294" s="36" t="s">
        <v>427</v>
      </c>
      <c r="C294" s="36" t="str">
        <f t="shared" si="4"/>
        <v>2020</v>
      </c>
      <c r="D294" s="123">
        <v>9.7999999999999997E-3</v>
      </c>
    </row>
    <row r="295" spans="2:4">
      <c r="B295" s="36" t="s">
        <v>428</v>
      </c>
      <c r="C295" s="36" t="str">
        <f t="shared" si="4"/>
        <v>2020</v>
      </c>
      <c r="D295" s="123">
        <v>8.8999999999999999E-3</v>
      </c>
    </row>
    <row r="296" spans="2:4">
      <c r="B296" s="36" t="s">
        <v>429</v>
      </c>
      <c r="C296" s="36" t="str">
        <f t="shared" si="4"/>
        <v>2020</v>
      </c>
      <c r="D296" s="123">
        <v>8.6E-3</v>
      </c>
    </row>
    <row r="297" spans="2:4">
      <c r="B297" s="36" t="s">
        <v>430</v>
      </c>
      <c r="C297" s="36" t="str">
        <f t="shared" si="4"/>
        <v>2020</v>
      </c>
      <c r="D297" s="123">
        <v>9.1000000000000004E-3</v>
      </c>
    </row>
    <row r="298" spans="2:4">
      <c r="B298" s="36" t="s">
        <v>431</v>
      </c>
      <c r="C298" s="36" t="str">
        <f t="shared" si="4"/>
        <v>2020</v>
      </c>
      <c r="D298" s="123">
        <v>9.1999999999999998E-3</v>
      </c>
    </row>
    <row r="299" spans="2:4">
      <c r="B299" s="36" t="s">
        <v>432</v>
      </c>
      <c r="C299" s="36" t="str">
        <f t="shared" si="4"/>
        <v>2020</v>
      </c>
      <c r="D299" s="123">
        <v>8.8000000000000005E-3</v>
      </c>
    </row>
    <row r="300" spans="2:4">
      <c r="B300" s="36" t="s">
        <v>433</v>
      </c>
      <c r="C300" s="36" t="str">
        <f t="shared" si="4"/>
        <v>2020</v>
      </c>
      <c r="D300" s="123">
        <v>8.8999999999999999E-3</v>
      </c>
    </row>
    <row r="301" spans="2:4">
      <c r="B301" s="36" t="s">
        <v>434</v>
      </c>
      <c r="C301" s="36" t="str">
        <f t="shared" si="4"/>
        <v>2020</v>
      </c>
      <c r="D301" s="123">
        <v>8.9999999999999993E-3</v>
      </c>
    </row>
    <row r="302" spans="2:4">
      <c r="B302" s="36" t="s">
        <v>435</v>
      </c>
      <c r="C302" s="36" t="str">
        <f t="shared" si="4"/>
        <v>2020</v>
      </c>
      <c r="D302" s="123">
        <v>8.2000000000000007E-3</v>
      </c>
    </row>
    <row r="303" spans="2:4">
      <c r="B303" s="36" t="s">
        <v>436</v>
      </c>
      <c r="C303" s="36" t="str">
        <f t="shared" si="4"/>
        <v>2020</v>
      </c>
      <c r="D303" s="123">
        <v>8.6999999999999994E-3</v>
      </c>
    </row>
    <row r="304" spans="2:4">
      <c r="B304" s="36" t="s">
        <v>437</v>
      </c>
      <c r="C304" s="36" t="str">
        <f t="shared" si="4"/>
        <v>2020</v>
      </c>
      <c r="D304" s="123">
        <v>9.7999999999999997E-3</v>
      </c>
    </row>
    <row r="305" spans="2:6">
      <c r="B305" s="36" t="s">
        <v>438</v>
      </c>
      <c r="C305" s="36" t="str">
        <f t="shared" si="4"/>
        <v>2021</v>
      </c>
      <c r="D305" s="123">
        <v>1.0500000000000001E-2</v>
      </c>
    </row>
    <row r="306" spans="2:6">
      <c r="B306" s="36" t="s">
        <v>439</v>
      </c>
      <c r="C306" s="36" t="str">
        <f t="shared" si="4"/>
        <v>2021</v>
      </c>
      <c r="D306" s="123">
        <v>1.32E-2</v>
      </c>
    </row>
    <row r="307" spans="2:6">
      <c r="B307" s="36" t="s">
        <v>440</v>
      </c>
      <c r="C307" s="36" t="str">
        <f t="shared" si="4"/>
        <v>2021</v>
      </c>
      <c r="D307" s="123">
        <v>1.6899999999999998E-2</v>
      </c>
    </row>
    <row r="308" spans="2:6">
      <c r="B308" s="36" t="s">
        <v>441</v>
      </c>
      <c r="C308" s="36" t="str">
        <f t="shared" si="4"/>
        <v>2021</v>
      </c>
      <c r="D308" s="123">
        <v>1.6500000000000001E-2</v>
      </c>
    </row>
    <row r="309" spans="2:6">
      <c r="B309" s="36" t="s">
        <v>442</v>
      </c>
      <c r="C309" s="36" t="str">
        <f t="shared" si="4"/>
        <v>2021</v>
      </c>
      <c r="D309" s="123">
        <v>1.6199999999999999E-2</v>
      </c>
    </row>
    <row r="310" spans="2:6">
      <c r="B310" s="36" t="s">
        <v>443</v>
      </c>
      <c r="C310" s="36" t="str">
        <f t="shared" si="4"/>
        <v>2021</v>
      </c>
      <c r="D310" s="123">
        <v>1.52E-2</v>
      </c>
    </row>
    <row r="311" spans="2:6">
      <c r="B311" s="12"/>
      <c r="C311" s="12"/>
      <c r="D311" s="12"/>
      <c r="E311" s="12"/>
      <c r="F311" s="12"/>
    </row>
    <row r="312" spans="2:6">
      <c r="B312" s="260" t="s">
        <v>527</v>
      </c>
      <c r="C312" s="259"/>
      <c r="D312" s="259"/>
      <c r="E312" s="259"/>
      <c r="F312" s="288"/>
    </row>
    <row r="314" spans="2:6"/>
  </sheetData>
  <autoFilter ref="B4:D310" xr:uid="{00000000-0001-0000-01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XFC29"/>
  <sheetViews>
    <sheetView showGridLines="0" zoomScaleNormal="85" workbookViewId="0">
      <selection activeCell="H16" sqref="H16"/>
    </sheetView>
  </sheetViews>
  <sheetFormatPr defaultColWidth="0" defaultRowHeight="12.75" zeroHeight="1"/>
  <cols>
    <col min="1" max="1" width="3" customWidth="1"/>
    <col min="2" max="3" width="8.85546875" style="3" customWidth="1"/>
    <col min="4" max="4" width="12.42578125" customWidth="1"/>
    <col min="5" max="5" width="16.85546875" style="2" customWidth="1"/>
    <col min="6" max="6" width="10.7109375" style="2" customWidth="1"/>
    <col min="7" max="7" width="13" style="2" customWidth="1"/>
    <col min="8" max="8" width="20" bestFit="1" customWidth="1"/>
    <col min="9" max="10" width="8.85546875" hidden="1"/>
    <col min="11" max="11" width="9.140625" hidden="1"/>
    <col min="12" max="12" width="12.28515625" hidden="1"/>
    <col min="13" max="13" width="6.7109375" hidden="1"/>
    <col min="14" max="14" width="6.28515625" hidden="1"/>
    <col min="15" max="15" width="10" hidden="1"/>
    <col min="16" max="16" width="8.85546875" hidden="1"/>
    <col min="17" max="17" width="12" hidden="1"/>
    <col min="18" max="16383" width="8.85546875" hidden="1"/>
    <col min="16384" max="16384" width="0.140625" hidden="1"/>
  </cols>
  <sheetData>
    <row r="1" spans="1:12" s="86" customFormat="1" ht="26.25">
      <c r="A1" s="84"/>
      <c r="B1" s="85" t="s">
        <v>462</v>
      </c>
      <c r="H1" s="84"/>
    </row>
    <row r="2" spans="1:12" s="83" customFormat="1" ht="21">
      <c r="B2" s="87"/>
    </row>
    <row r="3" spans="1:12"/>
    <row r="4" spans="1:12">
      <c r="A4" s="19"/>
      <c r="B4" s="51" t="s">
        <v>0</v>
      </c>
      <c r="C4" s="144"/>
      <c r="D4" s="61"/>
      <c r="E4" s="145"/>
      <c r="F4" s="145"/>
      <c r="G4" s="146"/>
      <c r="H4" s="19"/>
    </row>
    <row r="5" spans="1:12" ht="15" customHeight="1">
      <c r="A5" s="19"/>
      <c r="B5" s="52"/>
      <c r="C5" s="19" t="s">
        <v>496</v>
      </c>
      <c r="D5" s="19"/>
      <c r="E5" s="20"/>
      <c r="F5" s="20"/>
      <c r="G5" s="147"/>
      <c r="H5" s="19"/>
    </row>
    <row r="6" spans="1:12" s="1" customFormat="1" ht="25.5">
      <c r="A6" s="22"/>
      <c r="B6" s="148"/>
      <c r="C6" s="149"/>
      <c r="D6" s="23"/>
      <c r="E6" s="24" t="s">
        <v>1</v>
      </c>
      <c r="F6" s="27"/>
      <c r="G6" s="212" t="s">
        <v>37</v>
      </c>
      <c r="I6"/>
      <c r="J6"/>
      <c r="K6"/>
      <c r="L6"/>
    </row>
    <row r="7" spans="1:12">
      <c r="A7" s="19"/>
      <c r="B7" s="52"/>
      <c r="C7" s="18"/>
      <c r="D7" s="297" t="s">
        <v>2</v>
      </c>
      <c r="E7" s="152">
        <f>MIN('D1'!I$467:I$612)</f>
        <v>0.11749999999999972</v>
      </c>
      <c r="F7" s="153"/>
      <c r="G7" s="154">
        <f>E7%*(1-0.6)</f>
        <v>4.699999999999989E-4</v>
      </c>
    </row>
    <row r="8" spans="1:12">
      <c r="A8" s="19"/>
      <c r="B8" s="52"/>
      <c r="C8" s="18"/>
      <c r="D8" s="298" t="s">
        <v>3</v>
      </c>
      <c r="E8" s="152">
        <f>AVERAGE('D1'!I$467:I$612)</f>
        <v>0.45260273972602749</v>
      </c>
      <c r="F8" s="153"/>
      <c r="G8" s="154">
        <f>E8%*(1-0.6)</f>
        <v>1.8104109589041101E-3</v>
      </c>
    </row>
    <row r="9" spans="1:12">
      <c r="A9" s="19"/>
      <c r="B9" s="53"/>
      <c r="C9" s="150"/>
      <c r="D9" s="299" t="s">
        <v>4</v>
      </c>
      <c r="E9" s="155">
        <f>MAX('D1'!I$467:I$612)</f>
        <v>0.98</v>
      </c>
      <c r="F9" s="156"/>
      <c r="G9" s="157">
        <f>E9%*(1-0.6)</f>
        <v>3.9199999999999999E-3</v>
      </c>
    </row>
    <row r="10" spans="1:12">
      <c r="A10" s="19"/>
      <c r="B10" s="18"/>
      <c r="C10" s="18"/>
      <c r="D10" s="20"/>
      <c r="E10" s="26"/>
      <c r="F10" s="19"/>
      <c r="G10" s="21"/>
    </row>
    <row r="11" spans="1:12">
      <c r="A11" s="19"/>
      <c r="B11" s="51" t="s">
        <v>477</v>
      </c>
      <c r="C11" s="144"/>
      <c r="D11" s="61"/>
      <c r="E11" s="145"/>
      <c r="F11" s="145"/>
      <c r="G11" s="146"/>
      <c r="H11" s="19"/>
    </row>
    <row r="12" spans="1:12">
      <c r="A12" s="19"/>
      <c r="B12" s="52"/>
      <c r="C12" s="19" t="s">
        <v>6</v>
      </c>
      <c r="D12" s="19"/>
      <c r="E12" s="20"/>
      <c r="F12" s="20"/>
      <c r="G12" s="147"/>
      <c r="H12" s="19"/>
    </row>
    <row r="13" spans="1:12" ht="25.5">
      <c r="A13" s="19"/>
      <c r="B13" s="52"/>
      <c r="C13" s="18"/>
      <c r="D13" s="227" t="s">
        <v>495</v>
      </c>
      <c r="E13" s="24" t="s">
        <v>7</v>
      </c>
      <c r="F13" s="24" t="s">
        <v>8</v>
      </c>
      <c r="G13" s="151" t="s">
        <v>478</v>
      </c>
      <c r="H13" s="19"/>
    </row>
    <row r="14" spans="1:12">
      <c r="A14" s="19"/>
      <c r="B14" s="52"/>
      <c r="C14" s="18"/>
      <c r="D14" s="153" t="s">
        <v>512</v>
      </c>
      <c r="E14" s="300">
        <f>AVERAGE('D1'!H$11:H$612)%</f>
        <v>7.6233996685494396E-2</v>
      </c>
      <c r="F14" s="300">
        <f>AVERAGE('D1'!G$11:G$612)%</f>
        <v>7.374540976355988E-2</v>
      </c>
      <c r="G14" s="160">
        <f>E14-F14</f>
        <v>2.4885869219345158E-3</v>
      </c>
      <c r="H14" s="264"/>
    </row>
    <row r="15" spans="1:12">
      <c r="A15" s="19"/>
      <c r="B15" s="52"/>
      <c r="C15" s="18"/>
      <c r="D15" s="153" t="s">
        <v>513</v>
      </c>
      <c r="E15" s="300">
        <f>AVERAGE('D1'!H$107:H$612)%</f>
        <v>7.3951909100133661E-2</v>
      </c>
      <c r="F15" s="300">
        <f>AVERAGE('D1'!G$107:G$612)%</f>
        <v>7.1453234540835978E-2</v>
      </c>
      <c r="G15" s="160">
        <f>E15-F15</f>
        <v>2.4986745592976839E-3</v>
      </c>
      <c r="H15" s="264"/>
    </row>
    <row r="16" spans="1:12">
      <c r="A16" s="19"/>
      <c r="B16" s="52"/>
      <c r="C16" s="18"/>
      <c r="D16" s="153" t="s">
        <v>514</v>
      </c>
      <c r="E16" s="300">
        <f>AVERAGE('D1'!H$203:H$612)%</f>
        <v>5.9377965865043014E-2</v>
      </c>
      <c r="F16" s="300">
        <f>AVERAGE('D1'!G$203:G$612)%</f>
        <v>5.6544235799178021E-2</v>
      </c>
      <c r="G16" s="160">
        <f>E16-F16</f>
        <v>2.8337300658649936E-3</v>
      </c>
      <c r="H16" s="264"/>
    </row>
    <row r="17" spans="1:18">
      <c r="A17" s="19"/>
      <c r="B17" s="53"/>
      <c r="C17" s="150"/>
      <c r="D17" s="156" t="s">
        <v>515</v>
      </c>
      <c r="E17" s="301">
        <f>AVERAGE('D1'!H$467:H$612)%</f>
        <v>2.9227739726027401E-2</v>
      </c>
      <c r="F17" s="301">
        <f>AVERAGE('D1'!G$467:G$612)%</f>
        <v>2.4701712328767132E-2</v>
      </c>
      <c r="G17" s="161">
        <f>E17-F17</f>
        <v>4.5260273972602683E-3</v>
      </c>
      <c r="H17" s="264"/>
    </row>
    <row r="18" spans="1:18">
      <c r="A18" s="19"/>
      <c r="B18" s="18"/>
      <c r="C18" s="18"/>
      <c r="D18" s="19"/>
      <c r="E18" s="20"/>
      <c r="F18" s="20"/>
      <c r="G18" s="20"/>
      <c r="H18" s="264"/>
      <c r="M18" s="232"/>
    </row>
    <row r="19" spans="1:18">
      <c r="A19" s="19"/>
      <c r="B19" s="51" t="s">
        <v>5</v>
      </c>
      <c r="C19" s="144"/>
      <c r="D19" s="61"/>
      <c r="E19" s="145"/>
      <c r="F19" s="145"/>
      <c r="G19" s="146"/>
      <c r="H19" s="264"/>
    </row>
    <row r="20" spans="1:18">
      <c r="A20" s="19"/>
      <c r="B20" s="52"/>
      <c r="C20" s="19" t="s">
        <v>6</v>
      </c>
      <c r="D20" s="19"/>
      <c r="E20" s="20"/>
      <c r="F20" s="20"/>
      <c r="G20" s="147"/>
      <c r="H20" s="264"/>
    </row>
    <row r="21" spans="1:18" ht="25.5">
      <c r="A21" s="19"/>
      <c r="B21" s="52"/>
      <c r="C21" s="18"/>
      <c r="D21" s="227" t="s">
        <v>495</v>
      </c>
      <c r="E21" s="24" t="s">
        <v>7</v>
      </c>
      <c r="F21" s="24" t="s">
        <v>8</v>
      </c>
      <c r="G21" s="151" t="s">
        <v>476</v>
      </c>
      <c r="H21" s="264"/>
    </row>
    <row r="22" spans="1:18">
      <c r="A22" s="19"/>
      <c r="B22" s="52"/>
      <c r="C22" s="18"/>
      <c r="D22" s="153" t="s">
        <v>512</v>
      </c>
      <c r="E22" s="302">
        <f>AVERAGE('D2'!$F$94:$F$143)-1</f>
        <v>6.665923530279505E-2</v>
      </c>
      <c r="F22" s="302">
        <f>AVERAGE('D2'!$G$94:$G$143)-1</f>
        <v>6.9040246174908892E-2</v>
      </c>
      <c r="G22" s="158">
        <f>E22-F22</f>
        <v>-2.3810108721138423E-3</v>
      </c>
      <c r="H22" s="264"/>
    </row>
    <row r="23" spans="1:18">
      <c r="A23" s="19"/>
      <c r="B23" s="52"/>
      <c r="C23" s="18"/>
      <c r="D23" s="153" t="s">
        <v>513</v>
      </c>
      <c r="E23" s="302">
        <f>AVERAGE('D2'!$F$102:$F$143)-1</f>
        <v>6.799908964618484E-2</v>
      </c>
      <c r="F23" s="302">
        <f>AVERAGE('D2'!$G$102:$G$143)-1</f>
        <v>7.066934068441566E-2</v>
      </c>
      <c r="G23" s="158">
        <f>E23-F23</f>
        <v>-2.6702510382308198E-3</v>
      </c>
      <c r="H23" s="264"/>
    </row>
    <row r="24" spans="1:18">
      <c r="A24" s="19"/>
      <c r="B24" s="52"/>
      <c r="C24" s="18"/>
      <c r="D24" s="153" t="s">
        <v>514</v>
      </c>
      <c r="E24" s="302">
        <f>AVERAGE('D2'!$F$110:$F$143)-1</f>
        <v>6.5087110739404874E-2</v>
      </c>
      <c r="F24" s="302">
        <f>AVERAGE('D2'!$G$110:$G$143)-1</f>
        <v>6.8097420845454115E-2</v>
      </c>
      <c r="G24" s="158">
        <f>E24-F24</f>
        <v>-3.010310106049241E-3</v>
      </c>
      <c r="H24" s="264"/>
    </row>
    <row r="25" spans="1:18">
      <c r="A25" s="19"/>
      <c r="B25" s="53"/>
      <c r="C25" s="150"/>
      <c r="D25" s="156" t="s">
        <v>515</v>
      </c>
      <c r="E25" s="303">
        <f>AVERAGE('D2'!$F$132:$F$143)-1</f>
        <v>6.8847453194925246E-2</v>
      </c>
      <c r="F25" s="303">
        <f>AVERAGE('D2'!$G$132:$G$143)-1</f>
        <v>7.3246666666666682E-2</v>
      </c>
      <c r="G25" s="159">
        <f>E25-F25</f>
        <v>-4.3992134717414366E-3</v>
      </c>
      <c r="H25" s="264"/>
    </row>
    <row r="26" spans="1:18">
      <c r="A26" s="19"/>
      <c r="B26" s="18"/>
      <c r="C26" s="18"/>
      <c r="D26" s="19"/>
      <c r="E26" s="25"/>
      <c r="F26" s="28"/>
      <c r="G26" s="20"/>
      <c r="H26" s="264"/>
    </row>
    <row r="27" spans="1:18" ht="15">
      <c r="A27" s="19"/>
      <c r="B27" s="260" t="s">
        <v>527</v>
      </c>
      <c r="C27" s="259"/>
      <c r="D27" s="259"/>
      <c r="E27" s="259"/>
      <c r="F27" s="259"/>
      <c r="G27" s="259"/>
      <c r="H27" s="288"/>
      <c r="I27" s="259"/>
      <c r="J27" s="259"/>
      <c r="K27" s="259"/>
      <c r="L27" s="259"/>
      <c r="M27" s="259"/>
      <c r="N27" s="259"/>
      <c r="O27" s="259"/>
      <c r="P27" s="259"/>
      <c r="Q27" s="259"/>
      <c r="R27" s="259"/>
    </row>
    <row r="28" spans="1:18">
      <c r="H28" s="265"/>
    </row>
    <row r="29" spans="1:18" hidden="1">
      <c r="H29" s="2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Q47"/>
  <sheetViews>
    <sheetView showGridLines="0" zoomScale="80" zoomScaleNormal="80" workbookViewId="0">
      <selection activeCell="E4" sqref="E4"/>
    </sheetView>
  </sheetViews>
  <sheetFormatPr defaultColWidth="0" defaultRowHeight="12.75" zeroHeight="1"/>
  <cols>
    <col min="1" max="1" width="4.85546875" customWidth="1"/>
    <col min="2" max="2" width="8.85546875" style="222" customWidth="1"/>
    <col min="3" max="3" width="8.85546875" customWidth="1"/>
    <col min="4" max="4" width="29.42578125" style="3" customWidth="1"/>
    <col min="5" max="5" width="16.140625" style="2" customWidth="1"/>
    <col min="6" max="10" width="16.140625" customWidth="1"/>
    <col min="11" max="11" width="8.85546875" customWidth="1"/>
    <col min="12" max="17" width="0" hidden="1" customWidth="1"/>
    <col min="18" max="16384" width="8.85546875" hidden="1"/>
  </cols>
  <sheetData>
    <row r="1" spans="1:11" s="86" customFormat="1" ht="26.25">
      <c r="A1" s="84"/>
      <c r="B1" s="220" t="s">
        <v>493</v>
      </c>
      <c r="D1" s="84"/>
      <c r="H1" s="84"/>
      <c r="J1" s="84"/>
    </row>
    <row r="2" spans="1:11" s="83" customFormat="1" ht="21">
      <c r="B2" s="221"/>
      <c r="D2" s="223"/>
    </row>
    <row r="3" spans="1:11">
      <c r="A3" s="19"/>
      <c r="B3" s="218"/>
      <c r="C3" s="19"/>
      <c r="D3" s="18"/>
      <c r="E3" s="20"/>
      <c r="F3" s="19"/>
      <c r="G3" s="19"/>
      <c r="H3" s="19"/>
      <c r="I3" s="19"/>
      <c r="J3" s="19"/>
      <c r="K3" s="19"/>
    </row>
    <row r="4" spans="1:11" ht="15.75" thickBot="1">
      <c r="A4" s="19"/>
      <c r="B4" s="218" t="s">
        <v>539</v>
      </c>
      <c r="C4" s="49"/>
      <c r="D4" s="224"/>
      <c r="E4" s="215"/>
      <c r="F4" s="49"/>
      <c r="G4" s="49"/>
      <c r="H4" s="49"/>
      <c r="I4" s="49"/>
      <c r="J4" s="49"/>
      <c r="K4" s="49"/>
    </row>
    <row r="5" spans="1:11" ht="45">
      <c r="A5" s="19"/>
      <c r="B5" s="218"/>
      <c r="C5" s="49"/>
      <c r="D5" s="225"/>
      <c r="E5" s="216" t="s">
        <v>12</v>
      </c>
      <c r="F5" s="209" t="s">
        <v>13</v>
      </c>
      <c r="G5" s="165" t="s">
        <v>14</v>
      </c>
      <c r="H5" s="165" t="s">
        <v>15</v>
      </c>
      <c r="I5" s="317" t="s">
        <v>16</v>
      </c>
      <c r="J5" s="318"/>
      <c r="K5" s="49"/>
    </row>
    <row r="6" spans="1:11" ht="15">
      <c r="A6" s="19"/>
      <c r="B6" s="218"/>
      <c r="C6" s="49"/>
      <c r="D6" s="216" t="s">
        <v>18</v>
      </c>
      <c r="E6" s="166">
        <v>-2E-3</v>
      </c>
      <c r="F6" s="168">
        <f>(E6+(('Verified Inputs'!$C$8-'Verified Inputs'!$C$9)*'Verified Inputs'!$C$12))</f>
        <v>-1.9381393637045549E-4</v>
      </c>
      <c r="G6" s="168">
        <f t="shared" ref="G6" si="0">F6*(1-60%)</f>
        <v>-7.7525574548182197E-5</v>
      </c>
      <c r="H6" s="167">
        <f>G6*8</f>
        <v>-6.2020459638545758E-4</v>
      </c>
      <c r="I6" s="167">
        <f>H6*50%</f>
        <v>-3.1010229819272879E-4</v>
      </c>
      <c r="J6" s="169">
        <f>I6*2000</f>
        <v>-0.62020459638545755</v>
      </c>
      <c r="K6" s="49"/>
    </row>
    <row r="7" spans="1:11" ht="15">
      <c r="A7" s="19"/>
      <c r="B7" s="218"/>
      <c r="C7" s="49"/>
      <c r="D7" s="216" t="s">
        <v>19</v>
      </c>
      <c r="E7" s="166">
        <v>-5.0000000000000001E-3</v>
      </c>
      <c r="F7" s="168">
        <f>(E7+(('Verified Inputs'!$C$8-'Verified Inputs'!$C$9)*'Verified Inputs'!$C$12))</f>
        <v>-3.1938139363704553E-3</v>
      </c>
      <c r="G7" s="167">
        <f>F7*(1-60%)</f>
        <v>-1.2775255745481823E-3</v>
      </c>
      <c r="H7" s="167">
        <f>G7*8</f>
        <v>-1.0220204596385458E-2</v>
      </c>
      <c r="I7" s="167">
        <f>H7*50%</f>
        <v>-5.1101022981927292E-3</v>
      </c>
      <c r="J7" s="169">
        <f>I7*2000</f>
        <v>-10.220204596385459</v>
      </c>
      <c r="K7" s="49"/>
    </row>
    <row r="8" spans="1:11" ht="15">
      <c r="A8" s="19"/>
      <c r="B8" s="218"/>
      <c r="C8" s="49"/>
      <c r="D8" s="216" t="s">
        <v>20</v>
      </c>
      <c r="E8" s="166">
        <v>-0.01</v>
      </c>
      <c r="F8" s="168">
        <f>(E8+(('Verified Inputs'!$C$8-'Verified Inputs'!$C$9)*'Verified Inputs'!$C$12))</f>
        <v>-8.1938139363704563E-3</v>
      </c>
      <c r="G8" s="167">
        <f t="shared" ref="G8" si="1">F8*(1-60%)</f>
        <v>-3.2775255745481828E-3</v>
      </c>
      <c r="H8" s="167">
        <f t="shared" ref="H8" si="2">G8*8</f>
        <v>-2.6220204596385462E-2</v>
      </c>
      <c r="I8" s="167">
        <f t="shared" ref="I8" si="3">H8*50%</f>
        <v>-1.3110102298192731E-2</v>
      </c>
      <c r="J8" s="170">
        <f t="shared" ref="J8" si="4">I8*2000</f>
        <v>-26.220204596385461</v>
      </c>
      <c r="K8" s="49"/>
    </row>
    <row r="9" spans="1:11" ht="15">
      <c r="A9" s="19"/>
      <c r="B9" s="218"/>
      <c r="C9" s="49"/>
      <c r="D9" s="224"/>
      <c r="E9" s="215"/>
      <c r="F9" s="304"/>
      <c r="G9" s="49"/>
      <c r="H9" s="49"/>
      <c r="I9" s="49"/>
      <c r="J9" s="49"/>
      <c r="K9" s="49"/>
    </row>
    <row r="10" spans="1:11" ht="15.75" thickBot="1">
      <c r="A10" s="19"/>
      <c r="B10" s="218" t="s">
        <v>540</v>
      </c>
      <c r="C10" s="49"/>
      <c r="D10" s="224"/>
      <c r="E10" s="215"/>
      <c r="F10" s="49"/>
      <c r="G10" s="49"/>
      <c r="H10" s="49"/>
      <c r="I10" s="49"/>
      <c r="J10" s="49"/>
      <c r="K10" s="49"/>
    </row>
    <row r="11" spans="1:11" ht="45">
      <c r="A11" s="19"/>
      <c r="B11" s="218"/>
      <c r="C11" s="49"/>
      <c r="D11" s="225"/>
      <c r="E11" s="216" t="s">
        <v>12</v>
      </c>
      <c r="F11" s="209" t="s">
        <v>13</v>
      </c>
      <c r="G11" s="165" t="s">
        <v>14</v>
      </c>
      <c r="H11" s="165" t="s">
        <v>15</v>
      </c>
      <c r="I11" s="317" t="s">
        <v>16</v>
      </c>
      <c r="J11" s="318"/>
      <c r="K11" s="49"/>
    </row>
    <row r="12" spans="1:11" ht="15">
      <c r="A12" s="19"/>
      <c r="B12" s="218"/>
      <c r="C12" s="49"/>
      <c r="D12" s="216" t="s">
        <v>19</v>
      </c>
      <c r="E12" s="246">
        <f>-'C1'!G16</f>
        <v>-2.8337300658649936E-3</v>
      </c>
      <c r="F12" s="168">
        <f>(E12+(('Verified Inputs'!$C$8-'Verified Inputs'!$C$9)*'Verified Inputs'!$C$12))</f>
        <v>-1.027544002235449E-3</v>
      </c>
      <c r="G12" s="168">
        <f t="shared" ref="G12" si="5">F12*(1-60%)</f>
        <v>-4.1101760089417964E-4</v>
      </c>
      <c r="H12" s="167">
        <f>G12*8</f>
        <v>-3.2881408071534371E-3</v>
      </c>
      <c r="I12" s="167">
        <f>H12*50%</f>
        <v>-1.6440704035767186E-3</v>
      </c>
      <c r="J12" s="169">
        <f>I12*2000</f>
        <v>-3.2881408071534373</v>
      </c>
      <c r="K12" s="49"/>
    </row>
    <row r="13" spans="1:11" ht="15">
      <c r="A13" s="19"/>
      <c r="B13" s="218"/>
      <c r="C13" s="49"/>
      <c r="D13" s="224"/>
      <c r="E13" s="215"/>
      <c r="F13" s="49"/>
      <c r="G13" s="49"/>
      <c r="H13" s="49"/>
      <c r="I13" s="49"/>
      <c r="J13" s="49"/>
      <c r="K13" s="49"/>
    </row>
    <row r="14" spans="1:11" ht="15">
      <c r="A14" s="19"/>
      <c r="B14" s="218"/>
      <c r="C14" s="49"/>
      <c r="D14" s="224"/>
      <c r="E14" s="215"/>
      <c r="F14" s="49"/>
      <c r="G14" s="49"/>
      <c r="H14" s="49"/>
      <c r="I14" s="49"/>
      <c r="J14" s="49"/>
      <c r="K14" s="49"/>
    </row>
    <row r="15" spans="1:11" ht="14.25">
      <c r="A15" s="19"/>
      <c r="B15" s="218" t="s">
        <v>24</v>
      </c>
      <c r="C15" s="217"/>
      <c r="D15" s="217"/>
      <c r="E15" s="215"/>
      <c r="F15" s="49"/>
      <c r="G15" s="49"/>
      <c r="H15" s="49"/>
      <c r="I15" s="49"/>
      <c r="J15" s="49"/>
      <c r="K15" s="49"/>
    </row>
    <row r="16" spans="1:11" ht="15">
      <c r="A16" s="19"/>
      <c r="B16" s="219"/>
      <c r="D16" s="164"/>
      <c r="E16" s="164" t="s">
        <v>21</v>
      </c>
      <c r="F16" s="49"/>
      <c r="G16" s="49"/>
      <c r="H16" s="49"/>
      <c r="I16" s="49"/>
      <c r="J16" s="49"/>
      <c r="K16" s="49"/>
    </row>
    <row r="17" spans="1:11" ht="15">
      <c r="A17" s="19"/>
      <c r="B17" s="219"/>
      <c r="D17" s="164" t="s">
        <v>11</v>
      </c>
      <c r="E17" s="305">
        <f>'D3'!$G$17</f>
        <v>0.6</v>
      </c>
      <c r="F17" s="49"/>
      <c r="G17" s="49"/>
      <c r="H17" s="49"/>
      <c r="I17" s="49"/>
      <c r="J17" s="49"/>
      <c r="K17" s="49"/>
    </row>
    <row r="18" spans="1:11" ht="15">
      <c r="A18" s="19"/>
      <c r="B18" s="219"/>
      <c r="D18" s="164" t="s">
        <v>10</v>
      </c>
      <c r="E18" s="306">
        <f>'C1'!F24</f>
        <v>6.8097420845454115E-2</v>
      </c>
      <c r="F18" s="49"/>
      <c r="G18" s="50"/>
      <c r="H18" s="49"/>
      <c r="I18" s="49"/>
      <c r="J18" s="49"/>
      <c r="K18" s="49"/>
    </row>
    <row r="19" spans="1:11" ht="15">
      <c r="A19" s="19"/>
      <c r="B19" s="219"/>
      <c r="D19" s="164" t="s">
        <v>9</v>
      </c>
      <c r="E19" s="306">
        <f>'Verified Inputs'!C6</f>
        <v>1.8229166636508701E-2</v>
      </c>
      <c r="F19" s="49"/>
      <c r="G19" s="50"/>
      <c r="H19" s="49"/>
      <c r="I19" s="49"/>
      <c r="J19" s="49"/>
      <c r="K19" s="49"/>
    </row>
    <row r="20" spans="1:11" ht="15.75" thickBot="1">
      <c r="A20" s="19"/>
      <c r="B20" s="218"/>
      <c r="C20" s="49"/>
      <c r="D20" s="224"/>
      <c r="E20" s="215"/>
      <c r="F20" s="49"/>
      <c r="G20" s="49"/>
      <c r="H20" s="49"/>
      <c r="I20" s="49"/>
      <c r="J20" s="49"/>
      <c r="K20" s="49"/>
    </row>
    <row r="21" spans="1:11" ht="30">
      <c r="A21" s="19"/>
      <c r="B21" s="218"/>
      <c r="C21" s="49"/>
      <c r="D21" s="225"/>
      <c r="E21" s="216" t="s">
        <v>22</v>
      </c>
      <c r="F21" s="209" t="s">
        <v>23</v>
      </c>
      <c r="G21" s="165" t="s">
        <v>14</v>
      </c>
      <c r="H21" s="165" t="s">
        <v>15</v>
      </c>
      <c r="I21" s="317" t="s">
        <v>16</v>
      </c>
      <c r="J21" s="318"/>
      <c r="K21" s="49"/>
    </row>
    <row r="22" spans="1:11" ht="15">
      <c r="A22" s="19"/>
      <c r="B22" s="218"/>
      <c r="C22" s="49"/>
      <c r="D22" s="216" t="s">
        <v>18</v>
      </c>
      <c r="E22" s="173">
        <v>0.5</v>
      </c>
      <c r="F22" s="168">
        <f>E$19+ E22*E$18</f>
        <v>5.2277877059235756E-2</v>
      </c>
      <c r="G22" s="167">
        <f>(F22-$F$23) * (1-60%)</f>
        <v>-2.7238968338181681E-3</v>
      </c>
      <c r="H22" s="167">
        <f>G22*8</f>
        <v>-2.1791174670545345E-2</v>
      </c>
      <c r="I22" s="167">
        <f>H22*50%</f>
        <v>-1.0895587335272672E-2</v>
      </c>
      <c r="J22" s="169">
        <f>I22*2000</f>
        <v>-21.791174670545345</v>
      </c>
      <c r="K22" s="49"/>
    </row>
    <row r="23" spans="1:11" ht="15">
      <c r="A23" s="19"/>
      <c r="B23" s="218"/>
      <c r="C23" s="49"/>
      <c r="D23" s="216" t="s">
        <v>19</v>
      </c>
      <c r="E23" s="173">
        <v>0.6</v>
      </c>
      <c r="F23" s="168">
        <f>E$19+ E23*E$18</f>
        <v>5.9087619143781175E-2</v>
      </c>
      <c r="G23" s="171"/>
      <c r="H23" s="171"/>
      <c r="I23" s="171"/>
      <c r="J23" s="172"/>
      <c r="K23" s="49"/>
    </row>
    <row r="24" spans="1:11" ht="15">
      <c r="A24" s="19"/>
      <c r="B24" s="218"/>
      <c r="C24" s="49"/>
      <c r="D24" s="216" t="s">
        <v>20</v>
      </c>
      <c r="E24" s="173">
        <v>0.7</v>
      </c>
      <c r="F24" s="168">
        <f>E$19+ E24*E$18</f>
        <v>6.5897361228326581E-2</v>
      </c>
      <c r="G24" s="167">
        <f>(F24-$F$23) * (1-60%)</f>
        <v>2.7238968338181625E-3</v>
      </c>
      <c r="H24" s="167">
        <f t="shared" ref="H24" si="6">G24*8</f>
        <v>2.17911746705453E-2</v>
      </c>
      <c r="I24" s="167">
        <f t="shared" ref="I24" si="7">H24*50%</f>
        <v>1.089558733527265E-2</v>
      </c>
      <c r="J24" s="169">
        <f t="shared" ref="J24" si="8">I24*2000</f>
        <v>21.791174670545299</v>
      </c>
      <c r="K24" s="49"/>
    </row>
    <row r="25" spans="1:11" ht="15">
      <c r="A25" s="19"/>
      <c r="B25" s="218"/>
      <c r="C25" s="49"/>
      <c r="D25" s="224"/>
      <c r="E25" s="215"/>
      <c r="F25" s="49"/>
      <c r="G25" s="49"/>
      <c r="H25" s="49"/>
      <c r="I25" s="49"/>
      <c r="J25" s="49"/>
      <c r="K25" s="49"/>
    </row>
    <row r="26" spans="1:11" ht="15">
      <c r="A26" s="19"/>
      <c r="B26" s="218"/>
      <c r="C26" s="49"/>
      <c r="D26" s="224"/>
      <c r="E26" s="215"/>
      <c r="F26" s="49"/>
      <c r="G26" s="49"/>
      <c r="H26" s="49"/>
      <c r="I26" s="49"/>
      <c r="J26" s="49"/>
      <c r="K26" s="49"/>
    </row>
    <row r="27" spans="1:11" ht="14.25">
      <c r="A27" s="19"/>
      <c r="B27" s="218" t="s">
        <v>25</v>
      </c>
      <c r="C27" s="217"/>
      <c r="D27" s="217"/>
      <c r="E27" s="215"/>
      <c r="F27" s="49"/>
      <c r="G27" s="49"/>
      <c r="H27" s="49"/>
      <c r="I27" s="49"/>
      <c r="J27" s="49"/>
      <c r="K27" s="49"/>
    </row>
    <row r="28" spans="1:11" ht="15">
      <c r="A28" s="19"/>
      <c r="B28" s="219"/>
      <c r="D28" s="164"/>
      <c r="E28" s="164" t="s">
        <v>21</v>
      </c>
      <c r="F28" s="215"/>
      <c r="G28" s="49"/>
      <c r="H28" s="49"/>
      <c r="I28" s="49"/>
      <c r="J28" s="49"/>
      <c r="K28" s="49"/>
    </row>
    <row r="29" spans="1:11" ht="15">
      <c r="A29" s="19"/>
      <c r="B29" s="219"/>
      <c r="D29" s="164" t="s">
        <v>11</v>
      </c>
      <c r="E29" s="305">
        <f>'D3'!$G$17</f>
        <v>0.6</v>
      </c>
      <c r="F29" s="215"/>
      <c r="G29" s="49"/>
      <c r="H29" s="49"/>
      <c r="I29" s="49"/>
      <c r="J29" s="49"/>
      <c r="K29" s="49"/>
    </row>
    <row r="30" spans="1:11" ht="15">
      <c r="A30" s="19"/>
      <c r="B30" s="219"/>
      <c r="D30" s="164" t="s">
        <v>10</v>
      </c>
      <c r="E30" s="306">
        <f>'C1'!F24</f>
        <v>6.8097420845454115E-2</v>
      </c>
      <c r="F30" s="215"/>
      <c r="G30" s="49"/>
      <c r="H30" s="50"/>
      <c r="I30" s="49"/>
      <c r="J30" s="49"/>
      <c r="K30" s="49"/>
    </row>
    <row r="31" spans="1:11" ht="15">
      <c r="A31" s="19"/>
      <c r="B31" s="219"/>
      <c r="D31" s="164" t="s">
        <v>9</v>
      </c>
      <c r="E31" s="306">
        <f>'Verified Inputs'!C6</f>
        <v>1.8229166636508701E-2</v>
      </c>
      <c r="F31" s="215"/>
      <c r="G31" s="49" t="s">
        <v>26</v>
      </c>
      <c r="H31" s="175">
        <v>2.3E-2</v>
      </c>
      <c r="I31" s="49"/>
      <c r="J31" s="49"/>
      <c r="K31" s="49"/>
    </row>
    <row r="32" spans="1:11" ht="15.75" thickBot="1">
      <c r="A32" s="19"/>
      <c r="B32" s="218"/>
      <c r="C32" s="49"/>
      <c r="D32" s="224"/>
      <c r="E32" s="215"/>
      <c r="F32" s="49"/>
      <c r="G32" s="49"/>
      <c r="H32" s="49"/>
      <c r="I32" s="49"/>
      <c r="J32" s="49"/>
      <c r="K32" s="49"/>
    </row>
    <row r="33" spans="1:11" ht="30">
      <c r="A33" s="19"/>
      <c r="B33" s="218"/>
      <c r="C33" s="49"/>
      <c r="D33" s="225"/>
      <c r="E33" s="216" t="s">
        <v>27</v>
      </c>
      <c r="F33" s="209" t="s">
        <v>23</v>
      </c>
      <c r="G33" s="165" t="s">
        <v>14</v>
      </c>
      <c r="H33" s="165" t="s">
        <v>15</v>
      </c>
      <c r="I33" s="317" t="s">
        <v>16</v>
      </c>
      <c r="J33" s="318"/>
      <c r="K33" s="49"/>
    </row>
    <row r="34" spans="1:11" ht="15">
      <c r="A34" s="19"/>
      <c r="B34" s="218"/>
      <c r="C34" s="49"/>
      <c r="D34" s="216" t="s">
        <v>18</v>
      </c>
      <c r="E34" s="174">
        <f>E35-H31</f>
        <v>-4.7708333634912982E-3</v>
      </c>
      <c r="F34" s="168">
        <f>E34+ E$29*E$30</f>
        <v>3.6087619143781169E-2</v>
      </c>
      <c r="G34" s="167">
        <f>(F34-$F$35) * (1-60%)</f>
        <v>-9.2000000000000033E-3</v>
      </c>
      <c r="H34" s="167">
        <f>G34*8</f>
        <v>-7.3600000000000027E-2</v>
      </c>
      <c r="I34" s="167">
        <f>H34*50%</f>
        <v>-3.6800000000000013E-2</v>
      </c>
      <c r="J34" s="169">
        <f>I34*2000</f>
        <v>-73.600000000000023</v>
      </c>
      <c r="K34" s="49"/>
    </row>
    <row r="35" spans="1:11" ht="15">
      <c r="A35" s="19"/>
      <c r="B35" s="218"/>
      <c r="C35" s="49"/>
      <c r="D35" s="216" t="s">
        <v>19</v>
      </c>
      <c r="E35" s="174">
        <f>E31</f>
        <v>1.8229166636508701E-2</v>
      </c>
      <c r="F35" s="168">
        <f>E35+ E$29*E$30</f>
        <v>5.9087619143781175E-2</v>
      </c>
      <c r="G35" s="171"/>
      <c r="H35" s="171"/>
      <c r="I35" s="171"/>
      <c r="J35" s="172"/>
      <c r="K35" s="49"/>
    </row>
    <row r="36" spans="1:11" ht="15">
      <c r="A36" s="19"/>
      <c r="B36" s="218"/>
      <c r="C36" s="49"/>
      <c r="D36" s="216" t="s">
        <v>20</v>
      </c>
      <c r="E36" s="174">
        <f>E35+H31</f>
        <v>4.1229166636508705E-2</v>
      </c>
      <c r="F36" s="168">
        <f>E36+ E$29*E$30</f>
        <v>8.2087619143781182E-2</v>
      </c>
      <c r="G36" s="167">
        <f>(F36-$F$35) * (1-60%)</f>
        <v>9.2000000000000033E-3</v>
      </c>
      <c r="H36" s="167">
        <f>G36*8</f>
        <v>7.3600000000000027E-2</v>
      </c>
      <c r="I36" s="167">
        <f t="shared" ref="I36" si="9">H36*50%</f>
        <v>3.6800000000000013E-2</v>
      </c>
      <c r="J36" s="169">
        <f t="shared" ref="J36" si="10">I36*2000</f>
        <v>73.600000000000023</v>
      </c>
      <c r="K36" s="49"/>
    </row>
    <row r="37" spans="1:11" ht="15">
      <c r="A37" s="19"/>
      <c r="B37" s="218"/>
      <c r="C37" s="49"/>
      <c r="D37" s="216"/>
      <c r="E37" s="243"/>
      <c r="F37" s="244"/>
      <c r="G37" s="171"/>
      <c r="H37" s="171"/>
      <c r="I37" s="171"/>
      <c r="J37" s="245"/>
      <c r="K37" s="49"/>
    </row>
    <row r="38" spans="1:11" ht="15">
      <c r="A38" s="19"/>
      <c r="B38" s="218"/>
      <c r="C38" s="49"/>
      <c r="D38" s="216"/>
      <c r="E38" s="243"/>
      <c r="F38" s="244"/>
      <c r="G38" s="171"/>
      <c r="H38" s="171"/>
      <c r="I38" s="171"/>
      <c r="J38" s="245"/>
      <c r="K38" s="49"/>
    </row>
    <row r="39" spans="1:11" ht="15">
      <c r="A39" s="19"/>
      <c r="B39" s="218"/>
      <c r="C39" s="49"/>
      <c r="D39" s="216"/>
      <c r="E39" s="243"/>
      <c r="F39" s="244"/>
      <c r="G39" s="49" t="s">
        <v>26</v>
      </c>
      <c r="H39" s="175">
        <v>0.03</v>
      </c>
      <c r="I39" s="171"/>
      <c r="J39" s="245"/>
      <c r="K39" s="49"/>
    </row>
    <row r="40" spans="1:11" ht="15.75" thickBot="1">
      <c r="A40" s="19"/>
      <c r="B40" s="218"/>
      <c r="C40" s="49"/>
      <c r="D40" s="216"/>
      <c r="E40" s="243"/>
      <c r="F40" s="244"/>
      <c r="G40" s="171"/>
      <c r="H40" s="171"/>
      <c r="I40" s="171"/>
      <c r="J40" s="245"/>
      <c r="K40" s="49"/>
    </row>
    <row r="41" spans="1:11" ht="30">
      <c r="A41" s="19"/>
      <c r="B41" s="218"/>
      <c r="C41" s="49"/>
      <c r="D41" s="225"/>
      <c r="E41" s="216" t="s">
        <v>27</v>
      </c>
      <c r="F41" s="209" t="s">
        <v>23</v>
      </c>
      <c r="G41" s="165" t="s">
        <v>14</v>
      </c>
      <c r="H41" s="165" t="s">
        <v>15</v>
      </c>
      <c r="I41" s="317" t="s">
        <v>16</v>
      </c>
      <c r="J41" s="318"/>
      <c r="K41" s="49"/>
    </row>
    <row r="42" spans="1:11" ht="15">
      <c r="A42" s="19"/>
      <c r="B42" s="218"/>
      <c r="C42" s="49"/>
      <c r="D42" s="216" t="s">
        <v>18</v>
      </c>
      <c r="E42" s="174">
        <f>E43-H39</f>
        <v>-1.1770833363491297E-2</v>
      </c>
      <c r="F42" s="168">
        <f>E42+ E$29*E$30</f>
        <v>2.9087619143781173E-2</v>
      </c>
      <c r="G42" s="167">
        <f>(F42-$F$35) * (1-60%)</f>
        <v>-1.2000000000000002E-2</v>
      </c>
      <c r="H42" s="167">
        <f>G42*8</f>
        <v>-9.6000000000000016E-2</v>
      </c>
      <c r="I42" s="167">
        <f>H42*50%</f>
        <v>-4.8000000000000008E-2</v>
      </c>
      <c r="J42" s="169">
        <f>I42*2000</f>
        <v>-96.000000000000014</v>
      </c>
      <c r="K42" s="49"/>
    </row>
    <row r="43" spans="1:11" ht="15">
      <c r="A43" s="19"/>
      <c r="B43" s="218"/>
      <c r="C43" s="49"/>
      <c r="D43" s="216" t="s">
        <v>19</v>
      </c>
      <c r="E43" s="174">
        <f>E31</f>
        <v>1.8229166636508701E-2</v>
      </c>
      <c r="F43" s="168">
        <f>E43+ E$29*E$30</f>
        <v>5.9087619143781175E-2</v>
      </c>
      <c r="G43" s="171"/>
      <c r="H43" s="171"/>
      <c r="I43" s="171"/>
      <c r="J43" s="172"/>
      <c r="K43" s="49"/>
    </row>
    <row r="44" spans="1:11" ht="15">
      <c r="A44" s="19"/>
      <c r="B44" s="218"/>
      <c r="C44" s="49"/>
      <c r="D44" s="216" t="s">
        <v>20</v>
      </c>
      <c r="E44" s="174">
        <f>E43+H39</f>
        <v>4.8229166636508697E-2</v>
      </c>
      <c r="F44" s="168">
        <f>E44+ E$29*E$30</f>
        <v>8.908761914378116E-2</v>
      </c>
      <c r="G44" s="167">
        <f>(F44-$F$35) * (1-60%)</f>
        <v>1.1999999999999995E-2</v>
      </c>
      <c r="H44" s="167">
        <f>G44*8</f>
        <v>9.599999999999996E-2</v>
      </c>
      <c r="I44" s="167">
        <f t="shared" ref="I44" si="11">H44*50%</f>
        <v>4.799999999999998E-2</v>
      </c>
      <c r="J44" s="169">
        <f t="shared" ref="J44" si="12">I44*2000</f>
        <v>95.999999999999957</v>
      </c>
      <c r="K44" s="49"/>
    </row>
    <row r="45" spans="1:11" ht="15">
      <c r="A45" s="19"/>
      <c r="B45" s="218"/>
      <c r="C45" s="49"/>
      <c r="D45" s="216"/>
      <c r="E45" s="243"/>
      <c r="F45" s="244"/>
      <c r="G45" s="171"/>
      <c r="H45" s="171"/>
      <c r="I45" s="171"/>
      <c r="J45" s="245"/>
      <c r="K45" s="49"/>
    </row>
    <row r="46" spans="1:11" ht="15">
      <c r="B46" s="260" t="s">
        <v>527</v>
      </c>
      <c r="C46" s="259"/>
      <c r="D46" s="259"/>
      <c r="E46" s="259"/>
      <c r="F46" s="259"/>
      <c r="G46" s="259"/>
      <c r="H46" s="259"/>
      <c r="I46" s="259"/>
      <c r="J46" s="259"/>
    </row>
    <row r="47" spans="1:11"/>
  </sheetData>
  <mergeCells count="5">
    <mergeCell ref="I41:J41"/>
    <mergeCell ref="I5:J5"/>
    <mergeCell ref="I21:J21"/>
    <mergeCell ref="I33:J33"/>
    <mergeCell ref="I11:J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C A A B Q S w M E F A A A C A g A 6 Y K + V H L + 9 Q O k A A A A 9 A A A A B I A A A B D b 2 5 m a W c v U G F j a 2 F n Z S 5 4 b W y F j 9 E K g j A Y h V 9 F d u 8 2 F 2 b E 7 7 z o N i E I o l u Z S 0 f 6 G 2 4 2 3 6 2 L H q l X S C i r u + 4 O h + / A d x 6 3 O 2 R j 2 w R X 3 V v T Y U o i y k m g U X W l w S o l g z u F K 5 J J 2 B X q X F Q 6 m G C 0 6 9 G a l N T O X d a M e e + p X 9 C u r 5 j g P G L H f L t X t W 6 L 0 K B 1 B S p N P q v y / 4 p I O L x k p K A R j + k y T h I q g M 0 t 5 A a / h J i E K Q f 2 U 8 J m a N z Q a 6 k R 2 J y B v R / I J 1 B L A w Q U A A A I C A D p g r 5 U K I p H u A 4 A A A A R A A A A E w A A A E Z v c m 1 1 b G F z L 1 N l Y 3 R p b 2 4 x L m 0 r T k 0 u y c z P U w i G 0 I b W A F B L A w Q U A A A I C A D p g r 5 U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O m C v l R y / v U D p A A A A P Q A A A A S A A A A A A A A A A A A A A A A A A A A A A B D b 2 5 m a W c v U G F j a 2 F n Z S 5 4 b W x Q S w E C F A M U A A A I C A D p g r 5 U K I p H u A 4 A A A A R A A A A E w A A A A A A A A A A A A A A A A D U A A A A R m 9 y b X V s Y X M v U 2 V j d G l v b j E u b V B L A Q I U A x Q A A A g I A O m C v l Q P y u m r p A A A A O k A A A A T A A A A A A A A A A A A A A A A A B M B A A B b Q 2 9 u d G V u d F 9 U e X B l c 1 0 u e G 1 s U E s F B g A A A A A D A A M A w g A A A O g B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P s C A A A w g g L 3 B g k q h k i G 9 w 0 B B w O g g g L o M I I C 5 A I B A D G C A l 8 w g g J b A g E A M E M w N z E 1 M D M G A 1 U E A x M s T W l j c m 9 z b 2 Z 0 L k 9 m Z m l j Z S 5 F e G N l b C 5 Q c m 9 0 Z W N 0 Z W R E Y X R h U 2 V y d m l j Z X M C C E v u J F T d u f O 0 M A 0 G C S q G S I b 3 D Q E B A Q U A B I I C A E K R E i b v O X D E p I U L Q 6 J 1 s 3 N 1 K 9 6 n x T 8 m t m 0 2 0 J B j I R 8 / 2 / v e M E g Y k W D 3 s + Y z a h A / 6 K s V v Z g o G w c c S G k a 1 2 3 m p f i K i q U 5 7 s L x u k w i R o 9 i R 7 b k L q q i s S 2 4 0 V v t W a / T k U 0 E Q h 3 + n i Y K N R e x 5 z / V k e S i B S w c j C v C Y j 3 H R K 7 3 y 4 y Q 6 M I d 4 x Q L n j Z 8 9 s e B i Q I V S i V u f h o d H J g K / m G J j M F K e s 6 F 1 2 5 Q W 5 w V K M 9 Q U T L T S s U f P G b c K 3 W y E x / 8 D / u A M 6 z J R t 9 V G D f p N a x E K J / P d m I j 0 / M y a v q k t f 5 N d J Q G w d x P q o v e W J x X g O Z + r y T P P o w C c 7 S V N N b / q S f 9 Q 4 U g l m b b t 5 J k 1 p x W A n X 3 O g K x u / y m 8 j F e l I y P 8 j 7 3 M Z G 6 K z U G B v 2 G X k I J p Y f o Q T Y U f 8 x j r p 3 6 7 T H 9 o / L m v z m v A t p B N a d k b 0 F 9 i / X 6 s C u + I s C k b M l j 6 3 w r J N m l V R l H K n D G Q E Q e N E f + J x m 4 c z o 9 q u e + 0 4 I G 4 r 7 A C S d m C 4 J U l p 1 / J y U y X k 2 E d G T V a J c t U s D T / p j 8 n 3 M U j 9 d + C T V C i H I a 5 t b r a s B / W 8 s j Z m p n i e W 2 O d G N P y Q o w P v W N Z t w i R 9 E w v T D d z V L 8 B p y m j M D O F f A B P Y v 3 c I N A N v G Y Q G Y k I W M s C g k G u q 3 8 j b c v G c b y s n D s U n x Y W I N L 4 o 4 J z t H O J e 6 Q m 0 M P v M 8 2 5 J m + 1 i X Z s 7 z 2 q 4 c h J m w 5 Y U q M H w G C S q G S I b 3 D Q E H A T A d B g l g h k g B Z Q M E A S o E E J 3 M v y i e R F 3 X 8 9 B W i x T G w 1 2 A U D O y f y f 0 H P U r u T a N A F u k 0 E k l L o Y 5 C B s 0 v c e m h T p c F q j N 1 s G 5 T 6 l F Z m I E I B B y Q F p 8 B 7 / l E u x E 5 r B i h / U l z b Z 0 b 9 z o Q c b Q x F U T 0 M 9 l i v W q t p T K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4e67e-bfe4-48de-a2a1-3b6ed4c2a479">
      <Terms xmlns="http://schemas.microsoft.com/office/infopath/2007/PartnerControls"/>
    </lcf76f155ced4ddcb4097134ff3c332f>
    <TaxCatchAll xmlns="2b5a9dfd-142e-41be-900a-f840d2bb8b2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B02F640C8CB4DA2F365FA064995AD" ma:contentTypeVersion="15" ma:contentTypeDescription="Create a new document." ma:contentTypeScope="" ma:versionID="72ebd81f626c0e69294d16a64f6c54b0">
  <xsd:schema xmlns:xsd="http://www.w3.org/2001/XMLSchema" xmlns:xs="http://www.w3.org/2001/XMLSchema" xmlns:p="http://schemas.microsoft.com/office/2006/metadata/properties" xmlns:ns2="0514e67e-bfe4-48de-a2a1-3b6ed4c2a479" xmlns:ns3="2b5a9dfd-142e-41be-900a-f840d2bb8b2d" targetNamespace="http://schemas.microsoft.com/office/2006/metadata/properties" ma:root="true" ma:fieldsID="17ad79c2100bb113887956558991377b" ns2:_="" ns3:_="">
    <xsd:import namespace="0514e67e-bfe4-48de-a2a1-3b6ed4c2a479"/>
    <xsd:import namespace="2b5a9dfd-142e-41be-900a-f840d2bb8b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4e67e-bfe4-48de-a2a1-3b6ed4c2a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753e21-5ed7-405c-b5ea-323eb138d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a9dfd-142e-41be-900a-f840d2bb8b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caed43-7b48-4766-8c61-bfb3c1817b00}" ma:internalName="TaxCatchAll" ma:showField="CatchAllData" ma:web="2b5a9dfd-142e-41be-900a-f840d2bb8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D58AF-AF63-6747-A560-C6C4BF3913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0CD7378-EFA6-4482-8662-093496FCF6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754C8-ACB2-46FB-949A-FC7F687AA6CF}">
  <ds:schemaRefs>
    <ds:schemaRef ds:uri="http://purl.org/dc/dcmitype/"/>
    <ds:schemaRef ds:uri="http://purl.org/dc/terms/"/>
    <ds:schemaRef ds:uri="http://schemas.microsoft.com/office/2006/documentManagement/types"/>
    <ds:schemaRef ds:uri="0514e67e-bfe4-48de-a2a1-3b6ed4c2a479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b5a9dfd-142e-41be-900a-f840d2bb8b2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2669F9F-A3AF-49C3-9567-67431B698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4e67e-bfe4-48de-a2a1-3b6ed4c2a479"/>
    <ds:schemaRef ds:uri="2b5a9dfd-142e-41be-900a-f840d2bb8b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6</vt:i4>
      </vt:variant>
    </vt:vector>
  </HeadingPairs>
  <TitlesOfParts>
    <vt:vector size="19" baseType="lpstr">
      <vt:lpstr>Cover</vt:lpstr>
      <vt:lpstr>Model Map</vt:lpstr>
      <vt:lpstr>Verified Inputs</vt:lpstr>
      <vt:lpstr>D1</vt:lpstr>
      <vt:lpstr>D2</vt:lpstr>
      <vt:lpstr>D3</vt:lpstr>
      <vt:lpstr>D4</vt:lpstr>
      <vt:lpstr>C1</vt:lpstr>
      <vt:lpstr>C2</vt:lpstr>
      <vt:lpstr>C3</vt:lpstr>
      <vt:lpstr>C4</vt:lpstr>
      <vt:lpstr>C5</vt:lpstr>
      <vt:lpstr>C6</vt:lpstr>
      <vt:lpstr>S1</vt:lpstr>
      <vt:lpstr>S2</vt:lpstr>
      <vt:lpstr>S3</vt:lpstr>
      <vt:lpstr>S4</vt:lpstr>
      <vt:lpstr>S5</vt:lpstr>
      <vt:lpstr>S6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2021-06-30T23:43:46Z</dcterms:created>
  <dcterms:modified xsi:type="dcterms:W3CDTF">2022-06-16T23:37:40Z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0x010100E12B02F640C8CB4DA2F365FA064995AD</vt:lpwstr>
  </property>
  <property fmtid="{D5CDD505-2E9C-101B-9397-08002B2CF9AE}" pid="3" name="MediaServiceImageTags">
    <vt:lpwstr/>
  </property>
</Properties>
</file>