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TasNetworks Tx 2019-24\Final decision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M47" i="58" l="1"/>
  <c r="M12" i="42"/>
  <c r="J33" i="42"/>
  <c r="K33" i="42"/>
  <c r="L33" i="42"/>
  <c r="M33" i="42"/>
  <c r="O33" i="42"/>
  <c r="P33" i="42"/>
  <c r="Q33" i="42"/>
  <c r="R33" i="42"/>
  <c r="S33" i="42"/>
  <c r="Q38" i="2"/>
  <c r="R38" i="2"/>
  <c r="S38" i="2"/>
  <c r="T38" i="2"/>
  <c r="P38" i="2"/>
  <c r="F60" i="55"/>
  <c r="F64" i="55"/>
  <c r="F58" i="55"/>
  <c r="F62" i="55"/>
  <c r="F59" i="55"/>
  <c r="F57" i="55"/>
  <c r="G57" i="55" s="1"/>
  <c r="J35" i="42"/>
  <c r="O21" i="2"/>
  <c r="J38" i="42"/>
  <c r="L18" i="2"/>
  <c r="M18" i="2" s="1"/>
  <c r="N18" i="2" s="1"/>
  <c r="M12" i="2"/>
  <c r="G54" i="55"/>
  <c r="N12" i="2"/>
  <c r="G58" i="55"/>
  <c r="O12" i="2"/>
  <c r="O18" i="2"/>
  <c r="K35" i="42"/>
  <c r="K38" i="42"/>
  <c r="L35" i="42"/>
  <c r="L38" i="42"/>
  <c r="M35" i="42"/>
  <c r="M38" i="42"/>
  <c r="N21" i="2"/>
  <c r="M21" i="2"/>
  <c r="L12" i="2"/>
  <c r="K12" i="2"/>
  <c r="O30" i="2"/>
  <c r="N13" i="42"/>
  <c r="N26" i="42" s="1"/>
  <c r="P30" i="2"/>
  <c r="O13" i="42"/>
  <c r="O26" i="42"/>
  <c r="Q30" i="2"/>
  <c r="P13" i="42"/>
  <c r="P26" i="42"/>
  <c r="R30" i="2"/>
  <c r="S30" i="2"/>
  <c r="R13" i="42"/>
  <c r="R26" i="42" s="1"/>
  <c r="T30" i="2"/>
  <c r="S13" i="42"/>
  <c r="S26" i="42"/>
  <c r="J31" i="42"/>
  <c r="K31" i="42"/>
  <c r="L31" i="42"/>
  <c r="M31" i="42"/>
  <c r="J16" i="2"/>
  <c r="K16" i="2"/>
  <c r="L16" i="2" s="1"/>
  <c r="M16" i="2" s="1"/>
  <c r="N16" i="2" s="1"/>
  <c r="O16" i="2" s="1"/>
  <c r="M15" i="42"/>
  <c r="S17" i="42"/>
  <c r="O31" i="42"/>
  <c r="P31" i="42"/>
  <c r="Q31" i="42"/>
  <c r="R31" i="42"/>
  <c r="S31" i="42"/>
  <c r="N20" i="42"/>
  <c r="O20" i="42"/>
  <c r="P20" i="42"/>
  <c r="R20" i="42"/>
  <c r="S20" i="42"/>
  <c r="N22" i="42"/>
  <c r="N38" i="42"/>
  <c r="O35" i="42"/>
  <c r="O38" i="42"/>
  <c r="P35" i="42"/>
  <c r="P38" i="42"/>
  <c r="Q35" i="42"/>
  <c r="Q38" i="42"/>
  <c r="R35" i="42"/>
  <c r="R38" i="42"/>
  <c r="S35" i="42"/>
  <c r="S38" i="42"/>
  <c r="O74" i="42"/>
  <c r="O63" i="42"/>
  <c r="O67" i="42"/>
  <c r="O68" i="42" a="1"/>
  <c r="O68" i="42"/>
  <c r="P74" i="42"/>
  <c r="P63" i="42"/>
  <c r="P67" i="42"/>
  <c r="P68" i="42" a="1"/>
  <c r="P68" i="42"/>
  <c r="Q74" i="42"/>
  <c r="Q63" i="42"/>
  <c r="Q67" i="42"/>
  <c r="Q68" i="42" a="1"/>
  <c r="Q68" i="42"/>
  <c r="R74" i="42"/>
  <c r="R63" i="42"/>
  <c r="R67" i="42"/>
  <c r="R68" i="42" a="1"/>
  <c r="R68" i="42"/>
  <c r="S74" i="42"/>
  <c r="S63" i="42"/>
  <c r="S67" i="42"/>
  <c r="S68" i="42" a="1"/>
  <c r="S68" i="42"/>
  <c r="C95" i="2"/>
  <c r="K61" i="42"/>
  <c r="L61" i="42"/>
  <c r="M61" i="42"/>
  <c r="N61" i="42"/>
  <c r="J61" i="42"/>
  <c r="K60" i="58"/>
  <c r="L60" i="58"/>
  <c r="M60" i="58"/>
  <c r="N60" i="58"/>
  <c r="O60" i="58"/>
  <c r="P60" i="58"/>
  <c r="Q60" i="58"/>
  <c r="R60" i="58"/>
  <c r="S60" i="58"/>
  <c r="J60" i="58"/>
  <c r="F47" i="58"/>
  <c r="F42" i="58"/>
  <c r="F43" i="58"/>
  <c r="F44" i="58"/>
  <c r="F45" i="58"/>
  <c r="F41" i="58"/>
  <c r="C78" i="4"/>
  <c r="K47" i="58"/>
  <c r="L47" i="58"/>
  <c r="N47" i="58"/>
  <c r="O47" i="58"/>
  <c r="P47" i="58"/>
  <c r="Q47" i="58"/>
  <c r="R47" i="58"/>
  <c r="S47" i="58"/>
  <c r="J47" i="58"/>
  <c r="W56" i="58"/>
  <c r="W29" i="58"/>
  <c r="S1" i="58" s="1"/>
  <c r="G12" i="16" s="1"/>
  <c r="T91" i="2" a="1"/>
  <c r="T91" i="2"/>
  <c r="S91" i="2" a="1"/>
  <c r="S91" i="2"/>
  <c r="R91" i="2" a="1"/>
  <c r="R91" i="2"/>
  <c r="Q91" i="2" a="1"/>
  <c r="Q91" i="2"/>
  <c r="P91" i="2" a="1"/>
  <c r="P91" i="2"/>
  <c r="O91" i="2" a="1"/>
  <c r="O91" i="2"/>
  <c r="N91" i="2" a="1"/>
  <c r="N91" i="2"/>
  <c r="M91" i="2" a="1"/>
  <c r="M91" i="2"/>
  <c r="L91" i="2" a="1"/>
  <c r="L91" i="2"/>
  <c r="K91" i="2" a="1"/>
  <c r="K91" i="2"/>
  <c r="J91" i="2" a="1"/>
  <c r="J91" i="2"/>
  <c r="C89" i="2"/>
  <c r="C88" i="2"/>
  <c r="C87" i="2"/>
  <c r="C86" i="2"/>
  <c r="C85" i="2"/>
  <c r="C84" i="2"/>
  <c r="W91" i="2"/>
  <c r="F38" i="53"/>
  <c r="F19" i="42"/>
  <c r="F8" i="42"/>
  <c r="F8" i="44"/>
  <c r="F24" i="42"/>
  <c r="E24" i="42"/>
  <c r="F22" i="42"/>
  <c r="E22" i="42"/>
  <c r="F20" i="42"/>
  <c r="E20" i="42"/>
  <c r="K29" i="58"/>
  <c r="L29" i="58"/>
  <c r="M29" i="58"/>
  <c r="M21" i="42" s="1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F29" i="42"/>
  <c r="C29" i="42"/>
  <c r="E68" i="58"/>
  <c r="E28" i="42"/>
  <c r="F35" i="42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/>
  <c r="G72" i="4"/>
  <c r="G73" i="4"/>
  <c r="G74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R4" i="58"/>
  <c r="R34" i="58"/>
  <c r="Q4" i="58"/>
  <c r="P4" i="58"/>
  <c r="O4" i="58"/>
  <c r="N4" i="58"/>
  <c r="N34" i="58"/>
  <c r="M4" i="58"/>
  <c r="L4" i="58"/>
  <c r="K4" i="58"/>
  <c r="J4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95" i="2"/>
  <c r="Q61" i="42"/>
  <c r="K95" i="2"/>
  <c r="O95" i="2"/>
  <c r="S95" i="2"/>
  <c r="R61" i="42"/>
  <c r="L95" i="2"/>
  <c r="P95" i="2"/>
  <c r="O61" i="42"/>
  <c r="T95" i="2"/>
  <c r="S61" i="42"/>
  <c r="N95" i="2"/>
  <c r="M95" i="2"/>
  <c r="Q95" i="2"/>
  <c r="P61" i="42"/>
  <c r="J95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19" i="42"/>
  <c r="O23" i="42"/>
  <c r="O21" i="42"/>
  <c r="O19" i="42"/>
  <c r="Q23" i="42"/>
  <c r="Q21" i="42"/>
  <c r="Q19" i="42"/>
  <c r="S23" i="42"/>
  <c r="S21" i="42"/>
  <c r="S19" i="42"/>
  <c r="L12" i="42"/>
  <c r="J12" i="42"/>
  <c r="K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99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L23" i="2"/>
  <c r="P23" i="2"/>
  <c r="T23" i="2"/>
  <c r="R34" i="2"/>
  <c r="N34" i="2"/>
  <c r="N47" i="2"/>
  <c r="R47" i="2"/>
  <c r="L99" i="2"/>
  <c r="P99" i="2"/>
  <c r="T99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99" i="2"/>
  <c r="R99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9" i="2"/>
  <c r="M99" i="2"/>
  <c r="O99" i="2"/>
  <c r="Q99" i="2"/>
  <c r="S99" i="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6" i="58"/>
  <c r="E49" i="42"/>
  <c r="E65" i="58"/>
  <c r="E46" i="42"/>
  <c r="E64" i="58"/>
  <c r="E43" i="42"/>
  <c r="E63" i="58"/>
  <c r="E62" i="58"/>
  <c r="E37" i="42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W40" i="53" s="1"/>
  <c r="S1" i="53" s="1"/>
  <c r="G14" i="16" s="1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5" i="55"/>
  <c r="G56" i="55"/>
  <c r="G59" i="55"/>
  <c r="G60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3" i="2"/>
  <c r="S103" i="2"/>
  <c r="Q103" i="2"/>
  <c r="O103" i="2"/>
  <c r="M103" i="2"/>
  <c r="C24" i="4"/>
  <c r="S9" i="54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P88" i="42"/>
  <c r="P72" i="42"/>
  <c r="P58" i="42"/>
  <c r="R88" i="42"/>
  <c r="R72" i="42"/>
  <c r="R58" i="42"/>
  <c r="K58" i="42"/>
  <c r="M58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3" i="2"/>
  <c r="L71" i="2"/>
  <c r="N58" i="2"/>
  <c r="N45" i="2"/>
  <c r="N103" i="2"/>
  <c r="N71" i="2"/>
  <c r="P58" i="2"/>
  <c r="P103" i="2"/>
  <c r="P71" i="2"/>
  <c r="R58" i="2"/>
  <c r="R103" i="2"/>
  <c r="R71" i="2"/>
  <c r="T58" i="2"/>
  <c r="T103" i="2"/>
  <c r="T71" i="2"/>
  <c r="J58" i="2"/>
  <c r="J12" i="2"/>
  <c r="J103" i="2"/>
  <c r="J71" i="2"/>
  <c r="J45" i="2"/>
  <c r="R12" i="2"/>
  <c r="T12" i="2"/>
  <c r="P12" i="2"/>
  <c r="S12" i="2"/>
  <c r="Q12" i="2"/>
  <c r="S71" i="2"/>
  <c r="Q71" i="2"/>
  <c r="O71" i="2"/>
  <c r="M71" i="2"/>
  <c r="K71" i="2"/>
  <c r="J68" i="42" a="1"/>
  <c r="J68" i="42"/>
  <c r="L68" i="42" a="1"/>
  <c r="L68" i="42"/>
  <c r="K68" i="42" a="1"/>
  <c r="K68" i="42"/>
  <c r="K100" i="42"/>
  <c r="K13" i="44"/>
  <c r="K101" i="42"/>
  <c r="K102" i="42"/>
  <c r="L101" i="42"/>
  <c r="L102" i="42"/>
  <c r="L100" i="42"/>
  <c r="L13" i="44"/>
  <c r="J100" i="42"/>
  <c r="J13" i="44"/>
  <c r="J101" i="42"/>
  <c r="J102" i="42"/>
  <c r="W71" i="2"/>
  <c r="W22" i="53"/>
  <c r="W32" i="53"/>
  <c r="W58" i="2"/>
  <c r="W103" i="2"/>
  <c r="P45" i="2"/>
  <c r="S45" i="2"/>
  <c r="Q45" i="2"/>
  <c r="R45" i="2"/>
  <c r="T45" i="2"/>
  <c r="W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1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/>
  <c r="K67" i="42"/>
  <c r="L67" i="42"/>
  <c r="T1" i="2"/>
  <c r="G13" i="16"/>
  <c r="S1" i="54"/>
  <c r="G10" i="16"/>
  <c r="N67" i="42"/>
  <c r="J67" i="42"/>
  <c r="M68" i="42" a="1"/>
  <c r="M68" i="42"/>
  <c r="N68" i="42" a="1"/>
  <c r="N68" i="42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M19" i="2"/>
  <c r="N20" i="2"/>
  <c r="M20" i="2" s="1"/>
  <c r="K25" i="2"/>
  <c r="K17" i="2"/>
  <c r="K26" i="2"/>
  <c r="D21" i="2"/>
  <c r="E21" i="2"/>
  <c r="D17" i="2"/>
  <c r="E17" i="2"/>
  <c r="E18" i="2"/>
  <c r="D18" i="2"/>
  <c r="E30" i="2"/>
  <c r="D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L27" i="2"/>
  <c r="S27" i="2"/>
  <c r="R27" i="2"/>
  <c r="O29" i="2"/>
  <c r="K18" i="2"/>
  <c r="K27" i="2" s="1"/>
  <c r="J17" i="2"/>
  <c r="J26" i="2" s="1"/>
  <c r="L25" i="2"/>
  <c r="L17" i="2"/>
  <c r="L26" i="2" s="1"/>
  <c r="M29" i="2"/>
  <c r="J25" i="2"/>
  <c r="N29" i="2"/>
  <c r="M25" i="2"/>
  <c r="L20" i="2"/>
  <c r="K20" i="2" s="1"/>
  <c r="K29" i="2" s="1"/>
  <c r="N27" i="2"/>
  <c r="J18" i="2"/>
  <c r="J27" i="2"/>
  <c r="P28" i="2"/>
  <c r="P26" i="2"/>
  <c r="P27" i="2"/>
  <c r="M27" i="2"/>
  <c r="N25" i="2"/>
  <c r="N92" i="42"/>
  <c r="N16" i="44"/>
  <c r="M91" i="42"/>
  <c r="M15" i="44"/>
  <c r="K74" i="42"/>
  <c r="M79" i="42"/>
  <c r="J81" i="42"/>
  <c r="K78" i="42"/>
  <c r="N77" i="42"/>
  <c r="N75" i="42"/>
  <c r="J74" i="42"/>
  <c r="K82" i="42"/>
  <c r="M74" i="42"/>
  <c r="M16" i="44"/>
  <c r="N15" i="44"/>
  <c r="J92" i="42"/>
  <c r="L74" i="42"/>
  <c r="L82" i="42"/>
  <c r="J78" i="42"/>
  <c r="L92" i="42"/>
  <c r="N74" i="42"/>
  <c r="P25" i="2"/>
  <c r="O25" i="2"/>
  <c r="N14" i="44"/>
  <c r="M14" i="44"/>
  <c r="M100" i="42"/>
  <c r="M13" i="44"/>
  <c r="M101" i="42"/>
  <c r="M102" i="42"/>
  <c r="M16" i="42"/>
  <c r="L14" i="42"/>
  <c r="N101" i="42"/>
  <c r="N100" i="42"/>
  <c r="N13" i="44"/>
  <c r="N102" i="42"/>
  <c r="J41" i="42" l="1"/>
  <c r="K47" i="42"/>
  <c r="L41" i="42"/>
  <c r="M47" i="42"/>
  <c r="J29" i="42"/>
  <c r="N29" i="42"/>
  <c r="R29" i="42"/>
  <c r="N44" i="42"/>
  <c r="O50" i="42"/>
  <c r="P44" i="42"/>
  <c r="Q50" i="42"/>
  <c r="R44" i="42"/>
  <c r="S50" i="42"/>
  <c r="S52" i="42" s="1"/>
  <c r="S54" i="42" s="1"/>
  <c r="O77" i="42"/>
  <c r="O81" i="42"/>
  <c r="O91" i="42"/>
  <c r="O15" i="44" s="1"/>
  <c r="P75" i="42"/>
  <c r="P84" i="42" s="1"/>
  <c r="P79" i="42"/>
  <c r="Q77" i="42"/>
  <c r="Q81" i="42"/>
  <c r="Q91" i="42"/>
  <c r="Q15" i="44" s="1"/>
  <c r="R75" i="42"/>
  <c r="R79" i="42"/>
  <c r="S77" i="42"/>
  <c r="S81" i="42"/>
  <c r="S91" i="42"/>
  <c r="S15" i="44" s="1"/>
  <c r="J44" i="42"/>
  <c r="K50" i="42"/>
  <c r="L44" i="42"/>
  <c r="M50" i="42"/>
  <c r="K29" i="42"/>
  <c r="O29" i="42"/>
  <c r="S29" i="42"/>
  <c r="N47" i="42"/>
  <c r="O41" i="42"/>
  <c r="P47" i="42"/>
  <c r="Q41" i="42"/>
  <c r="Q52" i="42" s="1"/>
  <c r="Q54" i="42" s="1"/>
  <c r="R47" i="42"/>
  <c r="S41" i="42"/>
  <c r="O78" i="42"/>
  <c r="O82" i="42"/>
  <c r="O92" i="42"/>
  <c r="O16" i="44" s="1"/>
  <c r="P76" i="42"/>
  <c r="P80" i="42"/>
  <c r="P90" i="42"/>
  <c r="Q78" i="42"/>
  <c r="Q82" i="42"/>
  <c r="Q92" i="42"/>
  <c r="Q16" i="44" s="1"/>
  <c r="R76" i="42"/>
  <c r="R80" i="42"/>
  <c r="R90" i="42"/>
  <c r="S78" i="42"/>
  <c r="S82" i="42"/>
  <c r="S92" i="42"/>
  <c r="S16" i="44" s="1"/>
  <c r="J47" i="42"/>
  <c r="K41" i="42"/>
  <c r="L47" i="42"/>
  <c r="M41" i="42"/>
  <c r="L29" i="42"/>
  <c r="P29" i="42"/>
  <c r="N50" i="42"/>
  <c r="O44" i="42"/>
  <c r="P50" i="42"/>
  <c r="Q44" i="42"/>
  <c r="R50" i="42"/>
  <c r="S44" i="42"/>
  <c r="O75" i="42"/>
  <c r="O79" i="42"/>
  <c r="P77" i="42"/>
  <c r="P81" i="42"/>
  <c r="P91" i="42"/>
  <c r="P15" i="44" s="1"/>
  <c r="Q75" i="42"/>
  <c r="Q79" i="42"/>
  <c r="R77" i="42"/>
  <c r="R81" i="42"/>
  <c r="R91" i="42"/>
  <c r="R15" i="44" s="1"/>
  <c r="S75" i="42"/>
  <c r="S84" i="42" s="1"/>
  <c r="S79" i="42"/>
  <c r="J50" i="42"/>
  <c r="N41" i="42"/>
  <c r="R41" i="42"/>
  <c r="R52" i="42" s="1"/>
  <c r="M44" i="42"/>
  <c r="Q47" i="42"/>
  <c r="O76" i="42"/>
  <c r="P78" i="42"/>
  <c r="Q76" i="42"/>
  <c r="R78" i="42"/>
  <c r="S76" i="42"/>
  <c r="M75" i="42"/>
  <c r="L80" i="42"/>
  <c r="L77" i="42"/>
  <c r="M78" i="42"/>
  <c r="L50" i="42"/>
  <c r="M29" i="42"/>
  <c r="P41" i="42"/>
  <c r="O80" i="42"/>
  <c r="P82" i="42"/>
  <c r="Q80" i="42"/>
  <c r="R82" i="42"/>
  <c r="S80" i="42"/>
  <c r="K79" i="42"/>
  <c r="J77" i="42"/>
  <c r="J75" i="42"/>
  <c r="M81" i="42"/>
  <c r="M77" i="42"/>
  <c r="K91" i="42"/>
  <c r="M76" i="42"/>
  <c r="J91" i="42"/>
  <c r="N82" i="42"/>
  <c r="L75" i="42"/>
  <c r="M82" i="42"/>
  <c r="M80" i="42"/>
  <c r="K76" i="42"/>
  <c r="J82" i="42"/>
  <c r="L91" i="42"/>
  <c r="N79" i="42"/>
  <c r="N76" i="42"/>
  <c r="J80" i="42"/>
  <c r="R92" i="42"/>
  <c r="R16" i="44" s="1"/>
  <c r="P92" i="42"/>
  <c r="P16" i="44" s="1"/>
  <c r="S47" i="42"/>
  <c r="Q29" i="42"/>
  <c r="K44" i="42"/>
  <c r="K52" i="42" s="1"/>
  <c r="K54" i="42" s="1"/>
  <c r="O27" i="2"/>
  <c r="J20" i="2"/>
  <c r="J29" i="2" s="1"/>
  <c r="L76" i="42"/>
  <c r="K92" i="42"/>
  <c r="K80" i="42"/>
  <c r="N91" i="42"/>
  <c r="M92" i="42"/>
  <c r="J76" i="42"/>
  <c r="N78" i="42"/>
  <c r="M90" i="42"/>
  <c r="L79" i="42"/>
  <c r="N90" i="42"/>
  <c r="N94" i="42" s="1"/>
  <c r="O47" i="42"/>
  <c r="F63" i="55"/>
  <c r="G63" i="55" s="1"/>
  <c r="F61" i="55"/>
  <c r="G61" i="55" s="1"/>
  <c r="G62" i="55"/>
  <c r="P52" i="42"/>
  <c r="P54" i="42" s="1"/>
  <c r="J79" i="42"/>
  <c r="J90" i="42"/>
  <c r="L78" i="42"/>
  <c r="K81" i="42"/>
  <c r="L81" i="42"/>
  <c r="N80" i="42"/>
  <c r="K75" i="42"/>
  <c r="K90" i="42"/>
  <c r="K94" i="42" s="1"/>
  <c r="N81" i="42"/>
  <c r="L90" i="42"/>
  <c r="L94" i="42" s="1"/>
  <c r="K77" i="42"/>
  <c r="L29" i="2"/>
  <c r="M28" i="2"/>
  <c r="N19" i="2"/>
  <c r="L19" i="2"/>
  <c r="T1" i="55"/>
  <c r="G11" i="16" s="1"/>
  <c r="S90" i="42"/>
  <c r="Q90" i="42"/>
  <c r="O90" i="42"/>
  <c r="J15" i="42"/>
  <c r="N15" i="42"/>
  <c r="R15" i="42"/>
  <c r="L17" i="42"/>
  <c r="P17" i="42"/>
  <c r="J22" i="42"/>
  <c r="O22" i="42"/>
  <c r="S22" i="42"/>
  <c r="M24" i="42"/>
  <c r="R24" i="42"/>
  <c r="K15" i="42"/>
  <c r="O15" i="42"/>
  <c r="S15" i="42"/>
  <c r="M17" i="42"/>
  <c r="Q17" i="42"/>
  <c r="K22" i="42"/>
  <c r="P22" i="42"/>
  <c r="J24" i="42"/>
  <c r="O24" i="42"/>
  <c r="S24" i="42"/>
  <c r="L15" i="42"/>
  <c r="P15" i="42"/>
  <c r="J17" i="42"/>
  <c r="N17" i="42"/>
  <c r="R17" i="42"/>
  <c r="L22" i="42"/>
  <c r="Q22" i="42"/>
  <c r="K24" i="42"/>
  <c r="P24" i="42"/>
  <c r="Q15" i="42"/>
  <c r="R22" i="42"/>
  <c r="K17" i="42"/>
  <c r="L24" i="42"/>
  <c r="O17" i="42"/>
  <c r="Q24" i="42"/>
  <c r="L21" i="2"/>
  <c r="M30" i="2"/>
  <c r="N30" i="2"/>
  <c r="M20" i="42" s="1"/>
  <c r="M17" i="2"/>
  <c r="M22" i="42"/>
  <c r="R84" i="42"/>
  <c r="Q13" i="42"/>
  <c r="Q26" i="42" s="1"/>
  <c r="Q20" i="42"/>
  <c r="N24" i="42"/>
  <c r="M52" i="42"/>
  <c r="S1" i="16"/>
  <c r="V1" i="54" s="1"/>
  <c r="L52" i="42"/>
  <c r="L54" i="42" s="1"/>
  <c r="M54" i="42"/>
  <c r="J54" i="42" l="1"/>
  <c r="M13" i="42"/>
  <c r="M26" i="42" s="1"/>
  <c r="J52" i="42"/>
  <c r="N17" i="2"/>
  <c r="M26" i="2"/>
  <c r="S94" i="42"/>
  <c r="S14" i="44"/>
  <c r="N28" i="2"/>
  <c r="O19" i="2"/>
  <c r="O28" i="2" s="1"/>
  <c r="K84" i="42"/>
  <c r="Q84" i="42"/>
  <c r="M84" i="42"/>
  <c r="P94" i="42"/>
  <c r="P14" i="44"/>
  <c r="O52" i="42"/>
  <c r="O54" i="42" s="1"/>
  <c r="L20" i="42"/>
  <c r="L13" i="42"/>
  <c r="L26" i="42" s="1"/>
  <c r="N31" i="42"/>
  <c r="J94" i="42"/>
  <c r="M94" i="42"/>
  <c r="L84" i="42"/>
  <c r="J84" i="42"/>
  <c r="O84" i="42"/>
  <c r="R94" i="42"/>
  <c r="R14" i="44"/>
  <c r="Q94" i="42"/>
  <c r="Q14" i="44"/>
  <c r="L28" i="2"/>
  <c r="K19" i="2"/>
  <c r="R54" i="42"/>
  <c r="K21" i="2"/>
  <c r="L30" i="2"/>
  <c r="O94" i="42"/>
  <c r="O14" i="44"/>
  <c r="N84" i="42"/>
  <c r="V1" i="58"/>
  <c r="W1" i="55"/>
  <c r="V1" i="42"/>
  <c r="V1" i="4"/>
  <c r="V1" i="44"/>
  <c r="V1" i="53"/>
  <c r="W1" i="2"/>
  <c r="J19" i="2" l="1"/>
  <c r="J28" i="2" s="1"/>
  <c r="K28" i="2"/>
  <c r="K13" i="42"/>
  <c r="K26" i="42" s="1"/>
  <c r="K20" i="42"/>
  <c r="K30" i="2"/>
  <c r="J21" i="2"/>
  <c r="J30" i="2" s="1"/>
  <c r="N26" i="2"/>
  <c r="O17" i="2"/>
  <c r="O26" i="2" s="1"/>
  <c r="J13" i="42" l="1"/>
  <c r="J26" i="42" s="1"/>
  <c r="N33" i="42" s="1"/>
  <c r="J20" i="42"/>
  <c r="N35" i="42" s="1"/>
  <c r="N52" i="42" l="1"/>
  <c r="N54" i="42" s="1"/>
  <c r="R101" i="42" l="1"/>
  <c r="R102" i="42" s="1"/>
  <c r="Q101" i="42"/>
  <c r="Q102" i="42" s="1"/>
  <c r="S101" i="42"/>
  <c r="S102" i="42" s="1"/>
  <c r="R100" i="42"/>
  <c r="R13" i="44" s="1"/>
  <c r="O101" i="42"/>
  <c r="O102" i="42" s="1"/>
  <c r="Q100" i="42"/>
  <c r="Q13" i="44" s="1"/>
  <c r="P100" i="42"/>
  <c r="P13" i="44" s="1"/>
  <c r="O100" i="42"/>
  <c r="O13" i="44" s="1"/>
  <c r="S100" i="42"/>
  <c r="S13" i="44" s="1"/>
  <c r="P101" i="42"/>
  <c r="P102" i="42" s="1"/>
</calcChain>
</file>

<file path=xl/sharedStrings.xml><?xml version="1.0" encoding="utf-8"?>
<sst xmlns="http://schemas.openxmlformats.org/spreadsheetml/2006/main" count="695" uniqueCount="207">
  <si>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</si>
  <si>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</si>
  <si>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</si>
  <si>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</si>
  <si>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</si>
  <si>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</si>
  <si>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</si>
  <si>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</si>
  <si>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</si>
  <si>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</si>
  <si>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</si>
  <si>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</si>
  <si>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</si>
  <si>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</si>
  <si>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</si>
  <si>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</si>
  <si>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</si>
  <si>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</si>
  <si>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</si>
  <si>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</si>
  <si>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</si>
  <si>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</si>
  <si>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</si>
  <si>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</si>
  <si>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</si>
  <si>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</si>
  <si>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</si>
  <si>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</si>
  <si>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</si>
  <si>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</si>
  <si>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</si>
  <si>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</si>
  <si>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</si>
  <si>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</si>
  <si>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</si>
  <si>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</si>
  <si>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</si>
  <si>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</si>
  <si>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</si>
  <si>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</si>
  <si>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</si>
  <si>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</si>
  <si>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</si>
  <si>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</si>
  <si>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</si>
  <si>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</si>
  <si>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</si>
  <si>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</si>
  <si>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</si>
  <si>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</si>
  <si>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</si>
  <si>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</si>
  <si>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</si>
  <si>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</si>
  <si>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</si>
  <si>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</si>
  <si>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</si>
  <si>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</si>
  <si>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</si>
  <si>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</si>
  <si>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</si>
  <si>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</si>
  <si>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</si>
  <si>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</si>
  <si>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</si>
  <si>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</si>
  <si>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</si>
  <si>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</si>
  <si>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</si>
  <si>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</si>
  <si>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</si>
  <si>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</si>
  <si>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</si>
  <si>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</si>
  <si>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</si>
  <si>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</si>
  <si>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</si>
  <si>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</si>
  <si>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</si>
  <si>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</si>
  <si>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</si>
  <si>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</si>
  <si>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</si>
  <si>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</si>
  <si>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</si>
  <si>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</si>
  <si>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</si>
  <si>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</si>
  <si>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</si>
  <si>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</si>
  <si>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</si>
  <si>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</si>
  <si>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</si>
  <si>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</si>
  <si>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</si>
  <si>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</si>
  <si>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</si>
  <si>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</si>
  <si>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</si>
  <si>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</si>
  <si>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</si>
  <si>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</si>
  <si>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</si>
  <si>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</si>
  <si>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</si>
  <si>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</si>
  <si>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</si>
  <si>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</si>
  <si>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</si>
  <si>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</si>
  <si>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</si>
  <si>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</si>
  <si>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</si>
  <si>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</si>
  <si>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</si>
  <si>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</si>
  <si>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</si>
  <si>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</si>
  <si>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</si>
  <si>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</si>
  <si>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</si>
  <si>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</si>
  <si>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</si>
  <si>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</si>
  <si>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</si>
  <si>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</si>
  <si>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</si>
  <si>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</si>
  <si>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</si>
  <si>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</si>
  <si>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</si>
  <si>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</si>
  <si>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</si>
  <si>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</si>
  <si>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</si>
  <si>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</si>
  <si>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</si>
  <si>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</si>
  <si>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</si>
  <si>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</si>
  <si>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</si>
  <si>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</si>
  <si>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</si>
  <si>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</si>
  <si>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</si>
  <si>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</si>
  <si>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</si>
  <si>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</si>
  <si>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</si>
  <si>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</si>
  <si>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</si>
  <si>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</si>
  <si>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</si>
  <si>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</si>
  <si>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</si>
  <si>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</si>
  <si>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</si>
  <si>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</si>
  <si>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</si>
  <si>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</si>
  <si>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</si>
  <si>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</si>
  <si>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</si>
  <si>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</si>
  <si>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</si>
  <si>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</si>
  <si>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</si>
  <si>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</si>
  <si>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</si>
  <si>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</si>
  <si>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</si>
  <si>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</si>
  <si>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</si>
  <si>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</si>
  <si>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</si>
  <si>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</si>
  <si>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</si>
  <si>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</si>
  <si>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</si>
  <si>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</si>
  <si>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</si>
  <si>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</si>
  <si>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</si>
  <si>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</si>
  <si>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</si>
  <si>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</si>
  <si>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</si>
  <si>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</si>
  <si>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</si>
  <si>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</si>
  <si>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</si>
  <si>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</si>
  <si>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</si>
  <si>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</si>
  <si>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</si>
  <si>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</si>
  <si>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</si>
  <si>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</si>
  <si>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</si>
  <si>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</si>
  <si>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</si>
  <si>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TasNetworks Transmission</t>
  </si>
  <si>
    <t>final</t>
  </si>
  <si>
    <t>Interpolated</t>
  </si>
  <si>
    <t>WPI - Jacobs</t>
  </si>
  <si>
    <t>WPI - DAE Report 2</t>
  </si>
  <si>
    <t>RBA statement of monetary policy inflation forecast, February 2019, Table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</si>
</sst>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1" formatCode="&quot;Warning&quot;;&quot;Warning&quot;;&quot;OK&quot;"/>
    <numFmt numFmtId="202" formatCode="_-* ##\ ##0.00_-;\-* ##\ ##0.00_-;_-* &quot;-&quot;??_-;_-@_-"/>
    <numFmt numFmtId="203" formatCode="mmmm"/>
    <numFmt numFmtId="204" formatCode="mmm\ yyyy"/>
    <numFmt numFmtId="205" formatCode="0.00_ ;\-0.00\ "/>
    <numFmt numFmtId="206" formatCode="0_ ;\-0\ 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u/>
      <sz val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1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2" fontId="5" fillId="0" borderId="0" xfId="0" applyNumberFormat="1" applyFont="1" applyAlignment="1" applyProtection="1">
      <alignment horizontal="center"/>
    </xf>
    <xf numFmtId="203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4" fontId="71" fillId="39" borderId="4" xfId="0" applyNumberFormat="1" applyFont="1" applyFill="1" applyBorder="1" applyAlignment="1" applyProtection="1">
      <alignment horizontal="center" wrapText="1"/>
    </xf>
    <xf numFmtId="204" fontId="88" fillId="38" borderId="2" xfId="0" applyNumberFormat="1" applyFont="1" applyFill="1" applyBorder="1" applyAlignment="1" applyProtection="1">
      <alignment horizontal="center"/>
    </xf>
    <xf numFmtId="204" fontId="71" fillId="38" borderId="2" xfId="0" applyNumberFormat="1" applyFont="1" applyFill="1" applyBorder="1" applyAlignment="1" applyProtection="1">
      <alignment horizontal="left"/>
    </xf>
    <xf numFmtId="204" fontId="5" fillId="0" borderId="7" xfId="0" applyNumberFormat="1" applyFont="1" applyBorder="1" applyAlignment="1" applyProtection="1">
      <alignment horizontal="center"/>
    </xf>
    <xf numFmtId="204" fontId="3" fillId="0" borderId="0" xfId="0" applyNumberFormat="1" applyFont="1" applyAlignment="1">
      <alignment horizontal="left" indent="1"/>
    </xf>
    <xf numFmtId="204" fontId="4" fillId="0" borderId="0" xfId="0" applyNumberFormat="1" applyFont="1" applyAlignment="1" applyProtection="1">
      <alignment horizontal="center"/>
    </xf>
    <xf numFmtId="204" fontId="4" fillId="41" borderId="22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4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4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4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4" fontId="4" fillId="0" borderId="7" xfId="0" applyNumberFormat="1" applyFont="1" applyBorder="1" applyAlignment="1" applyProtection="1">
      <alignment horizontal="center"/>
    </xf>
    <xf numFmtId="205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4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4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4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4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4" fontId="16" fillId="8" borderId="9" xfId="0" applyNumberFormat="1" applyFont="1" applyFill="1" applyBorder="1" applyAlignment="1" applyProtection="1">
      <alignment horizontal="center"/>
      <protection locked="0"/>
    </xf>
    <xf numFmtId="206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4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4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64" fontId="4" fillId="41" borderId="3" xfId="0" applyNumberFormat="1" applyFont="1" applyFill="1" applyBorder="1" applyAlignment="1" applyProtection="1">
      <alignment horizontal="center"/>
    </xf>
    <xf numFmtId="204" fontId="4" fillId="41" borderId="3" xfId="0" applyNumberFormat="1" applyFont="1" applyFill="1" applyBorder="1" applyAlignment="1" applyProtection="1">
      <alignment horizontal="center"/>
    </xf>
    <xf numFmtId="193" fontId="3" fillId="0" borderId="0" xfId="0" applyNumberFormat="1" applyFont="1" applyFill="1" applyProtection="1">
      <protection locked="0"/>
    </xf>
    <xf numFmtId="0" fontId="89" fillId="38" borderId="0" xfId="3" applyFont="1" applyFill="1" applyBorder="1" applyAlignment="1" applyProtection="1"/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178</v>
      </c>
    </row>
    <row r="13" spans="1:47">
      <c r="C13" s="19" t="s">
        <v>55</v>
      </c>
      <c r="D13" s="7" t="s">
        <v>179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="115" zoomScaleNormal="115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201</v>
      </c>
      <c r="H7" s="29"/>
      <c r="I7" s="29"/>
      <c r="S7" s="131" t="str">
        <f>IF(COUNTBLANK($G7),"Check","Ok")</f>
        <v>Ok</v>
      </c>
    </row>
    <row r="8" spans="1:47">
      <c r="C8" s="29" t="s">
        <v>145</v>
      </c>
      <c r="D8" s="30" t="s">
        <v>73</v>
      </c>
      <c r="E8" s="29"/>
      <c r="F8" s="29"/>
      <c r="G8" s="52" t="s">
        <v>202</v>
      </c>
      <c r="H8" s="29"/>
      <c r="I8" s="29"/>
      <c r="S8" s="131" t="str">
        <f>IF(COUNTBLANK($G8),"Check","Ok")</f>
        <v>Ok</v>
      </c>
    </row>
    <row r="9" spans="1:47">
      <c r="C9" s="29" t="s">
        <v>129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159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160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C15" s="29" t="s">
        <v>197</v>
      </c>
      <c r="D15" s="30" t="s">
        <v>73</v>
      </c>
      <c r="E15" s="29"/>
      <c r="F15" s="29"/>
      <c r="G15" s="155" t="s">
        <v>200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2" priority="13" operator="equal">
      <formula>"Check"</formula>
    </cfRule>
    <cfRule type="cellIs" dxfId="191" priority="14" operator="equal">
      <formula>"Ok"</formula>
    </cfRule>
  </conditionalFormatting>
  <conditionalFormatting sqref="V1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S7:S15">
    <cfRule type="cellIs" dxfId="188" priority="5" operator="equal">
      <formula>"Check"</formula>
    </cfRule>
    <cfRule type="cellIs" dxfId="187" priority="6" operator="equal">
      <formula>"Ok"</formula>
    </cfRule>
  </conditionalFormatting>
  <conditionalFormatting sqref="S1">
    <cfRule type="cellIs" dxfId="186" priority="1" operator="equal">
      <formula>"Check"</formula>
    </cfRule>
    <cfRule type="cellIs" dxfId="18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8" workbookViewId="0">
      <selection activeCell="F58" sqref="F58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143</v>
      </c>
      <c r="F6" s="62" t="s">
        <v>102</v>
      </c>
      <c r="G6" s="62" t="s">
        <v>143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114.25624999999999</v>
      </c>
      <c r="G57" s="117">
        <f t="shared" si="1"/>
        <v>1.4709147424511571E-2</v>
      </c>
      <c r="H57" s="218" t="s">
        <v>203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9" t="s">
        <v>206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115.254625</v>
      </c>
      <c r="G59" s="117">
        <f t="shared" si="1"/>
        <v>1.5459251101321625E-2</v>
      </c>
      <c r="H59" s="218" t="s">
        <v>203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F56*1.0175</f>
        <v>116.09675</v>
      </c>
      <c r="G60" s="117">
        <f t="shared" si="1"/>
        <v>1.7500000000000071E-2</v>
      </c>
      <c r="H60" s="189" t="s">
        <v>206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116.39875000000001</v>
      </c>
      <c r="G61" s="117">
        <f t="shared" si="1"/>
        <v>1.8751709425086194E-2</v>
      </c>
      <c r="H61" s="218" t="s">
        <v>203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9" t="s">
        <v>206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117.7048384375</v>
      </c>
      <c r="G63" s="117">
        <f t="shared" si="1"/>
        <v>2.1259133310268519E-2</v>
      </c>
      <c r="H63" s="218" t="s">
        <v>203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F60*1.0225</f>
        <v>118.708926875</v>
      </c>
      <c r="G64" s="117">
        <f t="shared" si="1"/>
        <v>2.2499999999999964E-2</v>
      </c>
      <c r="H64" s="189" t="s">
        <v>206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4" priority="11" operator="equal">
      <formula>"Check"</formula>
    </cfRule>
    <cfRule type="cellIs" dxfId="183" priority="12" operator="equal">
      <formula>"Ok"</formula>
    </cfRule>
  </conditionalFormatting>
  <conditionalFormatting sqref="W1">
    <cfRule type="cellIs" dxfId="182" priority="7" operator="equal">
      <formula>"Check"</formula>
    </cfRule>
    <cfRule type="cellIs" dxfId="181" priority="8" operator="equal">
      <formula>"Ok"</formula>
    </cfRule>
  </conditionalFormatting>
  <conditionalFormatting sqref="T1">
    <cfRule type="cellIs" dxfId="180" priority="5" operator="equal">
      <formula>"Check"</formula>
    </cfRule>
    <cfRule type="cellIs" dxfId="179" priority="6" operator="equal">
      <formula>"Ok"</formula>
    </cfRule>
  </conditionalFormatting>
  <conditionalFormatting sqref="X51:X57">
    <cfRule type="cellIs" dxfId="178" priority="3" operator="equal">
      <formula>"Check"</formula>
    </cfRule>
    <cfRule type="cellIs" dxfId="177" priority="4" operator="equal">
      <formula>"Ok"</formula>
    </cfRule>
  </conditionalFormatting>
  <conditionalFormatting sqref="X58:X62 T9:T64">
    <cfRule type="cellIs" dxfId="176" priority="1" operator="equal">
      <formula>"Check"</formula>
    </cfRule>
    <cfRule type="cellIs" dxfId="17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43" zoomScale="115" zoomScaleNormal="115" workbookViewId="0">
      <selection activeCell="J1" sqref="J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19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129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41791</v>
      </c>
      <c r="G13" s="32"/>
      <c r="H13" s="32"/>
      <c r="I13" s="30"/>
      <c r="J13" s="164">
        <v>44.007198952090185</v>
      </c>
      <c r="K13" s="164">
        <v>43.406553172998535</v>
      </c>
      <c r="L13" s="164">
        <v>43.640687773711043</v>
      </c>
      <c r="M13" s="164">
        <v>43.867839857018978</v>
      </c>
      <c r="N13" s="164">
        <v>43.38250439141644</v>
      </c>
      <c r="O13" s="152"/>
      <c r="P13" s="152"/>
      <c r="Q13" s="152"/>
      <c r="R13" s="152"/>
      <c r="S13" s="152"/>
      <c r="T13" s="29" t="s">
        <v>180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41791</v>
      </c>
      <c r="G15" s="32"/>
      <c r="H15" s="32"/>
      <c r="I15" s="30"/>
      <c r="J15" s="129">
        <f>J13</f>
        <v>44.007198952090185</v>
      </c>
      <c r="K15" s="129">
        <f t="shared" ref="K15:S15" si="1">K13</f>
        <v>43.406553172998535</v>
      </c>
      <c r="L15" s="129">
        <f t="shared" si="1"/>
        <v>43.640687773711043</v>
      </c>
      <c r="M15" s="129">
        <f t="shared" si="1"/>
        <v>43.867839857018978</v>
      </c>
      <c r="N15" s="129">
        <f t="shared" si="1"/>
        <v>43.38250439141644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0.95088589137279544</v>
      </c>
      <c r="K19" s="164">
        <v>0.95108295314160207</v>
      </c>
      <c r="L19" s="164">
        <v>0.95971565952553095</v>
      </c>
      <c r="M19" s="164">
        <v>0.9622680863706583</v>
      </c>
      <c r="N19" s="164">
        <v>0.96057075792693236</v>
      </c>
      <c r="O19" s="152"/>
      <c r="P19" s="152"/>
      <c r="Q19" s="152"/>
      <c r="R19" s="152"/>
      <c r="S19" s="152"/>
      <c r="T19" s="29" t="s">
        <v>189</v>
      </c>
      <c r="U19" s="29"/>
      <c r="V19" s="29"/>
      <c r="W19" s="29"/>
    </row>
    <row r="20" spans="1:23">
      <c r="A20" s="29"/>
      <c r="B20" s="29"/>
      <c r="C20" s="61" t="s">
        <v>125</v>
      </c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167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0.95088589137279544</v>
      </c>
      <c r="K29" s="129">
        <f t="shared" ref="K29:S29" si="4">SUM(K19:K27)</f>
        <v>0.95108295314160207</v>
      </c>
      <c r="L29" s="129">
        <f t="shared" si="4"/>
        <v>0.95971565952553095</v>
      </c>
      <c r="M29" s="129">
        <f t="shared" si="4"/>
        <v>0.9622680863706583</v>
      </c>
      <c r="N29" s="129">
        <f t="shared" si="4"/>
        <v>0.96057075792693236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6" t="str">
        <f>$E$56</f>
        <v>$millions</v>
      </c>
      <c r="F37" s="217" t="s">
        <v>105</v>
      </c>
      <c r="G37" s="32"/>
      <c r="H37" s="32"/>
      <c r="I37" s="30"/>
      <c r="J37" s="164"/>
      <c r="K37" s="164"/>
      <c r="L37" s="164"/>
      <c r="M37" s="164">
        <v>28.209127015238028</v>
      </c>
      <c r="N37" s="164"/>
      <c r="O37" s="152"/>
      <c r="P37" s="152"/>
      <c r="Q37" s="152"/>
      <c r="R37" s="152"/>
      <c r="S37" s="152"/>
      <c r="T37" s="29" t="s">
        <v>181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196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190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>
        <v>-0.29051122478765301</v>
      </c>
      <c r="N41" s="164"/>
      <c r="O41" s="152"/>
      <c r="P41" s="152"/>
      <c r="Q41" s="152"/>
      <c r="R41" s="152"/>
      <c r="S41" s="152"/>
      <c r="T41" s="29" t="s">
        <v>195</v>
      </c>
      <c r="U41" s="29"/>
      <c r="V41" s="29"/>
      <c r="W41" s="29"/>
    </row>
    <row r="42" spans="1:23">
      <c r="A42" s="29"/>
      <c r="B42" s="29"/>
      <c r="C42" s="61" t="s">
        <v>191</v>
      </c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192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7">K37-SUM(K41:K45)</f>
        <v>0</v>
      </c>
      <c r="L47" s="129">
        <f t="shared" si="7"/>
        <v>0</v>
      </c>
      <c r="M47" s="129">
        <f t="shared" si="7"/>
        <v>28.499638240025682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189</v>
      </c>
      <c r="U51" s="29"/>
      <c r="V51" s="29"/>
      <c r="W51" s="29"/>
    </row>
    <row r="52" spans="1:23">
      <c r="A52" s="29"/>
      <c r="B52" s="29"/>
      <c r="C52" s="61" t="s">
        <v>125</v>
      </c>
      <c r="D52" s="30" t="s">
        <v>79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167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IF(OR(YEAR(J$4)=PPLastYear,YEAR(J$4)=BaseYear),J$4,"")</f>
        <v/>
      </c>
      <c r="K60" s="159" t="str">
        <f t="shared" si="10"/>
        <v/>
      </c>
      <c r="L60" s="159" t="str">
        <f t="shared" si="10"/>
        <v/>
      </c>
      <c r="M60" s="159">
        <f t="shared" si="10"/>
        <v>43252</v>
      </c>
      <c r="N60" s="159">
        <f t="shared" si="10"/>
        <v>43617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119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194</v>
      </c>
      <c r="U62" s="142"/>
      <c r="V62" s="142"/>
      <c r="W62" s="29"/>
    </row>
    <row r="63" spans="1:23">
      <c r="A63" s="29"/>
      <c r="B63" s="29"/>
      <c r="C63" s="61" t="s">
        <v>120</v>
      </c>
      <c r="D63" s="30" t="s">
        <v>34</v>
      </c>
      <c r="E63" s="30" t="str">
        <f t="shared" ref="E63:E68" si="11">$E$56</f>
        <v>$millions</v>
      </c>
      <c r="F63" s="172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121</v>
      </c>
      <c r="D64" s="30" t="s">
        <v>34</v>
      </c>
      <c r="E64" s="30" t="str">
        <f t="shared" si="11"/>
        <v>$millions</v>
      </c>
      <c r="F64" s="172">
        <v>42522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122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123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193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4" priority="31" operator="equal">
      <formula>"Check"</formula>
    </cfRule>
    <cfRule type="cellIs" dxfId="173" priority="32" operator="equal">
      <formula>"Ok"</formula>
    </cfRule>
  </conditionalFormatting>
  <conditionalFormatting sqref="W56">
    <cfRule type="cellIs" dxfId="172" priority="29" operator="equal">
      <formula>"Check"</formula>
    </cfRule>
    <cfRule type="cellIs" dxfId="171" priority="30" operator="equal">
      <formula>"Ok"</formula>
    </cfRule>
  </conditionalFormatting>
  <conditionalFormatting sqref="W15">
    <cfRule type="cellIs" dxfId="170" priority="27" operator="equal">
      <formula>"Check"</formula>
    </cfRule>
    <cfRule type="cellIs" dxfId="169" priority="28" operator="equal">
      <formula>"Ok"</formula>
    </cfRule>
  </conditionalFormatting>
  <conditionalFormatting sqref="V1">
    <cfRule type="cellIs" dxfId="168" priority="25" operator="equal">
      <formula>"Check"</formula>
    </cfRule>
    <cfRule type="cellIs" dxfId="167" priority="26" operator="equal">
      <formula>"Ok"</formula>
    </cfRule>
  </conditionalFormatting>
  <conditionalFormatting sqref="S1">
    <cfRule type="cellIs" dxfId="166" priority="23" operator="equal">
      <formula>"Check"</formula>
    </cfRule>
    <cfRule type="cellIs" dxfId="165" priority="24" operator="equal">
      <formula>"Ok"</formula>
    </cfRule>
  </conditionalFormatting>
  <conditionalFormatting sqref="J15:S15">
    <cfRule type="cellIs" dxfId="164" priority="22" operator="equal">
      <formula>0</formula>
    </cfRule>
  </conditionalFormatting>
  <conditionalFormatting sqref="J56:S56">
    <cfRule type="cellIs" dxfId="163" priority="21" operator="equal">
      <formula>0</formula>
    </cfRule>
  </conditionalFormatting>
  <conditionalFormatting sqref="W48:W50">
    <cfRule type="cellIs" dxfId="162" priority="19" operator="equal">
      <formula>"Check"</formula>
    </cfRule>
    <cfRule type="cellIs" dxfId="161" priority="20" operator="equal">
      <formula>"Ok"</formula>
    </cfRule>
  </conditionalFormatting>
  <conditionalFormatting sqref="J41:S45 N37:S37 J33:S33 J51:S54">
    <cfRule type="expression" dxfId="160" priority="17">
      <formula>J$34=J$4</formula>
    </cfRule>
  </conditionalFormatting>
  <conditionalFormatting sqref="J13:S13 J19:S27">
    <cfRule type="expression" dxfId="159" priority="16">
      <formula>J$10=J$4</formula>
    </cfRule>
  </conditionalFormatting>
  <conditionalFormatting sqref="J37:N37">
    <cfRule type="expression" dxfId="158" priority="13">
      <formula>J$10=J$4</formula>
    </cfRule>
  </conditionalFormatting>
  <conditionalFormatting sqref="W47">
    <cfRule type="cellIs" dxfId="157" priority="11" operator="equal">
      <formula>"Check"</formula>
    </cfRule>
    <cfRule type="cellIs" dxfId="156" priority="12" operator="equal">
      <formula>"Ok"</formula>
    </cfRule>
  </conditionalFormatting>
  <conditionalFormatting sqref="J47:S47">
    <cfRule type="cellIs" dxfId="155" priority="9" operator="equal">
      <formula>0</formula>
    </cfRule>
  </conditionalFormatting>
  <conditionalFormatting sqref="J62:S66 J68:S68 J70:S70">
    <cfRule type="expression" dxfId="154" priority="8">
      <formula>J$60=J$4</formula>
    </cfRule>
  </conditionalFormatting>
  <conditionalFormatting sqref="W29">
    <cfRule type="cellIs" dxfId="153" priority="4" operator="equal">
      <formula>"Check"</formula>
    </cfRule>
    <cfRule type="cellIs" dxfId="152" priority="5" operator="equal">
      <formula>"Ok"</formula>
    </cfRule>
  </conditionalFormatting>
  <conditionalFormatting sqref="J29:S29">
    <cfRule type="cellIs" dxfId="151" priority="3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topLeftCell="A52" workbookViewId="0">
      <selection activeCell="J84" sqref="J84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IF(COUNTIF(W5:W104,"Check")=0,"Ok","Check")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129</v>
      </c>
      <c r="K3" s="220"/>
      <c r="L3" s="220"/>
      <c r="M3" s="220"/>
      <c r="N3" s="183"/>
      <c r="O3" s="220"/>
      <c r="P3" s="220"/>
      <c r="Q3" s="220"/>
      <c r="R3" s="220"/>
      <c r="S3" s="220"/>
      <c r="T3" s="22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1.2499999999999956E-2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1.0803824362606231</v>
      </c>
      <c r="P16" s="209"/>
      <c r="Q16" s="209"/>
      <c r="R16" s="209"/>
      <c r="S16" s="209"/>
      <c r="T16" s="209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1.0643023255813953</v>
      </c>
      <c r="P17" s="209"/>
      <c r="Q17" s="209"/>
      <c r="R17" s="209"/>
      <c r="S17" s="209"/>
      <c r="T17" s="209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1.0535220994475138</v>
      </c>
      <c r="P18" s="209"/>
      <c r="Q18" s="209"/>
      <c r="R18" s="209"/>
      <c r="S18" s="209"/>
      <c r="T18" s="209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1.0335365853658538</v>
      </c>
      <c r="P19" s="209"/>
      <c r="Q19" s="209"/>
      <c r="R19" s="209"/>
      <c r="S19" s="209"/>
      <c r="T19" s="209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1.0125</v>
      </c>
      <c r="P20" s="209"/>
      <c r="Q20" s="209"/>
      <c r="R20" s="209"/>
      <c r="S20" s="209"/>
      <c r="T20" s="209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0.92559816453621768</v>
      </c>
      <c r="K21" s="22">
        <f t="shared" ref="K21" si="14">IF(AND($C21&gt;K$14,ISNONTEXT($C21)),L21/(1+L$12),IF(AND($C21=K$14,K$14=K$4),1,IF(AND($C21&lt;K$14,K$14=K$4),J21*(1+K$12),0)))</f>
        <v>0.93958265049710477</v>
      </c>
      <c r="L21" s="22">
        <f t="shared" ref="L21" si="15">IF(AND($C21&gt;L$14,ISNONTEXT($C21)),M21/(1+M$12),IF(AND($C21=L$14,L$14=L$4),1,IF(AND($C21&lt;L$14,L$14=L$4),K21*(1+L$12),0)))</f>
        <v>0.94919698459521462</v>
      </c>
      <c r="M21" s="22">
        <f t="shared" ref="M21" si="16">IF(AND($C21&gt;M$14,ISNONTEXT($C21)),N21/(1+N$12),IF(AND($C21=M$14,M$14=M$4),1,IF(AND($C21&lt;M$14,M$14=M$4),L21*(1+M$12),0)))</f>
        <v>0.96755162241887904</v>
      </c>
      <c r="N21" s="22">
        <f t="shared" ref="N21" si="17">IF(AND($C21&gt;N$14,ISNONTEXT($C21)),O21/(1+O$12),IF(AND($C21=N$14,N$14=N$4),1,IF(AND($C21&lt;N$14,N$14=N$4),M21*(1+N$12),0)))</f>
        <v>0.98765432098765438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0.93136518708840799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0.94543680464592883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0.95511104171672423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0.97358003976097018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0.99380798999990649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1.0965512593064946</v>
      </c>
      <c r="K30" s="22">
        <f t="shared" si="27"/>
        <v>1.07231223970888</v>
      </c>
      <c r="L30" s="22">
        <f t="shared" si="27"/>
        <v>1.0588984939517967</v>
      </c>
      <c r="M30" s="22">
        <f t="shared" si="27"/>
        <v>1.0434814963718564</v>
      </c>
      <c r="N30" s="22">
        <f t="shared" si="27"/>
        <v>1.0229642186718588</v>
      </c>
      <c r="O30" s="22">
        <f t="shared" si="27"/>
        <v>1.0062305898749053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204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0</v>
      </c>
      <c r="Q36" s="168">
        <v>4.8999999999999998E-3</v>
      </c>
      <c r="R36" s="168">
        <v>4.8999999999999998E-3</v>
      </c>
      <c r="S36" s="168">
        <v>4.8999999999999998E-3</v>
      </c>
      <c r="T36" s="168">
        <v>4.8999999999999998E-3</v>
      </c>
    </row>
    <row r="37" spans="3:23" ht="11.25" customHeight="1" outlineLevel="1">
      <c r="C37" s="61" t="s">
        <v>205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2.1131046084121863E-3</v>
      </c>
      <c r="Q37" s="168">
        <v>1.8651361063166672E-3</v>
      </c>
      <c r="R37" s="168">
        <v>3.3433486949991931E-3</v>
      </c>
      <c r="S37" s="168">
        <v>3.6162734480651437E-3</v>
      </c>
      <c r="T37" s="168">
        <v>4.5666402948554286E-3</v>
      </c>
    </row>
    <row r="38" spans="3:23" ht="11.25" customHeight="1" outlineLevel="1">
      <c r="C38" s="61" t="s">
        <v>128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1.0565523042060931E-3</v>
      </c>
      <c r="Q38" s="60">
        <f t="shared" ref="Q38:T38" si="30">AVERAGE(Q36:Q37)</f>
        <v>3.3825680531583335E-3</v>
      </c>
      <c r="R38" s="60">
        <f t="shared" si="30"/>
        <v>4.1216743474995965E-3</v>
      </c>
      <c r="S38" s="60">
        <f t="shared" si="30"/>
        <v>4.2581367240325718E-3</v>
      </c>
      <c r="T38" s="60">
        <f t="shared" si="30"/>
        <v>4.7333201474277142E-3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Jacobs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210">
        <v>0</v>
      </c>
    </row>
    <row r="50" spans="1:50" ht="11.25" customHeight="1" outlineLevel="1">
      <c r="C50" s="148" t="str">
        <f t="shared" si="33"/>
        <v>WPI - DAE Report 2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10">
        <v>0</v>
      </c>
    </row>
    <row r="51" spans="1:50" ht="11.25" customHeight="1" outlineLevel="1">
      <c r="C51" s="148" t="str">
        <f t="shared" si="33"/>
        <v>WPI - average of DAE and CIE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210">
        <v>0.70399999999999996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10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10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10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10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0.29600000000000004</v>
      </c>
      <c r="Q56" s="60">
        <v>0.29600000000000004</v>
      </c>
      <c r="R56" s="60">
        <v>0.29600000000000004</v>
      </c>
      <c r="S56" s="60">
        <v>0.29600000000000004</v>
      </c>
      <c r="T56" s="210">
        <v>0.29600000000000004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43617</v>
      </c>
      <c r="P62" s="163">
        <f t="shared" si="36"/>
        <v>43983</v>
      </c>
      <c r="Q62" s="163">
        <f t="shared" si="36"/>
        <v>44348</v>
      </c>
      <c r="R62" s="163">
        <f t="shared" si="36"/>
        <v>44713</v>
      </c>
      <c r="S62" s="163">
        <f t="shared" si="36"/>
        <v>45078</v>
      </c>
      <c r="T62" s="163">
        <f t="shared" si="36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185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12514</v>
      </c>
      <c r="P64" s="197">
        <v>12591</v>
      </c>
      <c r="Q64" s="197">
        <v>12665</v>
      </c>
      <c r="R64" s="197">
        <v>12754</v>
      </c>
      <c r="S64" s="197">
        <v>12823</v>
      </c>
      <c r="T64" s="197">
        <v>12895</v>
      </c>
    </row>
    <row r="65" spans="3:23" outlineLevel="1">
      <c r="C65" s="61" t="s">
        <v>184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2691</v>
      </c>
      <c r="P65" s="197">
        <v>2691</v>
      </c>
      <c r="Q65" s="197">
        <v>2691</v>
      </c>
      <c r="R65" s="197">
        <v>2691</v>
      </c>
      <c r="S65" s="197">
        <v>2691</v>
      </c>
      <c r="T65" s="197">
        <v>2691</v>
      </c>
    </row>
    <row r="66" spans="3:23" outlineLevel="1">
      <c r="C66" s="61" t="s">
        <v>182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290769</v>
      </c>
      <c r="P66" s="197">
        <v>292118.20207164699</v>
      </c>
      <c r="Q66" s="197">
        <v>293404.48423062451</v>
      </c>
      <c r="R66" s="197">
        <v>294598.06481042219</v>
      </c>
      <c r="S66" s="197">
        <v>295786.50211477425</v>
      </c>
      <c r="T66" s="197">
        <v>297178.4011864856</v>
      </c>
    </row>
    <row r="67" spans="3:23" outlineLevel="1">
      <c r="C67" s="61" t="s">
        <v>183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3564</v>
      </c>
      <c r="P67" s="197">
        <v>3564</v>
      </c>
      <c r="Q67" s="197">
        <v>3564</v>
      </c>
      <c r="R67" s="197">
        <v>3564</v>
      </c>
      <c r="S67" s="197">
        <v>3564</v>
      </c>
      <c r="T67" s="197">
        <v>3564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T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 t="shared" si="37"/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43983</v>
      </c>
      <c r="Q73" s="163">
        <f t="shared" si="38"/>
        <v>44348</v>
      </c>
      <c r="R73" s="163">
        <f t="shared" si="38"/>
        <v>44713</v>
      </c>
      <c r="S73" s="163">
        <f t="shared" si="38"/>
        <v>45078</v>
      </c>
      <c r="T73" s="163">
        <f t="shared" si="38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 throughput (GWh)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6.1342554433903018E-3</v>
      </c>
      <c r="Q75" s="117">
        <f t="shared" si="40"/>
        <v>5.8600104340751358E-3</v>
      </c>
      <c r="R75" s="117">
        <f t="shared" si="40"/>
        <v>7.0026644394420856E-3</v>
      </c>
      <c r="S75" s="117">
        <f t="shared" si="40"/>
        <v>5.3954855838984628E-3</v>
      </c>
      <c r="T75" s="117">
        <f t="shared" si="40"/>
        <v>5.5992058563294478E-3</v>
      </c>
    </row>
    <row r="76" spans="3:23" outlineLevel="1">
      <c r="C76" s="148" t="str">
        <f>C65</f>
        <v>Ratcheted Maximum Demand (MW)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117">
        <f t="shared" si="41"/>
        <v>0</v>
      </c>
      <c r="Q76" s="117">
        <f t="shared" si="41"/>
        <v>0</v>
      </c>
      <c r="R76" s="117">
        <f t="shared" si="41"/>
        <v>0</v>
      </c>
      <c r="S76" s="117">
        <f t="shared" si="41"/>
        <v>0</v>
      </c>
      <c r="T76" s="117">
        <f t="shared" si="41"/>
        <v>0</v>
      </c>
    </row>
    <row r="77" spans="3:23" outlineLevel="1">
      <c r="C77" s="148" t="str">
        <f t="shared" ref="C77:C79" si="42">C66</f>
        <v>Customer numbers (#)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4.6293844724534239E-3</v>
      </c>
      <c r="Q77" s="117">
        <f t="shared" si="43"/>
        <v>4.3936272949398614E-3</v>
      </c>
      <c r="R77" s="117">
        <f t="shared" si="43"/>
        <v>4.059785866958876E-3</v>
      </c>
      <c r="S77" s="117">
        <f t="shared" si="43"/>
        <v>4.0259823043022891E-3</v>
      </c>
      <c r="T77" s="117">
        <f t="shared" si="43"/>
        <v>4.6947184241776796E-3</v>
      </c>
    </row>
    <row r="78" spans="3:23" outlineLevel="1">
      <c r="C78" s="148" t="str">
        <f t="shared" si="42"/>
        <v>Circuit Length (km)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0</v>
      </c>
      <c r="Q78" s="117">
        <f t="shared" si="44"/>
        <v>0</v>
      </c>
      <c r="R78" s="117">
        <f t="shared" si="44"/>
        <v>0</v>
      </c>
      <c r="S78" s="117">
        <f t="shared" si="44"/>
        <v>0</v>
      </c>
      <c r="T78" s="117">
        <f t="shared" si="44"/>
        <v>0</v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>C69</f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186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187</v>
      </c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Energy throughput (GWh)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0.23100000000000001</v>
      </c>
      <c r="K84" s="194"/>
      <c r="L84" s="194"/>
      <c r="M84" s="194"/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>C65</f>
        <v>Ratcheted Maximum Demand (MW)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0.19400000000000001</v>
      </c>
      <c r="K85" s="194"/>
      <c r="L85" s="194"/>
      <c r="M85" s="194"/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ref="C86:C88" si="47">C66</f>
        <v>Customer numbers (#)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0.19900000000000001</v>
      </c>
      <c r="K86" s="194"/>
      <c r="L86" s="194"/>
      <c r="M86" s="194"/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Circuit Length (km)</v>
      </c>
      <c r="D87" s="30" t="s">
        <v>106</v>
      </c>
      <c r="E87" s="30" t="s">
        <v>18</v>
      </c>
      <c r="F87" s="30" t="s">
        <v>36</v>
      </c>
      <c r="G87" s="32"/>
      <c r="H87" s="32"/>
      <c r="J87" s="60">
        <v>0.376</v>
      </c>
      <c r="K87" s="194"/>
      <c r="L87" s="194"/>
      <c r="M87" s="194"/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194"/>
      <c r="L88" s="194"/>
      <c r="M88" s="194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>C69</f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194"/>
      <c r="L89" s="194"/>
      <c r="M89" s="194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/>
      </c>
      <c r="L91" s="132" t="str">
        <f t="array" ref="L91">IF(ISBLANK(L84:L89),"",IF(SUM(L84:L89)=1,"Ok","Check"))</f>
        <v/>
      </c>
      <c r="M91" s="132" t="str">
        <f t="array" ref="M91">IF(ISBLANK(M84:M89),"",IF(SUM(M84:M89)=1,"Ok","Check"))</f>
        <v/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188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43983</v>
      </c>
      <c r="Q93" s="163">
        <f>IF(YEAR(Q$4)&gt;FPFirstYear,IF(YEAR(Q$4)&lt;=FPLastYear,Q$4,""),"")</f>
        <v>44348</v>
      </c>
      <c r="R93" s="163">
        <f>IF(YEAR(R$4)&gt;FPFirstYear,IF(YEAR(R$4)&lt;=FPLastYear,R$4,""),"")</f>
        <v>44713</v>
      </c>
      <c r="S93" s="163">
        <f>IF(YEAR(S$4)&gt;FPFirstYear,IF(YEAR(S$4)&lt;=FPLastYear,S$4,""),"")</f>
        <v>45078</v>
      </c>
      <c r="T93" s="163">
        <f>IF(YEAR(T$4)&gt;FPFirstYear,IF(YEAR(T$4)&lt;=FPLastYear,T$4,""),"")</f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>J82</f>
        <v>MPFP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2.3382605174413909E-3</v>
      </c>
      <c r="Q95" s="117">
        <f t="shared" si="49"/>
        <v>2.2279942419643891E-3</v>
      </c>
      <c r="R95" s="117">
        <f t="shared" si="49"/>
        <v>2.4255128730359381E-3</v>
      </c>
      <c r="S95" s="117">
        <f t="shared" si="49"/>
        <v>2.0475276484367005E-3</v>
      </c>
      <c r="T95" s="117">
        <f>IF(T$93=T$4,SUMPRODUCT(T$75:T$80,$J$84:$J$89),"")</f>
        <v>2.2276655192234609E-3</v>
      </c>
      <c r="U95" s="24"/>
      <c r="W95" s="132"/>
    </row>
    <row r="96" spans="3:23" outlineLevel="1">
      <c r="C96" s="111"/>
      <c r="G96" s="32"/>
      <c r="H96" s="32"/>
      <c r="K96" s="23"/>
      <c r="L96" s="23"/>
      <c r="M96" s="23"/>
      <c r="N96" s="23"/>
      <c r="O96" s="23"/>
    </row>
    <row r="97" spans="1:50" s="103" customFormat="1" ht="12.75">
      <c r="A97" s="94"/>
      <c r="B97" s="95" t="s">
        <v>82</v>
      </c>
      <c r="C97" s="94"/>
      <c r="D97" s="94"/>
      <c r="E97" s="94"/>
      <c r="F97" s="96"/>
      <c r="G97" s="96"/>
      <c r="H97" s="96"/>
      <c r="I97" s="96"/>
      <c r="J97" s="96"/>
      <c r="K97" s="97"/>
      <c r="L97" s="98"/>
      <c r="M97" s="97"/>
      <c r="N97" s="98"/>
      <c r="O97" s="97"/>
      <c r="P97" s="97"/>
      <c r="Q97" s="97"/>
      <c r="R97" s="97"/>
      <c r="S97" s="97"/>
      <c r="T97" s="97"/>
      <c r="U97" s="97"/>
      <c r="V97" s="97"/>
      <c r="W97" s="98"/>
      <c r="X97" s="99"/>
      <c r="Y97" s="99"/>
      <c r="Z97" s="99"/>
      <c r="AA97" s="99"/>
      <c r="AB97" s="99"/>
      <c r="AC97" s="99"/>
      <c r="AD97" s="99"/>
      <c r="AE97" s="100"/>
      <c r="AF97" s="101"/>
      <c r="AG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</row>
    <row r="98" spans="1:50" outlineLevel="1">
      <c r="G98" s="32"/>
      <c r="H98" s="32"/>
    </row>
    <row r="99" spans="1:50" outlineLevel="1">
      <c r="C99" s="67" t="s">
        <v>48</v>
      </c>
      <c r="D99" s="32" t="s">
        <v>7</v>
      </c>
      <c r="E99" s="32" t="s">
        <v>8</v>
      </c>
      <c r="F99" s="32" t="s">
        <v>22</v>
      </c>
      <c r="G99" s="32"/>
      <c r="H99" s="32"/>
      <c r="J99" s="163" t="str">
        <f t="shared" ref="J99:T99" si="50">IF(YEAR(J$4)&gt;=FPFirstYear,IF(YEAR(J$4)&lt;=FPLastYear,J$4,""),"")</f>
        <v/>
      </c>
      <c r="K99" s="163" t="str">
        <f t="shared" si="50"/>
        <v/>
      </c>
      <c r="L99" s="163" t="str">
        <f t="shared" si="50"/>
        <v/>
      </c>
      <c r="M99" s="163" t="str">
        <f t="shared" si="50"/>
        <v/>
      </c>
      <c r="N99" s="163" t="str">
        <f t="shared" si="50"/>
        <v/>
      </c>
      <c r="O99" s="163" t="str">
        <f t="shared" si="50"/>
        <v/>
      </c>
      <c r="P99" s="163">
        <f t="shared" si="50"/>
        <v>43983</v>
      </c>
      <c r="Q99" s="163">
        <f t="shared" si="50"/>
        <v>44348</v>
      </c>
      <c r="R99" s="163">
        <f t="shared" si="50"/>
        <v>44713</v>
      </c>
      <c r="S99" s="163">
        <f t="shared" si="50"/>
        <v>45078</v>
      </c>
      <c r="T99" s="163">
        <f t="shared" si="50"/>
        <v>45444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outlineLevel="1">
      <c r="C101" s="111" t="s">
        <v>48</v>
      </c>
      <c r="D101" s="30" t="s">
        <v>106</v>
      </c>
      <c r="E101" s="30" t="str">
        <f>percent</f>
        <v>Per cent</v>
      </c>
      <c r="F101" s="30" t="s">
        <v>36</v>
      </c>
      <c r="G101" s="32"/>
      <c r="H101" s="32"/>
      <c r="J101" s="206"/>
      <c r="K101" s="195"/>
      <c r="L101" s="195"/>
      <c r="M101" s="195"/>
      <c r="N101" s="195"/>
      <c r="O101" s="170"/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</row>
    <row r="102" spans="1:50" outlineLevel="1">
      <c r="C102" s="111"/>
      <c r="G102" s="32"/>
      <c r="H102" s="32"/>
      <c r="J102" s="169"/>
      <c r="K102" s="23"/>
      <c r="L102" s="23"/>
      <c r="M102" s="23"/>
      <c r="N102" s="23"/>
      <c r="O102" s="23"/>
      <c r="P102" s="193"/>
      <c r="Q102" s="193"/>
      <c r="R102" s="193"/>
      <c r="S102" s="193"/>
      <c r="T102" s="193"/>
    </row>
    <row r="103" spans="1:50" outlineLevel="1">
      <c r="C103" s="29" t="s">
        <v>40</v>
      </c>
      <c r="D103" s="30" t="s">
        <v>103</v>
      </c>
      <c r="E103" s="30" t="s">
        <v>28</v>
      </c>
      <c r="F103" s="30" t="s">
        <v>36</v>
      </c>
      <c r="J103" s="132" t="str">
        <f t="shared" ref="J103:S103" si="51">IF(J99=J$4,IF(ISBLANK(J101),"Check","Ok"),"")</f>
        <v/>
      </c>
      <c r="K103" s="132" t="str">
        <f t="shared" si="51"/>
        <v/>
      </c>
      <c r="L103" s="132" t="str">
        <f t="shared" si="51"/>
        <v/>
      </c>
      <c r="M103" s="132" t="str">
        <f t="shared" si="51"/>
        <v/>
      </c>
      <c r="N103" s="132" t="str">
        <f t="shared" si="51"/>
        <v/>
      </c>
      <c r="O103" s="132" t="str">
        <f t="shared" si="51"/>
        <v/>
      </c>
      <c r="P103" s="132" t="str">
        <f t="shared" si="51"/>
        <v>Ok</v>
      </c>
      <c r="Q103" s="132" t="str">
        <f t="shared" si="51"/>
        <v>Ok</v>
      </c>
      <c r="R103" s="132" t="str">
        <f t="shared" si="51"/>
        <v>Ok</v>
      </c>
      <c r="S103" s="132" t="str">
        <f t="shared" si="51"/>
        <v>Ok</v>
      </c>
      <c r="T103" s="132" t="str">
        <f>IF(T99=T$4,IF(ISBLANK(T101),"Check","Ok"),"")</f>
        <v>Ok</v>
      </c>
      <c r="U103" s="24"/>
      <c r="W103" s="131" t="str">
        <f>IF(COUNTIF(J103:T103,"Check")=0,"Ok","Check")</f>
        <v>Ok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s="103" customFormat="1" ht="12.75">
      <c r="A105" s="94"/>
      <c r="B105" s="95" t="s">
        <v>21</v>
      </c>
      <c r="C105" s="94"/>
      <c r="D105" s="94"/>
      <c r="E105" s="94"/>
      <c r="F105" s="96"/>
      <c r="G105" s="96"/>
      <c r="H105" s="96"/>
      <c r="I105" s="96"/>
      <c r="J105" s="96"/>
      <c r="K105" s="97"/>
      <c r="L105" s="98"/>
      <c r="M105" s="97"/>
      <c r="N105" s="98"/>
      <c r="O105" s="97"/>
      <c r="P105" s="97"/>
      <c r="Q105" s="97"/>
      <c r="R105" s="97"/>
      <c r="S105" s="97"/>
      <c r="T105" s="97"/>
      <c r="U105" s="97"/>
      <c r="V105" s="97"/>
      <c r="W105" s="98"/>
      <c r="X105" s="99"/>
      <c r="Y105" s="99"/>
      <c r="Z105" s="99"/>
      <c r="AA105" s="99"/>
      <c r="AB105" s="99"/>
      <c r="AC105" s="99"/>
      <c r="AD105" s="99"/>
      <c r="AE105" s="100"/>
      <c r="AF105" s="101"/>
      <c r="AG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</row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0" priority="109" operator="equal">
      <formula>"Check"</formula>
    </cfRule>
    <cfRule type="cellIs" dxfId="149" priority="110" operator="equal">
      <formula>"Ok"</formula>
    </cfRule>
  </conditionalFormatting>
  <conditionalFormatting sqref="T1">
    <cfRule type="cellIs" dxfId="148" priority="73" operator="equal">
      <formula>"Check"</formula>
    </cfRule>
    <cfRule type="cellIs" dxfId="147" priority="74" operator="equal">
      <formula>"Ok"</formula>
    </cfRule>
  </conditionalFormatting>
  <conditionalFormatting sqref="W58">
    <cfRule type="cellIs" dxfId="146" priority="61" operator="equal">
      <formula>"Check"</formula>
    </cfRule>
    <cfRule type="cellIs" dxfId="145" priority="62" operator="equal">
      <formula>"Ok"</formula>
    </cfRule>
  </conditionalFormatting>
  <conditionalFormatting sqref="J58:T58">
    <cfRule type="cellIs" dxfId="144" priority="53" operator="equal">
      <formula>"Check"</formula>
    </cfRule>
    <cfRule type="cellIs" dxfId="143" priority="54" operator="equal">
      <formula>"Ok"</formula>
    </cfRule>
  </conditionalFormatting>
  <conditionalFormatting sqref="J34:T34">
    <cfRule type="expression" dxfId="142" priority="44">
      <formula>J$34=J$4</formula>
    </cfRule>
  </conditionalFormatting>
  <conditionalFormatting sqref="J36:T43">
    <cfRule type="expression" dxfId="141" priority="42">
      <formula>J$34=J$4</formula>
    </cfRule>
  </conditionalFormatting>
  <conditionalFormatting sqref="J49:T56">
    <cfRule type="expression" dxfId="140" priority="41">
      <formula>J$47=J$4</formula>
    </cfRule>
  </conditionalFormatting>
  <conditionalFormatting sqref="W103">
    <cfRule type="cellIs" dxfId="139" priority="35" operator="equal">
      <formula>"Check"</formula>
    </cfRule>
    <cfRule type="cellIs" dxfId="138" priority="36" operator="equal">
      <formula>"Ok"</formula>
    </cfRule>
  </conditionalFormatting>
  <conditionalFormatting sqref="J103:T103">
    <cfRule type="cellIs" dxfId="137" priority="33" operator="equal">
      <formula>"Check"</formula>
    </cfRule>
    <cfRule type="cellIs" dxfId="136" priority="34" operator="equal">
      <formula>"Ok"</formula>
    </cfRule>
  </conditionalFormatting>
  <conditionalFormatting sqref="W45">
    <cfRule type="cellIs" dxfId="135" priority="31" operator="equal">
      <formula>"Check"</formula>
    </cfRule>
    <cfRule type="cellIs" dxfId="134" priority="32" operator="equal">
      <formula>"Ok"</formula>
    </cfRule>
  </conditionalFormatting>
  <conditionalFormatting sqref="J45:T45">
    <cfRule type="cellIs" dxfId="133" priority="29" operator="equal">
      <formula>"Check"</formula>
    </cfRule>
    <cfRule type="cellIs" dxfId="132" priority="30" operator="equal">
      <formula>"Ok"</formula>
    </cfRule>
  </conditionalFormatting>
  <conditionalFormatting sqref="W71">
    <cfRule type="cellIs" dxfId="131" priority="27" operator="equal">
      <formula>"Check"</formula>
    </cfRule>
    <cfRule type="cellIs" dxfId="130" priority="28" operator="equal">
      <formula>"Ok"</formula>
    </cfRule>
  </conditionalFormatting>
  <conditionalFormatting sqref="J71:T71">
    <cfRule type="cellIs" dxfId="129" priority="25" operator="equal">
      <formula>"Check"</formula>
    </cfRule>
    <cfRule type="cellIs" dxfId="128" priority="26" operator="equal">
      <formula>"Ok"</formula>
    </cfRule>
  </conditionalFormatting>
  <conditionalFormatting sqref="J62:T62">
    <cfRule type="expression" dxfId="127" priority="19">
      <formula>J$62=J$4</formula>
    </cfRule>
  </conditionalFormatting>
  <conditionalFormatting sqref="J64:T69">
    <cfRule type="expression" dxfId="126" priority="17">
      <formula>J$62=J$4</formula>
    </cfRule>
  </conditionalFormatting>
  <conditionalFormatting sqref="J47:T47">
    <cfRule type="expression" dxfId="125" priority="14">
      <formula>J$34=J$4</formula>
    </cfRule>
  </conditionalFormatting>
  <conditionalFormatting sqref="J73:T73">
    <cfRule type="expression" dxfId="124" priority="13">
      <formula>J$34=J$4</formula>
    </cfRule>
  </conditionalFormatting>
  <conditionalFormatting sqref="J99:T99">
    <cfRule type="expression" dxfId="123" priority="12">
      <formula>J$34=J$4</formula>
    </cfRule>
  </conditionalFormatting>
  <conditionalFormatting sqref="J25:T30">
    <cfRule type="cellIs" dxfId="122" priority="10" operator="equal">
      <formula>0</formula>
    </cfRule>
  </conditionalFormatting>
  <conditionalFormatting sqref="J16:T21">
    <cfRule type="cellIs" dxfId="121" priority="9" operator="equal">
      <formula>0</formula>
    </cfRule>
  </conditionalFormatting>
  <conditionalFormatting sqref="W91:W95">
    <cfRule type="cellIs" dxfId="120" priority="5" operator="equal">
      <formula>"Check"</formula>
    </cfRule>
    <cfRule type="cellIs" dxfId="119" priority="6" operator="equal">
      <formula>"Ok"</formula>
    </cfRule>
  </conditionalFormatting>
  <conditionalFormatting sqref="J91:T92 J94:T94">
    <cfRule type="cellIs" dxfId="118" priority="2" operator="equal">
      <formula>"Check"</formula>
    </cfRule>
    <cfRule type="cellIs" dxfId="117" priority="3" operator="equal">
      <formula>"Ok"</formula>
    </cfRule>
  </conditionalFormatting>
  <conditionalFormatting sqref="J93:T93">
    <cfRule type="expression" dxfId="116" priority="1">
      <formula>J$93=J$4</formula>
    </cfRule>
  </conditionalFormatting>
  <conditionalFormatting sqref="J101:T101">
    <cfRule type="expression" dxfId="115" priority="148">
      <formula>J$99=J$4</formula>
    </cfRule>
  </conditionalFormatting>
  <dataValidations disablePrompts="1" count="2">
    <dataValidation type="list" allowBlank="1" showInputMessage="1" showErrorMessage="1" sqref="F104 F72 F96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129</v>
      </c>
      <c r="K3" s="173"/>
      <c r="L3" s="173"/>
      <c r="M3" s="183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2">
        <v>43617</v>
      </c>
      <c r="G12" s="32"/>
      <c r="H12" s="32"/>
      <c r="J12" s="152"/>
      <c r="K12" s="152"/>
      <c r="L12" s="152"/>
      <c r="M12" s="152"/>
      <c r="N12" s="152"/>
      <c r="O12" s="171"/>
      <c r="P12" s="171"/>
      <c r="Q12" s="171"/>
      <c r="R12" s="171"/>
      <c r="S12" s="171"/>
    </row>
    <row r="13" spans="1:47" outlineLevel="1">
      <c r="C13" s="61"/>
      <c r="D13" s="30" t="s">
        <v>73</v>
      </c>
      <c r="E13" s="150" t="s">
        <v>15</v>
      </c>
      <c r="F13" s="172">
        <v>42522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71"/>
    </row>
    <row r="14" spans="1:47" outlineLevel="1">
      <c r="C14" s="61"/>
      <c r="D14" s="30" t="s">
        <v>73</v>
      </c>
      <c r="E14" s="150" t="s">
        <v>15</v>
      </c>
      <c r="F14" s="172">
        <v>42522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73</v>
      </c>
      <c r="E15" s="150" t="s">
        <v>15</v>
      </c>
      <c r="F15" s="172">
        <v>42522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73</v>
      </c>
      <c r="E16" s="150" t="s">
        <v>15</v>
      </c>
      <c r="F16" s="172">
        <v>42522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73</v>
      </c>
      <c r="E17" s="150" t="s">
        <v>15</v>
      </c>
      <c r="F17" s="172">
        <v>42522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73</v>
      </c>
      <c r="E18" s="150" t="s">
        <v>15</v>
      </c>
      <c r="F18" s="172">
        <v>42522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73</v>
      </c>
      <c r="E19" s="150" t="s">
        <v>15</v>
      </c>
      <c r="F19" s="172">
        <v>42522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73</v>
      </c>
      <c r="E20" s="150" t="s">
        <v>15</v>
      </c>
      <c r="F20" s="172">
        <v>42522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73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1">
        <f>DATE(PPLastYear,MONTH('Input|General'!$G$9),1)</f>
        <v>43617</v>
      </c>
      <c r="G38" s="32"/>
      <c r="H38" s="32"/>
      <c r="J38" s="171"/>
      <c r="K38" s="171"/>
      <c r="L38" s="171"/>
      <c r="M38" s="171"/>
      <c r="N38" s="171"/>
      <c r="O38" s="171">
        <v>0.72643817577206071</v>
      </c>
      <c r="P38" s="171">
        <v>0.72978112600162981</v>
      </c>
      <c r="Q38" s="171">
        <v>0.72928886269821802</v>
      </c>
      <c r="R38" s="171">
        <v>0.72607097582822422</v>
      </c>
      <c r="S38" s="171">
        <v>0.71858180733676313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129</v>
      </c>
      <c r="K3" s="173"/>
      <c r="L3" s="173"/>
      <c r="M3" s="183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170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28.499638240025682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170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29.154110164638503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171</v>
      </c>
      <c r="D14" s="108" t="s">
        <v>96</v>
      </c>
      <c r="E14" s="30" t="str">
        <f>'Input|Reported opex'!E15</f>
        <v>$millions</v>
      </c>
      <c r="F14" s="161">
        <f>'Input|Reported opex'!F15</f>
        <v>41791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43.867839857018978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171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47.394043698217033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172</v>
      </c>
      <c r="D16" s="108" t="s">
        <v>96</v>
      </c>
      <c r="E16" s="30" t="str">
        <f>'Input|Reported opex'!E15</f>
        <v>$millions</v>
      </c>
      <c r="F16" s="161">
        <f>'Input|Reported opex'!F15</f>
        <v>41791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43.38250439141644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172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46.869695785485675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173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173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174</v>
      </c>
      <c r="D21" s="108" t="s">
        <v>96</v>
      </c>
      <c r="E21" s="30" t="str">
        <f>'Input|Reported opex'!E22</f>
        <v>$millions</v>
      </c>
      <c r="F21" s="161">
        <f>'Input|Reported opex'!F29</f>
        <v>41791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0.9622680863706583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174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1.0396175394889795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175</v>
      </c>
      <c r="D23" s="108" t="s">
        <v>96</v>
      </c>
      <c r="E23" s="30" t="str">
        <f>'Input|Reported opex'!E22</f>
        <v>$millions</v>
      </c>
      <c r="F23" s="161">
        <f>'Input|Reported opex'!F29</f>
        <v>41791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0.96057075792693236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175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1.0377837756498125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146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29.154110164638503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168</v>
      </c>
      <c r="D28" s="108" t="s">
        <v>96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166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-0.52434791273135772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28.629762251907145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176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1.8337638391670019E-3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96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96</v>
      </c>
      <c r="E40" s="30" t="str">
        <f>'Input|Reported opex'!$E$63</f>
        <v>$millions</v>
      </c>
      <c r="F40" s="161">
        <f>'Input|Reported opex'!$F$63</f>
        <v>42522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42522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177</v>
      </c>
      <c r="D54" s="112" t="s">
        <v>103</v>
      </c>
      <c r="E54" s="112" t="str">
        <f>$E$8</f>
        <v>$millions</v>
      </c>
      <c r="F54" s="180">
        <f>$F$8</f>
        <v>43617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28.631596015746311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43983</v>
      </c>
      <c r="P58" s="163">
        <f>IF(YEAR(P$4)&gt;='Input|General'!$G$13,IF(YEAR(P$4)&lt;='Input|General'!$G$14,P$4,""),"")</f>
        <v>44348</v>
      </c>
      <c r="Q58" s="163">
        <f>IF(YEAR(Q$4)&gt;='Input|General'!$G$13,IF(YEAR(Q$4)&lt;='Input|General'!$G$14,Q$4,""),"")</f>
        <v>44713</v>
      </c>
      <c r="R58" s="163">
        <f>IF(YEAR(R$4)&gt;='Input|General'!$G$13,IF(YEAR(R$4)&lt;='Input|General'!$G$14,R$4,""),"")</f>
        <v>45078</v>
      </c>
      <c r="S58" s="163">
        <f>IF(YEAR(S$4)&gt;='Input|General'!$G$13,IF(YEAR(S$4)&lt;='Input|General'!$G$14,S$4,""),"")</f>
        <v>45444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IF(J58=J4,'Input|Rate of change'!K95,0)</f>
        <v>0</v>
      </c>
      <c r="K61" s="117">
        <f>IF(K58=K4,'Input|Rate of change'!L95,0)</f>
        <v>0</v>
      </c>
      <c r="L61" s="117">
        <f>IF(L58=L4,'Input|Rate of change'!M95,0)</f>
        <v>0</v>
      </c>
      <c r="M61" s="117">
        <f>IF(M58=M4,'Input|Rate of change'!N95,0)</f>
        <v>0</v>
      </c>
      <c r="N61" s="117">
        <f>IF(N58=N4,'Input|Rate of change'!O95,0)</f>
        <v>0</v>
      </c>
      <c r="O61" s="117">
        <f>IF(O58=O4,'Input|Rate of change'!P95,0)</f>
        <v>2.3382605174413909E-3</v>
      </c>
      <c r="P61" s="117">
        <f>IF(P58=P4,'Input|Rate of change'!Q95,0)</f>
        <v>2.2279942419643891E-3</v>
      </c>
      <c r="Q61" s="117">
        <f>IF(Q58=Q4,'Input|Rate of change'!R95,0)</f>
        <v>2.4255128730359381E-3</v>
      </c>
      <c r="R61" s="117">
        <f>IF(R58=R4,'Input|Rate of change'!S95,0)</f>
        <v>2.0475276484367005E-3</v>
      </c>
      <c r="S61" s="117">
        <f>IF(S58=S4,'Input|Rate of change'!T95,0)</f>
        <v>2.2276655192234609E-3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7.4381282216108948E-4</v>
      </c>
      <c r="P63" s="117">
        <f>SUMPRODUCT('Input|Rate of change'!Q36:Q43,'Input|Rate of change'!Q49:Q56)</f>
        <v>2.3813279094234666E-3</v>
      </c>
      <c r="Q63" s="117">
        <f>SUMPRODUCT('Input|Rate of change'!R36:R43,'Input|Rate of change'!R49:R56)</f>
        <v>2.9016587406397159E-3</v>
      </c>
      <c r="R63" s="117">
        <f>SUMPRODUCT('Input|Rate of change'!S36:S43,'Input|Rate of change'!S49:S56)</f>
        <v>2.9977282537189303E-3</v>
      </c>
      <c r="S63" s="117">
        <f>SUMPRODUCT('Input|Rate of change'!T36:T43,'Input|Rate of change'!T49:T56)</f>
        <v>3.3322573837891107E-3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change'!K101</f>
        <v>0</v>
      </c>
      <c r="K65" s="117">
        <f>'Input|Rate of change'!L101</f>
        <v>0</v>
      </c>
      <c r="L65" s="117">
        <f>'Input|Rate of change'!M101</f>
        <v>0</v>
      </c>
      <c r="M65" s="117">
        <f>'Input|Rate of change'!N101</f>
        <v>0</v>
      </c>
      <c r="N65" s="117">
        <f>'Input|Rate of change'!O101</f>
        <v>0</v>
      </c>
      <c r="O65" s="117">
        <f>'Input|Rate of change'!P101</f>
        <v>0</v>
      </c>
      <c r="P65" s="117">
        <f>'Input|Rate of change'!Q101</f>
        <v>0</v>
      </c>
      <c r="Q65" s="117">
        <f>'Input|Rate of change'!R101</f>
        <v>0</v>
      </c>
      <c r="R65" s="117">
        <f>'Input|Rate of change'!S101</f>
        <v>0</v>
      </c>
      <c r="S65" s="117">
        <f>'Input|Rate of change'!T101</f>
        <v>0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147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3.0838125677568051E-3</v>
      </c>
      <c r="P67" s="143">
        <f t="shared" si="6"/>
        <v>4.6146277362579813E-3</v>
      </c>
      <c r="Q67" s="143">
        <f t="shared" si="6"/>
        <v>5.3342096243040871E-3</v>
      </c>
      <c r="R67" s="143">
        <f t="shared" si="6"/>
        <v>5.0513938336376185E-3</v>
      </c>
      <c r="S67" s="143">
        <f t="shared" si="6"/>
        <v>5.5673460578875567E-3</v>
      </c>
    </row>
    <row r="68" spans="1:47" outlineLevel="1">
      <c r="C68" s="124" t="s">
        <v>148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3.0838125677568051E-3</v>
      </c>
      <c r="P68" s="117">
        <f t="array" ref="P68">IF(P$58=P$4,PRODUCT(1+$J67:P67)-1,"")</f>
        <v>7.7126709510233482E-3</v>
      </c>
      <c r="Q68" s="117">
        <f t="array" ref="Q68">IF(Q$58=Q$4,PRODUCT(1+$J67:Q67)-1,"")</f>
        <v>1.3088021578943509E-2</v>
      </c>
      <c r="R68" s="117">
        <f t="array" ref="R68">IF(R$58=R$4,PRODUCT(1+$J67:R67)-1,"")</f>
        <v>1.820552816407961E-2</v>
      </c>
      <c r="S68" s="117">
        <f t="array" ref="S68">IF(S$58=S$4,PRODUCT(1+$J67:S67)-1,"")</f>
        <v>2.3874230697423116E-2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43983</v>
      </c>
      <c r="P72" s="163">
        <f>IF(YEAR(P$4)&gt;='Input|General'!$G$13,IF(YEAR(P$4)&lt;='Input|General'!$G$14,P$4,""),"")</f>
        <v>44348</v>
      </c>
      <c r="Q72" s="163">
        <f>IF(YEAR(Q$4)&gt;='Input|General'!$G$13,IF(YEAR(Q$4)&lt;='Input|General'!$G$14,Q$4,""),"")</f>
        <v>44713</v>
      </c>
      <c r="R72" s="163">
        <f>IF(YEAR(R$4)&gt;='Input|General'!$G$13,IF(YEAR(R$4)&lt;='Input|General'!$G$14,R$4,""),"")</f>
        <v>45078</v>
      </c>
      <c r="S72" s="163">
        <f>IF(YEAR(S$4)&gt;='Input|General'!$G$13,IF(YEAR(S$4)&lt;='Input|General'!$G$14,S$4,""),"")</f>
        <v>45444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43617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0</v>
      </c>
      <c r="Q84" s="177">
        <f t="shared" si="9"/>
        <v>0</v>
      </c>
      <c r="R84" s="177">
        <f t="shared" si="9"/>
        <v>0</v>
      </c>
      <c r="S84" s="177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126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43983</v>
      </c>
      <c r="P88" s="163">
        <f>IF(YEAR(P$4)&gt;='Input|General'!$G$13,IF(YEAR(P$4)&lt;='Input|General'!$G$14,P$4,""),"")</f>
        <v>44348</v>
      </c>
      <c r="Q88" s="163">
        <f>IF(YEAR(Q$4)&gt;='Input|General'!$G$13,IF(YEAR(Q$4)&lt;='Input|General'!$G$14,Q$4,""),"")</f>
        <v>44713</v>
      </c>
      <c r="R88" s="163">
        <f>IF(YEAR(R$4)&gt;='Input|General'!$G$13,IF(YEAR(R$4)&lt;='Input|General'!$G$14,R$4,""),"")</f>
        <v>45078</v>
      </c>
      <c r="S88" s="163">
        <f>IF(YEAR(S$4)&gt;='Input|General'!$G$13,IF(YEAR(S$4)&lt;='Input|General'!$G$14,S$4,""),"")</f>
        <v>45444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127</v>
      </c>
      <c r="D94" s="122" t="s">
        <v>30</v>
      </c>
      <c r="E94" s="122" t="str">
        <f>$E$8</f>
        <v>$millions</v>
      </c>
      <c r="F94" s="175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43983</v>
      </c>
      <c r="P98" s="163">
        <f>IF(YEAR(P$4)&gt;='Input|General'!$G$13,IF(YEAR(P$4)&lt;='Input|General'!$G$14,P$4,""),"")</f>
        <v>44348</v>
      </c>
      <c r="Q98" s="163">
        <f>IF(YEAR(Q$4)&gt;='Input|General'!$G$13,IF(YEAR(Q$4)&lt;='Input|General'!$G$14,Q$4,""),"")</f>
        <v>44713</v>
      </c>
      <c r="R98" s="163">
        <f>IF(YEAR(R$4)&gt;='Input|General'!$G$13,IF(YEAR(R$4)&lt;='Input|General'!$G$14,R$4,""),"")</f>
        <v>45078</v>
      </c>
      <c r="S98" s="163">
        <f>IF(YEAR(S$4)&gt;='Input|General'!$G$13,IF(YEAR(S$4)&lt;='Input|General'!$G$14,S$4,""),"")</f>
        <v>45444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144</v>
      </c>
      <c r="D100" s="126" t="s">
        <v>30</v>
      </c>
      <c r="E100" s="126" t="str">
        <f>$E$8</f>
        <v>$millions</v>
      </c>
      <c r="F100" s="175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28.719890491374606</v>
      </c>
      <c r="P100" s="151">
        <f t="shared" si="14"/>
        <v>28.852422094618394</v>
      </c>
      <c r="Q100" s="151">
        <f t="shared" si="14"/>
        <v>29.006326962239992</v>
      </c>
      <c r="R100" s="151">
        <f t="shared" si="14"/>
        <v>29.15284934339353</v>
      </c>
      <c r="S100" s="151">
        <f t="shared" si="14"/>
        <v>29.31515334426166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28.719890491374606</v>
      </c>
      <c r="P101" s="151">
        <f t="shared" si="15"/>
        <v>28.852422094618394</v>
      </c>
      <c r="Q101" s="151">
        <f t="shared" si="15"/>
        <v>29.006326962239992</v>
      </c>
      <c r="R101" s="151">
        <f t="shared" si="15"/>
        <v>29.15284934339353</v>
      </c>
      <c r="S101" s="151">
        <f t="shared" si="15"/>
        <v>29.31515334426166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29.446328667146666</v>
      </c>
      <c r="P102" s="151">
        <f>IF(YEAR(P$4)&gt;=FPFirstYear,IF(YEAR(P$4)&lt;=FPLastYear,P101+'Input|Step changes'!P38,""),"")</f>
        <v>29.582203220620023</v>
      </c>
      <c r="Q102" s="151">
        <f>IF(YEAR(Q$4)&gt;=FPFirstYear,IF(YEAR(Q$4)&lt;=FPLastYear,Q101+'Input|Step changes'!Q38,""),"")</f>
        <v>29.735615824938211</v>
      </c>
      <c r="R102" s="151">
        <f>IF(YEAR(R$4)&gt;=FPFirstYear,IF(YEAR(R$4)&lt;=FPLastYear,R101+'Input|Step changes'!R38,""),"")</f>
        <v>29.878920319221756</v>
      </c>
      <c r="S102" s="151">
        <f>IF(YEAR(S$4)&gt;=FPFirstYear,IF(YEAR(S$4)&lt;=FPLastYear,S101+'Input|Step changes'!S38,""),"")</f>
        <v>30.033735151598421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  <c r="T103" s="65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129</v>
      </c>
      <c r="K3" s="173"/>
      <c r="L3" s="173"/>
      <c r="M3" s="183"/>
      <c r="N3" s="220"/>
      <c r="O3" s="220"/>
      <c r="P3" s="220"/>
      <c r="Q3" s="220"/>
      <c r="R3" s="220"/>
      <c r="S3" s="22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28.719890491374603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28.852422094618394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29.006326962239992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29.15284934339353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29.31515334426166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topLeftCell="A43" workbookViewId="0">
      <selection activeCell="G79" sqref="G7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131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132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133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134</v>
      </c>
      <c r="D28" s="16" t="s">
        <v>73</v>
      </c>
      <c r="E28" s="16"/>
      <c r="F28" s="16"/>
      <c r="G28" s="154">
        <v>36617</v>
      </c>
    </row>
    <row r="29" spans="1:47">
      <c r="C29" s="15" t="s">
        <v>135</v>
      </c>
      <c r="D29" s="16" t="s">
        <v>73</v>
      </c>
      <c r="E29" s="16"/>
      <c r="F29" s="16"/>
      <c r="G29" s="154">
        <v>36647</v>
      </c>
    </row>
    <row r="30" spans="1:47">
      <c r="C30" s="15" t="s">
        <v>136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137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138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139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140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141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142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165</v>
      </c>
      <c r="H40" s="14" t="s">
        <v>163</v>
      </c>
      <c r="I40" s="14" t="s">
        <v>164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161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162</v>
      </c>
      <c r="H64" s="14" t="s">
        <v>129</v>
      </c>
    </row>
    <row r="65" spans="1:47">
      <c r="C65" s="15" t="s">
        <v>149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2014–15</v>
      </c>
      <c r="H65" s="186">
        <f>DATE(PPFirstYear,MONTH('Input|General'!$G$9),1)</f>
        <v>42156</v>
      </c>
    </row>
    <row r="66" spans="1:47">
      <c r="C66" s="15" t="s">
        <v>150</v>
      </c>
      <c r="D66" s="16" t="s">
        <v>103</v>
      </c>
      <c r="E66" s="16"/>
      <c r="F66" s="16"/>
      <c r="G66" s="185" t="str">
        <f>IF(PPLastYear-PPFirstYear&lt;1,"",LEFT(G65,4)+1&amp;"–"&amp;RIGHT(G65,2)+1)</f>
        <v>2015–16</v>
      </c>
      <c r="H66" s="186">
        <f>IF(PPLastYear-PPFirstYear&lt;1,"",DATE(PPFirstYear+1,MONTH('Input|General'!$G$9),1))</f>
        <v>42522</v>
      </c>
    </row>
    <row r="67" spans="1:47">
      <c r="C67" s="15" t="s">
        <v>151</v>
      </c>
      <c r="D67" s="16" t="s">
        <v>103</v>
      </c>
      <c r="E67" s="16"/>
      <c r="F67" s="16"/>
      <c r="G67" s="185" t="str">
        <f>IF(PPLastYear-PPFirstYear&lt;2,"",LEFT(G66,4)+1&amp;"–"&amp;RIGHT(G66,2)+1)</f>
        <v>2016–17</v>
      </c>
      <c r="H67" s="186">
        <f>IF(PPLastYear-PPFirstYear&lt;2,"",DATE(PPFirstYear+2,MONTH('Input|General'!$G$9),1))</f>
        <v>42887</v>
      </c>
    </row>
    <row r="68" spans="1:47">
      <c r="C68" s="15" t="s">
        <v>152</v>
      </c>
      <c r="D68" s="16" t="s">
        <v>103</v>
      </c>
      <c r="E68" s="16"/>
      <c r="F68" s="16"/>
      <c r="G68" s="185" t="str">
        <f>IF(PPLastYear-PPFirstYear&lt;3,"",LEFT(G67,4)+1&amp;"–"&amp;RIGHT(G67,2)+1)</f>
        <v>2017–18</v>
      </c>
      <c r="H68" s="186">
        <f>IF(PPLastYear-PPFirstYear&lt;3,"",DATE(PPFirstYear+3,MONTH('Input|General'!$G$9),1))</f>
        <v>43252</v>
      </c>
    </row>
    <row r="69" spans="1:47">
      <c r="C69" s="15" t="s">
        <v>153</v>
      </c>
      <c r="D69" s="16" t="s">
        <v>103</v>
      </c>
      <c r="E69" s="16"/>
      <c r="F69" s="16"/>
      <c r="G69" s="185" t="str">
        <f>IF(PPLastYear-PPFirstYear&lt;4,"",LEFT(G68,4)+1&amp;"–"&amp;RIGHT(G68,2)+1)</f>
        <v>2018–19</v>
      </c>
      <c r="H69" s="186">
        <f>IF(PPLastYear-PPFirstYear&lt;4,"",DATE(PPFirstYear+4,MONTH('Input|General'!$G$9),1))</f>
        <v>43617</v>
      </c>
    </row>
    <row r="70" spans="1:47">
      <c r="C70" s="15" t="s">
        <v>154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2019–20</v>
      </c>
      <c r="H70" s="186">
        <f>DATE(FPFirstYear,MONTH('Input|General'!$G$9),1)</f>
        <v>43983</v>
      </c>
      <c r="T70" s="17"/>
    </row>
    <row r="71" spans="1:47">
      <c r="C71" s="15" t="s">
        <v>155</v>
      </c>
      <c r="D71" s="16" t="s">
        <v>103</v>
      </c>
      <c r="E71" s="16"/>
      <c r="F71" s="16"/>
      <c r="G71" s="185" t="str">
        <f>IF(FPLastYear-FPFirstYear&lt;1,"",LEFT(G70,4)+1&amp;"–"&amp;RIGHT(G70,2)+1)</f>
        <v>2020–21</v>
      </c>
      <c r="H71" s="186">
        <f>IF(FPLastYear-FPFirstYear&lt;1,"",DATE(FPFirstYear+1,MONTH('Input|General'!$G$9),1))</f>
        <v>44348</v>
      </c>
      <c r="T71" s="17"/>
    </row>
    <row r="72" spans="1:47">
      <c r="C72" s="15" t="s">
        <v>156</v>
      </c>
      <c r="D72" s="16" t="s">
        <v>103</v>
      </c>
      <c r="E72" s="16"/>
      <c r="F72" s="16"/>
      <c r="G72" s="185" t="str">
        <f>IF(FPLastYear-FPFirstYear&lt;2,"",LEFT(G71,4)+1&amp;"–"&amp;RIGHT(G71,2)+1)</f>
        <v>2021–22</v>
      </c>
      <c r="H72" s="186">
        <f>IF(FPLastYear-FPFirstYear&lt;2,"",DATE(FPFirstYear+2,MONTH('Input|General'!$G$9),1))</f>
        <v>44713</v>
      </c>
      <c r="T72" s="17"/>
    </row>
    <row r="73" spans="1:47">
      <c r="C73" s="15" t="s">
        <v>157</v>
      </c>
      <c r="D73" s="16" t="s">
        <v>103</v>
      </c>
      <c r="E73" s="16"/>
      <c r="F73" s="16"/>
      <c r="G73" s="185" t="str">
        <f>IF(FPLastYear-FPFirstYear&lt;3,"",LEFT(G72,4)+1&amp;"–"&amp;RIGHT(G72,2)+1)</f>
        <v>2022–23</v>
      </c>
      <c r="H73" s="186">
        <f>IF(FPLastYear-FPFirstYear&lt;3,"",DATE(FPFirstYear+3,MONTH('Input|General'!$G$9),1))</f>
        <v>45078</v>
      </c>
      <c r="T73" s="17"/>
    </row>
    <row r="74" spans="1:47">
      <c r="C74" s="15" t="s">
        <v>158</v>
      </c>
      <c r="D74" s="16" t="s">
        <v>103</v>
      </c>
      <c r="E74" s="16"/>
      <c r="F74" s="16"/>
      <c r="G74" s="185" t="str">
        <f>IF(FPLastYear-FPFirstYear&lt;4,"",LEFT(G73,4)+1&amp;"–"&amp;RIGHT(G73,2)+1)</f>
        <v>2023–24</v>
      </c>
      <c r="H74" s="186">
        <f>IF(FPLastYear-FPFirstYear&lt;4,"",DATE(FPFirstYear+4,MONTH('Input|General'!$G$9),1))</f>
        <v>45444</v>
      </c>
      <c r="T74" s="17"/>
    </row>
    <row r="75" spans="1:47">
      <c r="C75" s="15"/>
      <c r="D75" s="16"/>
      <c r="E75" s="16"/>
      <c r="F75" s="16"/>
      <c r="G75" s="213"/>
      <c r="H75" s="214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162</v>
      </c>
      <c r="H78" s="215"/>
    </row>
    <row r="79" spans="1:47">
      <c r="C79" s="15" t="s">
        <v>198</v>
      </c>
      <c r="D79" s="16" t="s">
        <v>73</v>
      </c>
      <c r="E79" s="16"/>
      <c r="F79" s="16"/>
      <c r="G79" s="184" t="s">
        <v>112</v>
      </c>
      <c r="H79" s="214"/>
    </row>
    <row r="80" spans="1:47">
      <c r="C80" s="15" t="s">
        <v>199</v>
      </c>
      <c r="D80" s="16" t="s">
        <v>73</v>
      </c>
      <c r="E80" s="16"/>
      <c r="F80" s="16"/>
      <c r="G80" s="185" t="s">
        <v>200</v>
      </c>
      <c r="H80" s="214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2019-04-17T06:00:41Z</dcterms:created>
  <dcterms:modified xsi:type="dcterms:W3CDTF">2019-04-17T06:00:59Z</dcterms:modified>
</cp:coreProperties>
</file>