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TasNetworks2019-24\11FinalDecision\Models\"/>
    </mc:Choice>
  </mc:AlternateContent>
  <bookViews>
    <workbookView xWindow="0" yWindow="0" windowWidth="19200" windowHeight="7050" tabRatio="691" activeTab="5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I11" i="3" l="1"/>
  <c r="J11" i="3"/>
  <c r="K11" i="3"/>
  <c r="L11" i="3"/>
  <c r="H11" i="3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29" i="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5" i="3" l="1"/>
  <c r="H22" i="3" s="1"/>
  <c r="I15" i="3"/>
  <c r="I22" i="3" s="1"/>
  <c r="L15" i="3"/>
  <c r="L22" i="3" s="1"/>
  <c r="K15" i="3"/>
  <c r="K22" i="3" s="1"/>
  <c r="J15" i="3"/>
  <c r="J22" i="3" s="1"/>
  <c r="L22" i="13"/>
  <c r="G22" i="13" l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6" i="3"/>
  <c r="I26" i="3"/>
  <c r="J26" i="3"/>
  <c r="K26" i="3"/>
  <c r="L26" i="3"/>
  <c r="H11" i="4"/>
  <c r="C42" i="4" l="1"/>
  <c r="C44" i="4"/>
  <c r="G10" i="13"/>
  <c r="H10" i="13" s="1"/>
  <c r="I10" i="13" s="1"/>
  <c r="J10" i="13" s="1"/>
  <c r="K10" i="13" s="1"/>
  <c r="L10" i="13" s="1"/>
  <c r="I29" i="3" s="1"/>
  <c r="F10" i="4"/>
  <c r="E10" i="4"/>
  <c r="G11" i="4"/>
  <c r="F11" i="4"/>
  <c r="E11" i="4"/>
  <c r="F19" i="4"/>
  <c r="E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H29" i="3"/>
  <c r="H30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29" i="3" s="1"/>
  <c r="O14" i="13"/>
  <c r="O22" i="13" s="1"/>
  <c r="I30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29" i="3"/>
  <c r="J30" i="3" s="1"/>
  <c r="F26" i="4" s="1"/>
  <c r="F28" i="4" s="1"/>
  <c r="O10" i="13"/>
  <c r="P10" i="13" s="1"/>
  <c r="P14" i="13"/>
  <c r="G25" i="4"/>
  <c r="G27" i="4" s="1"/>
  <c r="K30" i="3"/>
  <c r="G26" i="4" s="1"/>
  <c r="O15" i="13"/>
  <c r="H18" i="4" l="1"/>
  <c r="H21" i="4" s="1"/>
  <c r="D35" i="4" s="1"/>
  <c r="P22" i="13"/>
  <c r="H25" i="4" s="1"/>
  <c r="H27" i="4" s="1"/>
  <c r="P15" i="13"/>
  <c r="L29" i="3"/>
  <c r="L30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comments1.xml><?xml version="1.0" encoding="utf-8"?>
<comments xmlns="http://schemas.openxmlformats.org/spreadsheetml/2006/main">
  <authors>
    <author>Author</author>
    <author>Goyal, Riya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K17" authorId="1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<sst xmlns="http://schemas.openxmlformats.org/spreadsheetml/2006/main" count="200" uniqueCount="110">
  <si>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</si>
  <si>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</si>
  <si>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</si>
  <si>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</si>
  <si>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</si>
  <si>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</si>
  <si>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</si>
  <si>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</si>
  <si>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</si>
  <si>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</si>
  <si>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</si>
  <si>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</si>
  <si>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</si>
  <si>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</si>
  <si>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</si>
  <si>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</si>
  <si>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</si>
  <si>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</si>
  <si>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</si>
  <si>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</si>
  <si>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</si>
  <si>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</si>
  <si>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</si>
  <si>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</si>
  <si>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</si>
  <si>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</si>
  <si>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</si>
  <si>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</si>
  <si>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</si>
  <si>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</si>
  <si>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</si>
  <si>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</si>
  <si>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</si>
  <si>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</si>
  <si>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</si>
  <si>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</si>
  <si>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</si>
  <si>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</si>
  <si>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</si>
  <si>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</si>
  <si>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</si>
  <si>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</si>
  <si>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</si>
  <si>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</si>
  <si>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</si>
  <si>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</si>
  <si>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</si>
  <si>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</si>
  <si>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</si>
  <si>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</si>
  <si>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</si>
  <si>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</si>
  <si>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</si>
  <si>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</si>
  <si>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</si>
  <si>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</si>
  <si>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</si>
  <si>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</si>
  <si>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</si>
  <si>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</si>
  <si>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</si>
  <si>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</si>
  <si>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</si>
  <si>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</si>
  <si>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</si>
  <si>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</si>
  <si>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</si>
  <si>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</si>
  <si>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</si>
  <si>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</si>
  <si>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</si>
  <si>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</si>
  <si>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</si>
  <si>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</si>
  <si>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</si>
  <si>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</si>
  <si>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</si>
  <si>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</si>
  <si>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</si>
  <si>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</si>
  <si>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</si>
  <si>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</si>
  <si>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</si>
  <si>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</si>
  <si>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</si>
  <si>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</si>
  <si>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</si>
  <si>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</si>
  <si>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</si>
  <si>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</si>
  <si>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</si>
  <si>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</si>
  <si>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</si>
  <si>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</si>
  <si>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</si>
  <si>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</si>
  <si>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</si>
  <si>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</si>
  <si>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</si>
  <si>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</si>
  <si>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</si>
  <si>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</si>
  <si>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Final Decision</t>
  </si>
  <si>
    <t>2019-24</t>
  </si>
  <si>
    <t>No</t>
  </si>
  <si>
    <t>2019-20</t>
  </si>
  <si>
    <t>NCIPAP</t>
  </si>
  <si>
    <t>TasNetworks TX</t>
  </si>
  <si>
    <t>AER Final decision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</si>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</sst>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101" fillId="56" borderId="0" xfId="265" applyFont="1" applyFill="1" applyBorder="1" applyAlignment="1" applyProtection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B1" sqref="B1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TasNetworks TX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D15" sqref="D15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TasNetworks TX 2019-24 Final Decision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107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60" t="s">
        <v>102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60" t="s">
        <v>103</v>
      </c>
      <c r="J8" s="79"/>
      <c r="K8" s="79"/>
      <c r="L8" s="79"/>
      <c r="M8" s="79"/>
    </row>
    <row r="9" spans="1:13" s="70" customFormat="1" ht="11.25" customHeight="1">
      <c r="C9" s="191" t="s">
        <v>101</v>
      </c>
      <c r="D9" s="160" t="s">
        <v>105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64</v>
      </c>
      <c r="E12" s="71" t="s">
        <v>65</v>
      </c>
      <c r="F12" s="71" t="s">
        <v>66</v>
      </c>
      <c r="G12" s="71" t="s">
        <v>67</v>
      </c>
      <c r="H12" s="71" t="s">
        <v>68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90" t="str">
        <f t="shared" ref="D13:F13" si="0">IF(LEN(E13)&gt;4,CONCATENATE(LEFT(E13,4)-1&amp;"–"&amp;IF(RIGHT(E13,2)="00","99",IF(RIGHT(E13,2)-1&lt;10,"0","")&amp;RIGHT(E13,2)-1)),E13-1)</f>
        <v>2014–15</v>
      </c>
      <c r="E13" s="190" t="str">
        <f t="shared" si="0"/>
        <v>2015–16</v>
      </c>
      <c r="F13" s="190" t="str">
        <f t="shared" si="0"/>
        <v>2016–17</v>
      </c>
      <c r="G13" s="190" t="str">
        <f>IF(LEN(H13)&gt;4,CONCATENATE(LEFT(H13,4)-1&amp;"–"&amp;IF(RIGHT(H13,2)="00","99",IF(RIGHT(H13,2)-1&lt;10,"0","")&amp;RIGHT(H13,2)-1)),H13-1)</f>
        <v>2017–18</v>
      </c>
      <c r="H13" s="190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104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109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90" t="str">
        <f>D9</f>
        <v>2019-20</v>
      </c>
      <c r="E18" s="190" t="str">
        <f>IF(LEN(D18)&gt;4,CONCATENATE(LEFT(D18,4)+1&amp;"–"&amp;IF(RIGHT(D18,2)+1&gt;9,"","0")&amp;RIGHT(D18,2)+1),D18+1)</f>
        <v>2020–21</v>
      </c>
      <c r="F18" s="190" t="str">
        <f t="shared" ref="F18:H18" si="1">IF(LEN(E18)&gt;4,CONCATENATE(LEFT(E18,4)+1&amp;"–"&amp;IF(RIGHT(E18,2)+1&gt;9,"","0")&amp;RIGHT(E18,2)+1),E18+1)</f>
        <v>2021–22</v>
      </c>
      <c r="G18" s="190" t="str">
        <f t="shared" si="1"/>
        <v>2022–23</v>
      </c>
      <c r="H18" s="190" t="str">
        <f t="shared" si="1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L21" sqref="L21:P21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TasNetworks TX 2019-24 Final Decision - Capital expenditure sharing scheme model</v>
      </c>
      <c r="D1" s="12"/>
      <c r="E1" s="12"/>
      <c r="F1" s="12"/>
      <c r="G1" s="105"/>
      <c r="I1" s="106" t="s">
        <v>47</v>
      </c>
      <c r="J1" s="159" t="s">
        <v>48</v>
      </c>
      <c r="K1" s="164" t="s">
        <v>36</v>
      </c>
      <c r="L1" s="194" t="s">
        <v>108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7" t="str">
        <f>IF(LEN(G7)&gt;4,CONCATENATE(LEFT(G7,4)-1&amp;"–"&amp;IF(RIGHT(G7,2)="00","99",IF(RIGHT(G7,2)-1&lt;10,"0","")&amp;RIGHT(G7,2)-1)),G7-1)</f>
        <v>2013–14</v>
      </c>
      <c r="G7" s="176" t="str">
        <f>'Input | General'!D13</f>
        <v>2014–15</v>
      </c>
      <c r="H7" s="176" t="str">
        <f>'Input | General'!E13</f>
        <v>2015–16</v>
      </c>
      <c r="I7" s="176" t="str">
        <f>'Input | General'!F13</f>
        <v>2016–17</v>
      </c>
      <c r="J7" s="176" t="str">
        <f>'Input | General'!G13</f>
        <v>2017–18</v>
      </c>
      <c r="K7" s="176" t="str">
        <f>'Input | General'!H13</f>
        <v>2018–19</v>
      </c>
      <c r="L7" s="176" t="str">
        <f>'Input | General'!D18</f>
        <v>2019-20</v>
      </c>
      <c r="M7" s="176" t="str">
        <f>'Input | General'!E18</f>
        <v>2020–21</v>
      </c>
      <c r="N7" s="176" t="str">
        <f>'Input | General'!F18</f>
        <v>2021–22</v>
      </c>
      <c r="O7" s="176" t="str">
        <f>'Input | General'!G18</f>
        <v>2022–23</v>
      </c>
      <c r="P7" s="176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161">
        <v>1.7175572519083943E-2</v>
      </c>
      <c r="H8" s="161">
        <v>1.6885553470919433E-2</v>
      </c>
      <c r="I8" s="161">
        <v>1.4760147601475962E-2</v>
      </c>
      <c r="J8" s="161">
        <v>2.4500000000000001E-2</v>
      </c>
      <c r="K8" s="161">
        <v>2.4500000000000001E-2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130"/>
      <c r="H9" s="130"/>
      <c r="I9" s="130"/>
      <c r="J9" s="130"/>
      <c r="K9" s="130"/>
      <c r="L9" s="161">
        <v>2.4500000000000001E-2</v>
      </c>
      <c r="M9" s="143">
        <f t="shared" ref="M9:P9" si="0">L9</f>
        <v>2.4500000000000001E-2</v>
      </c>
      <c r="N9" s="143">
        <f t="shared" si="0"/>
        <v>2.4500000000000001E-2</v>
      </c>
      <c r="O9" s="143">
        <f t="shared" si="0"/>
        <v>2.4500000000000001E-2</v>
      </c>
      <c r="P9" s="143">
        <f t="shared" si="0"/>
        <v>2.4500000000000001E-2</v>
      </c>
    </row>
    <row r="10" spans="1:20" ht="11.25" customHeight="1">
      <c r="A10" s="11"/>
      <c r="B10" s="11"/>
      <c r="C10" s="140" t="str">
        <f>"CPI Index (base year "&amp;F7&amp;")"</f>
        <v>CPI Index (base year 2013–14)</v>
      </c>
      <c r="D10" s="78" t="s">
        <v>88</v>
      </c>
      <c r="E10" s="78" t="s">
        <v>30</v>
      </c>
      <c r="F10" s="138">
        <v>1</v>
      </c>
      <c r="G10" s="123">
        <f>IF(G7&lt;&gt;"",(F10*(1+G8)),"")</f>
        <v>1.0171755725190839</v>
      </c>
      <c r="H10" s="123">
        <f>IF(H7&lt;&gt;"",(G10*(1+H8)),"")</f>
        <v>1.0343511450381679</v>
      </c>
      <c r="I10" s="123">
        <f>IF(I7&lt;&gt;"",(H10*(1+I8)),"")</f>
        <v>1.0496183206106871</v>
      </c>
      <c r="J10" s="123">
        <f>IF(J7&lt;&gt;"",(I10*(1+J8)),"")</f>
        <v>1.0753339694656487</v>
      </c>
      <c r="K10" s="123">
        <f>IF(K7&lt;&gt;"",(J10*(1+K8)),"")</f>
        <v>1.1016796517175571</v>
      </c>
      <c r="L10" s="87">
        <f t="shared" ref="L10:P10" si="1">IF(L7&lt;&gt;"",(K10*(1+L9)),"")</f>
        <v>1.1286708031846373</v>
      </c>
      <c r="M10" s="87">
        <f t="shared" si="1"/>
        <v>1.1563232378626609</v>
      </c>
      <c r="N10" s="87">
        <f t="shared" si="1"/>
        <v>1.1846531571902961</v>
      </c>
      <c r="O10" s="87">
        <f t="shared" si="1"/>
        <v>1.2136771595414584</v>
      </c>
      <c r="P10" s="87">
        <f t="shared" si="1"/>
        <v>1.243412249950224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161">
        <v>1.7175572519083943E-2</v>
      </c>
      <c r="H13" s="161">
        <v>1.6885553470919433E-2</v>
      </c>
      <c r="I13" s="161">
        <v>1.4760147601475962E-2</v>
      </c>
      <c r="J13" s="161">
        <v>1.9090909090908999E-2</v>
      </c>
      <c r="K13" s="193">
        <v>1.7841213202497874E-2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3">
        <v>2.4248746575396697E-2</v>
      </c>
      <c r="M14" s="143">
        <f t="shared" ref="M14:P14" si="2">L14</f>
        <v>2.4248746575396697E-2</v>
      </c>
      <c r="N14" s="143">
        <f t="shared" si="2"/>
        <v>2.4248746575396697E-2</v>
      </c>
      <c r="O14" s="143">
        <f t="shared" si="2"/>
        <v>2.4248746575396697E-2</v>
      </c>
      <c r="P14" s="143">
        <f t="shared" si="2"/>
        <v>2.4248746575396697E-2</v>
      </c>
    </row>
    <row r="15" spans="1:20" ht="11.25" customHeight="1">
      <c r="A15" s="11"/>
      <c r="B15" s="11"/>
      <c r="C15" s="140" t="str">
        <f>"CPI Index (base year "&amp;F7&amp;")"</f>
        <v>CPI Index (base year 2013–14)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1.0171755725190839</v>
      </c>
      <c r="H15" s="123">
        <f>IF(H7&lt;&gt;"",(G15*(1+H13)),"")</f>
        <v>1.0343511450381679</v>
      </c>
      <c r="I15" s="123">
        <f>IF(I7&lt;&gt;"",(H15*(1+I13)),"")</f>
        <v>1.0496183206106871</v>
      </c>
      <c r="J15" s="123">
        <f>IF(J7&lt;&gt;"",(I15*(1+J13)),"")</f>
        <v>1.0696564885496183</v>
      </c>
      <c r="K15" s="87">
        <f>IF(K7&lt;&gt;"",(J15*(1+K13)),"")</f>
        <v>1.0887404580152673</v>
      </c>
      <c r="L15" s="87">
        <f t="shared" ref="L15:P15" si="3">IF(L7&lt;&gt;"",(K15*(1+L14)),"")</f>
        <v>1.1151410494680609</v>
      </c>
      <c r="M15" s="87">
        <f t="shared" si="3"/>
        <v>1.1421818221724338</v>
      </c>
      <c r="N15" s="87">
        <f t="shared" si="3"/>
        <v>1.169878299721318</v>
      </c>
      <c r="O15" s="87">
        <f t="shared" si="3"/>
        <v>1.1982463821353162</v>
      </c>
      <c r="P15" s="87">
        <f t="shared" si="3"/>
        <v>1.2273023549906015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6" t="str">
        <f>G7</f>
        <v>2014–15</v>
      </c>
      <c r="H19" s="176" t="str">
        <f t="shared" ref="H19:P19" si="4">H7</f>
        <v>2015–16</v>
      </c>
      <c r="I19" s="176" t="str">
        <f t="shared" si="4"/>
        <v>2016–17</v>
      </c>
      <c r="J19" s="176" t="str">
        <f t="shared" si="4"/>
        <v>2017–18</v>
      </c>
      <c r="K19" s="176" t="str">
        <f t="shared" si="4"/>
        <v>2018–19</v>
      </c>
      <c r="L19" s="176" t="str">
        <f t="shared" si="4"/>
        <v>2019-20</v>
      </c>
      <c r="M19" s="176" t="str">
        <f t="shared" si="4"/>
        <v>2020–21</v>
      </c>
      <c r="N19" s="176" t="str">
        <f t="shared" si="4"/>
        <v>2021–22</v>
      </c>
      <c r="O19" s="176" t="str">
        <f t="shared" si="4"/>
        <v>2022–23</v>
      </c>
      <c r="P19" s="176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93">
        <v>3.961216822811009E-2</v>
      </c>
      <c r="H20" s="193">
        <v>3.8527465306014141E-2</v>
      </c>
      <c r="I20" s="193">
        <v>3.817545506077602E-2</v>
      </c>
      <c r="J20" s="193">
        <v>3.7605544058773921E-2</v>
      </c>
      <c r="K20" s="193">
        <v>3.671625286061686E-2</v>
      </c>
      <c r="L20" s="86"/>
      <c r="M20" s="86"/>
      <c r="N20" s="86"/>
      <c r="O20" s="86"/>
      <c r="P20" s="86"/>
    </row>
    <row r="21" spans="1:16" ht="11.25" customHeight="1">
      <c r="C21" s="155" t="s">
        <v>98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3">
        <v>3.0469467608914155E-2</v>
      </c>
      <c r="M21" s="193">
        <v>2.9313830623217595E-2</v>
      </c>
      <c r="N21" s="193">
        <v>2.8158193637520902E-2</v>
      </c>
      <c r="O21" s="193">
        <v>2.7002556651824342E-2</v>
      </c>
      <c r="P21" s="193">
        <v>2.5846919666127777E-2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G22" s="144">
        <f>IF(AND(G13&lt;&gt;"",G20&lt;&gt;""),((1+G20)*(1+G13)-1),"")</f>
        <v>5.7468102415233924E-2</v>
      </c>
      <c r="H22" s="144">
        <f>IF(AND(H13&lt;&gt;"",H20&lt;&gt;""),((1+H20)*(1+H13)-1),"")</f>
        <v>5.6063576352457289E-2</v>
      </c>
      <c r="I22" s="144">
        <f>IF(AND(I13&lt;&gt;"",I20&lt;&gt;""),((1+I20)*(1+I13)-1),"")</f>
        <v>5.3499078013702572E-2</v>
      </c>
      <c r="J22" s="144">
        <f>IF(AND(J13&lt;&gt;"",J20&lt;&gt;""),((1+J20)*(1+J13)-1),"")</f>
        <v>5.741437717262321E-2</v>
      </c>
      <c r="K22" s="144">
        <f>IF(AND(K13&lt;&gt;"",K20&lt;&gt;""),((1+K20)*(1+K13)-1),"")</f>
        <v>5.5212528558397755E-2</v>
      </c>
      <c r="L22" s="144">
        <f>IF(AND(L14&lt;&gt;"",L21&lt;&gt;""),((1+L21)*(1+L14)-1),"")</f>
        <v>5.5457060582646545E-2</v>
      </c>
      <c r="M22" s="144">
        <f t="shared" ref="M22:P22" si="5">IF(AND(M14&lt;&gt;"",M21&lt;&gt;""),((1+M21)*(1+M14)-1),"")</f>
        <v>5.4273400848550812E-2</v>
      </c>
      <c r="N22" s="144">
        <f t="shared" si="5"/>
        <v>5.3089741114454636E-2</v>
      </c>
      <c r="O22" s="144">
        <f t="shared" si="5"/>
        <v>5.1906081380358904E-2</v>
      </c>
      <c r="P22" s="144">
        <f t="shared" si="5"/>
        <v>5.072242164626295E-2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K17" sqref="K17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TasNetworks TX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194" t="s">
        <v>108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8" t="str">
        <f>IF('Input | General'!D14="Yes",'Input | General'!D13,"n/a")</f>
        <v>n/a</v>
      </c>
      <c r="I6" s="178" t="str">
        <f>IF('Input | General'!E14="Yes",'Input | General'!E13,"n/a")</f>
        <v>2015–16</v>
      </c>
      <c r="J6" s="178" t="str">
        <f>IF('Input | General'!F14="Yes",'Input | General'!F13,"n/a")</f>
        <v>2016–17</v>
      </c>
      <c r="K6" s="178" t="str">
        <f>IF('Input | General'!G14="Yes",'Input | General'!G13,"n/a")</f>
        <v>2017–18</v>
      </c>
      <c r="L6" s="178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1" t="str">
        <f>'Input | Inflation and Disc Rate'!$F$7</f>
        <v>2013–14</v>
      </c>
      <c r="G8" s="68"/>
      <c r="H8" s="162"/>
      <c r="I8" s="162">
        <v>64.460028653400514</v>
      </c>
      <c r="J8" s="162">
        <v>52.767585291093425</v>
      </c>
      <c r="K8" s="162">
        <v>44.529873305910328</v>
      </c>
      <c r="L8" s="162">
        <v>34.011446751889338</v>
      </c>
      <c r="M8" s="2"/>
      <c r="N8" s="2"/>
    </row>
    <row r="9" spans="2:14" ht="10.5" customHeight="1">
      <c r="C9" s="80" t="s">
        <v>94</v>
      </c>
      <c r="D9" s="78" t="s">
        <v>49</v>
      </c>
      <c r="E9" s="78" t="s">
        <v>50</v>
      </c>
      <c r="F9" s="181" t="str">
        <f>'Input | Inflation and Disc Rate'!$F$7</f>
        <v>2013–14</v>
      </c>
      <c r="G9" s="68"/>
      <c r="H9" s="162"/>
      <c r="I9" s="162">
        <v>0</v>
      </c>
      <c r="J9" s="162">
        <v>0</v>
      </c>
      <c r="K9" s="162">
        <v>0</v>
      </c>
      <c r="L9" s="162">
        <v>0</v>
      </c>
      <c r="M9" s="2"/>
      <c r="N9" s="2"/>
    </row>
    <row r="10" spans="2:14" s="68" customFormat="1" ht="10.5" customHeight="1">
      <c r="H10" s="67"/>
      <c r="I10" s="67"/>
      <c r="J10" s="67"/>
      <c r="K10" s="67"/>
      <c r="L10" s="67"/>
      <c r="M10" s="108"/>
      <c r="N10" s="108"/>
    </row>
    <row r="11" spans="2:14" ht="10.5" customHeight="1">
      <c r="C11" s="77" t="s">
        <v>5</v>
      </c>
      <c r="D11" s="76" t="s">
        <v>61</v>
      </c>
      <c r="E11" s="179" t="s">
        <v>50</v>
      </c>
      <c r="F11" s="180" t="str">
        <f>'Input | Inflation and Disc Rate'!$F$7</f>
        <v>2013–14</v>
      </c>
      <c r="G11" s="68"/>
      <c r="H11" s="66">
        <f>IF(H6="", "", H8-H9)</f>
        <v>0</v>
      </c>
      <c r="I11" s="66">
        <f t="shared" ref="I11:L11" si="0">IF(I6="", "", I8-I9)</f>
        <v>64.460028653400514</v>
      </c>
      <c r="J11" s="66">
        <f t="shared" si="0"/>
        <v>52.767585291093425</v>
      </c>
      <c r="K11" s="66">
        <f t="shared" si="0"/>
        <v>44.529873305910328</v>
      </c>
      <c r="L11" s="66">
        <f t="shared" si="0"/>
        <v>34.011446751889338</v>
      </c>
      <c r="M11" s="2"/>
      <c r="N11" s="2"/>
    </row>
    <row r="12" spans="2:14" ht="10.5" customHeight="1">
      <c r="D12" s="68"/>
      <c r="E12" s="68"/>
      <c r="F12" s="68"/>
      <c r="G12" s="68"/>
      <c r="M12" s="72"/>
      <c r="N12" s="72"/>
    </row>
    <row r="13" spans="2:14" s="8" customFormat="1" ht="12.75" customHeight="1">
      <c r="B13" s="74" t="s">
        <v>41</v>
      </c>
      <c r="D13" s="18"/>
      <c r="E13" s="18"/>
      <c r="F13" s="18"/>
      <c r="G13" s="18"/>
    </row>
    <row r="14" spans="2:14" s="2" customFormat="1" ht="10.5" customHeight="1">
      <c r="B14" s="73"/>
      <c r="D14" s="21"/>
      <c r="E14" s="21"/>
      <c r="F14" s="21"/>
      <c r="G14" s="21"/>
    </row>
    <row r="15" spans="2:14" s="2" customFormat="1" ht="10.5" customHeight="1">
      <c r="B15" s="73"/>
      <c r="C15" s="68"/>
      <c r="D15" s="75" t="s">
        <v>6</v>
      </c>
      <c r="E15" s="75" t="s">
        <v>52</v>
      </c>
      <c r="F15" s="75" t="s">
        <v>4</v>
      </c>
      <c r="G15" s="64"/>
      <c r="H15" s="178" t="str">
        <f>H6</f>
        <v>n/a</v>
      </c>
      <c r="I15" s="178" t="str">
        <f>I6</f>
        <v>2015–16</v>
      </c>
      <c r="J15" s="178" t="str">
        <f>J6</f>
        <v>2016–17</v>
      </c>
      <c r="K15" s="178" t="str">
        <f>K6</f>
        <v>2017–18</v>
      </c>
      <c r="L15" s="178" t="str">
        <f>L6</f>
        <v>2018–19</v>
      </c>
      <c r="M15" s="108"/>
      <c r="N15" s="108"/>
    </row>
    <row r="16" spans="2:14" s="2" customFormat="1" ht="10.5" customHeight="1">
      <c r="B16" s="73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108"/>
      <c r="N16" s="108"/>
    </row>
    <row r="17" spans="1:14" s="2" customFormat="1" ht="10.5" customHeight="1">
      <c r="B17" s="73"/>
      <c r="C17" s="80" t="s">
        <v>78</v>
      </c>
      <c r="D17" s="78" t="s">
        <v>49</v>
      </c>
      <c r="E17" s="78" t="s">
        <v>50</v>
      </c>
      <c r="F17" s="78" t="s">
        <v>53</v>
      </c>
      <c r="G17" s="68"/>
      <c r="H17" s="162"/>
      <c r="I17" s="162">
        <v>24.776004571110096</v>
      </c>
      <c r="J17" s="162">
        <v>50.978875840978738</v>
      </c>
      <c r="K17" s="195">
        <v>52.193480682772169</v>
      </c>
      <c r="L17" s="162">
        <v>60.289327354096329</v>
      </c>
    </row>
    <row r="18" spans="1:14" s="2" customFormat="1" ht="10.5" customHeight="1">
      <c r="B18" s="73"/>
      <c r="C18" s="80" t="s">
        <v>94</v>
      </c>
      <c r="D18" s="78" t="s">
        <v>49</v>
      </c>
      <c r="E18" s="78" t="s">
        <v>50</v>
      </c>
      <c r="F18" s="78" t="s">
        <v>53</v>
      </c>
      <c r="G18" s="142"/>
      <c r="H18" s="163"/>
      <c r="I18" s="162">
        <v>5.9999999999999995E-4</v>
      </c>
      <c r="J18" s="162">
        <v>1.478723E-2</v>
      </c>
      <c r="K18" s="195">
        <v>2.3932909999999988E-2</v>
      </c>
      <c r="L18" s="162">
        <v>0</v>
      </c>
    </row>
    <row r="19" spans="1:14" s="2" customFormat="1" ht="10.5" customHeight="1">
      <c r="B19" s="73"/>
      <c r="C19" s="141" t="s">
        <v>106</v>
      </c>
      <c r="D19" s="78" t="s">
        <v>49</v>
      </c>
      <c r="E19" s="78" t="s">
        <v>50</v>
      </c>
      <c r="F19" s="78" t="s">
        <v>53</v>
      </c>
      <c r="G19" s="142"/>
      <c r="H19" s="163"/>
      <c r="I19" s="162">
        <v>1.2198878800000001</v>
      </c>
      <c r="J19" s="162">
        <v>2.0921146100000003</v>
      </c>
      <c r="K19" s="162">
        <v>0.40136511999999996</v>
      </c>
      <c r="L19" s="162">
        <v>1.5999988000000001</v>
      </c>
    </row>
    <row r="20" spans="1:14" s="2" customFormat="1" ht="10.5" customHeight="1">
      <c r="B20" s="73"/>
      <c r="C20" s="156" t="s">
        <v>99</v>
      </c>
      <c r="D20" s="78" t="s">
        <v>49</v>
      </c>
      <c r="E20" s="78" t="s">
        <v>50</v>
      </c>
      <c r="F20" s="78" t="s">
        <v>53</v>
      </c>
      <c r="G20" s="68"/>
      <c r="H20" s="163"/>
      <c r="I20" s="162"/>
      <c r="J20" s="162"/>
      <c r="K20" s="162"/>
      <c r="L20" s="162"/>
    </row>
    <row r="21" spans="1:14" s="2" customFormat="1" ht="10.5" customHeight="1">
      <c r="B21" s="73"/>
      <c r="C21" s="68"/>
      <c r="D21" s="68"/>
      <c r="E21" s="68"/>
      <c r="F21" s="68"/>
      <c r="G21" s="68"/>
      <c r="H21" s="67"/>
      <c r="I21" s="67"/>
      <c r="J21" s="67"/>
      <c r="K21" s="67"/>
      <c r="L21" s="67"/>
      <c r="M21" s="108"/>
      <c r="N21" s="108"/>
    </row>
    <row r="22" spans="1:14" s="2" customFormat="1" ht="10.5" customHeight="1">
      <c r="B22" s="73"/>
      <c r="C22" s="77" t="s">
        <v>77</v>
      </c>
      <c r="D22" s="76" t="s">
        <v>61</v>
      </c>
      <c r="E22" s="182" t="s">
        <v>50</v>
      </c>
      <c r="F22" s="182" t="s">
        <v>53</v>
      </c>
      <c r="G22" s="68"/>
      <c r="H22" s="66">
        <f>IF(H15="", "", H17-H18-H19-H20)</f>
        <v>0</v>
      </c>
      <c r="I22" s="66">
        <f t="shared" ref="I22:L22" si="1">IF(I15="", "", I17-I18-I19-I20)</f>
        <v>23.555516691110096</v>
      </c>
      <c r="J22" s="66">
        <f t="shared" si="1"/>
        <v>48.871974000978732</v>
      </c>
      <c r="K22" s="66">
        <f t="shared" si="1"/>
        <v>51.768182652772168</v>
      </c>
      <c r="L22" s="66">
        <f t="shared" si="1"/>
        <v>58.689328554096328</v>
      </c>
    </row>
    <row r="23" spans="1:14" s="2" customFormat="1" ht="10.5" customHeight="1">
      <c r="B23" s="73"/>
      <c r="D23" s="21"/>
      <c r="E23" s="21"/>
      <c r="F23" s="21"/>
      <c r="G23" s="21"/>
      <c r="M23" s="72"/>
      <c r="N23" s="72"/>
    </row>
    <row r="24" spans="1:14" s="8" customFormat="1" ht="12.75" customHeight="1">
      <c r="B24" s="74" t="s">
        <v>42</v>
      </c>
      <c r="D24" s="18"/>
      <c r="E24" s="18"/>
      <c r="F24" s="18"/>
      <c r="G24" s="18"/>
    </row>
    <row r="25" spans="1:14" ht="10.5" customHeight="1">
      <c r="D25" s="68"/>
      <c r="E25" s="68"/>
      <c r="F25" s="68"/>
      <c r="G25" s="68"/>
      <c r="M25" s="2"/>
      <c r="N25" s="2"/>
    </row>
    <row r="26" spans="1:14" ht="10.5" customHeight="1">
      <c r="D26" s="68"/>
      <c r="E26" s="68"/>
      <c r="F26" s="68"/>
      <c r="G26" s="68"/>
      <c r="H26" s="178" t="str">
        <f>'Input | General'!D18</f>
        <v>2019-20</v>
      </c>
      <c r="I26" s="178" t="str">
        <f>'Input | General'!E18</f>
        <v>2020–21</v>
      </c>
      <c r="J26" s="178" t="str">
        <f>'Input | General'!F18</f>
        <v>2021–22</v>
      </c>
      <c r="K26" s="178" t="str">
        <f>'Input | General'!G18</f>
        <v>2022–23</v>
      </c>
      <c r="L26" s="178" t="str">
        <f>'Input | General'!H18</f>
        <v>2023–24</v>
      </c>
      <c r="M26" s="2"/>
      <c r="N26" s="2"/>
    </row>
    <row r="27" spans="1:14" s="17" customFormat="1" ht="10.5" customHeight="1">
      <c r="C27" s="16"/>
      <c r="D27" s="68"/>
      <c r="E27" s="68"/>
      <c r="F27" s="68"/>
      <c r="G27" s="68"/>
      <c r="M27" s="19"/>
      <c r="N27" s="19"/>
    </row>
    <row r="28" spans="1:14" ht="11.25" customHeight="1">
      <c r="C28" s="84" t="s">
        <v>87</v>
      </c>
      <c r="D28" s="65" t="s">
        <v>88</v>
      </c>
      <c r="E28" s="78" t="s">
        <v>50</v>
      </c>
      <c r="F28" s="78" t="s">
        <v>53</v>
      </c>
      <c r="G28" s="68"/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2"/>
      <c r="N28" s="2"/>
    </row>
    <row r="29" spans="1:14" ht="11.25" customHeight="1">
      <c r="C29" s="84" t="s">
        <v>87</v>
      </c>
      <c r="D29" s="65" t="s">
        <v>61</v>
      </c>
      <c r="E29" s="78" t="s">
        <v>50</v>
      </c>
      <c r="F29" s="78" t="str">
        <f>'Input | Inflation and Disc Rate'!$F$7</f>
        <v>2013–14</v>
      </c>
      <c r="G29" s="68"/>
      <c r="H29" s="150">
        <f>IF(H28&lt;&gt;"",H28/('Input | Inflation and Disc Rate'!K10*(1+'Input | Inflation and Disc Rate'!L9)^0.5),"")</f>
        <v>0</v>
      </c>
      <c r="I29" s="150">
        <f>IF(I28&lt;&gt;"",I28/('Input | Inflation and Disc Rate'!L10*(1+'Input | Inflation and Disc Rate'!M9)^0.5),"")</f>
        <v>0</v>
      </c>
      <c r="J29" s="150">
        <f>IF(J28&lt;&gt;"",J28/('Input | Inflation and Disc Rate'!M10*(1+'Input | Inflation and Disc Rate'!N9)^0.5),"")</f>
        <v>0</v>
      </c>
      <c r="K29" s="150">
        <f>IF(K28&lt;&gt;"",K28/('Input | Inflation and Disc Rate'!N10*(1+'Input | Inflation and Disc Rate'!O9)^0.5),"")</f>
        <v>0</v>
      </c>
      <c r="L29" s="150">
        <f>IF(L28&lt;&gt;"",L28/('Input | Inflation and Disc Rate'!O10*(1+'Input | Inflation and Disc Rate'!P9)^0.5),"")</f>
        <v>0</v>
      </c>
      <c r="M29" s="2"/>
      <c r="N29" s="2"/>
    </row>
    <row r="30" spans="1:14" ht="11.25" customHeight="1">
      <c r="C30" s="84" t="s">
        <v>87</v>
      </c>
      <c r="D30" s="65" t="s">
        <v>49</v>
      </c>
      <c r="E30" s="78" t="s">
        <v>50</v>
      </c>
      <c r="F30" s="78" t="s">
        <v>53</v>
      </c>
      <c r="G30" s="68"/>
      <c r="H30" s="150">
        <f>IF(H28&lt;&gt;"",H29*'Input | Inflation and Disc Rate'!K15*(1+'Input | Inflation and Disc Rate'!L14)^0.5,"")</f>
        <v>0</v>
      </c>
      <c r="I30" s="150">
        <f>IF(I28&lt;&gt;"",I29*'Input | Inflation and Disc Rate'!L15*(1+'Input | Inflation and Disc Rate'!M14)^0.5,"")</f>
        <v>0</v>
      </c>
      <c r="J30" s="150">
        <f>IF(J28&lt;&gt;"",J29*'Input | Inflation and Disc Rate'!M15*(1+'Input | Inflation and Disc Rate'!N14)^0.5,"")</f>
        <v>0</v>
      </c>
      <c r="K30" s="150">
        <f>IF(K28&lt;&gt;"",K29*'Input | Inflation and Disc Rate'!N15*(1+'Input | Inflation and Disc Rate'!O14)^0.5,"")</f>
        <v>0</v>
      </c>
      <c r="L30" s="150">
        <f>IF(L28&lt;&gt;"",L29*'Input | Inflation and Disc Rate'!O15*(1+'Input | Inflation and Disc Rate'!P14)^0.5,"")</f>
        <v>0</v>
      </c>
      <c r="M30" s="2"/>
      <c r="N30" s="2"/>
    </row>
    <row r="31" spans="1:14" ht="10.5" customHeight="1">
      <c r="D31" s="68"/>
      <c r="E31" s="68"/>
      <c r="F31" s="68"/>
      <c r="G31" s="68"/>
      <c r="M31" s="72"/>
      <c r="N31" s="72"/>
    </row>
    <row r="32" spans="1:14" s="62" customFormat="1" ht="12.75" customHeight="1">
      <c r="A32" s="8"/>
      <c r="B32" s="29" t="s">
        <v>34</v>
      </c>
      <c r="D32" s="63"/>
      <c r="E32" s="63"/>
      <c r="F32" s="63"/>
    </row>
    <row r="33" ht="10.5" hidden="1" customHeight="1"/>
    <row r="34" ht="18" hidden="1" customHeight="1"/>
    <row r="35" s="2" customFormat="1" ht="18" hidden="1" customHeight="1"/>
    <row r="36" ht="18" hidden="1" customHeight="1"/>
    <row r="37" ht="18" hidden="1" customHeight="1"/>
    <row r="38" s="17" customFormat="1" ht="18" hidden="1" customHeight="1"/>
    <row r="39" ht="18" hidden="1" customHeight="1"/>
    <row r="40" ht="18" hidden="1" customHeight="1"/>
    <row r="41" ht="18" hidden="1" customHeight="1"/>
    <row r="42" ht="18" hidden="1" customHeight="1"/>
    <row r="43" s="17" customFormat="1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spans="3:14" ht="18" hidden="1" customHeight="1"/>
    <row r="50" spans="3:14" s="2" customFormat="1" ht="18" hidden="1" customHeight="1"/>
    <row r="51" spans="3:14" ht="18" hidden="1" customHeight="1"/>
    <row r="52" spans="3:14" ht="18" hidden="1" customHeight="1"/>
    <row r="53" spans="3:14" ht="18" hidden="1" customHeight="1"/>
    <row r="54" spans="3:14" s="17" customFormat="1" ht="18" hidden="1" customHeight="1"/>
    <row r="55" spans="3:14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>
      <c r="C62" s="21"/>
      <c r="D62" s="21"/>
      <c r="E62" s="21"/>
      <c r="F62" s="21"/>
      <c r="G62" s="21"/>
      <c r="H62" s="2"/>
      <c r="I62" s="2"/>
      <c r="J62" s="2"/>
      <c r="K62" s="2"/>
      <c r="L62" s="2"/>
      <c r="M62" s="2"/>
      <c r="N62" s="2"/>
    </row>
    <row r="63" spans="3:14" ht="18" hidden="1" customHeight="1">
      <c r="C63" s="21"/>
      <c r="D63" s="21"/>
      <c r="E63" s="21"/>
      <c r="F63" s="21"/>
      <c r="G63" s="21"/>
      <c r="H63" s="19"/>
      <c r="I63" s="19"/>
      <c r="J63" s="19"/>
      <c r="K63" s="19"/>
      <c r="L63" s="19"/>
      <c r="M63" s="19"/>
      <c r="N63" s="19"/>
    </row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/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customHeight="1"/>
  </sheetData>
  <conditionalFormatting sqref="I8:L8 H8:H9">
    <cfRule type="expression" dxfId="7" priority="19">
      <formula>IF($H$6&lt;&gt;"","FALSE","TRUE")</formula>
    </cfRule>
  </conditionalFormatting>
  <conditionalFormatting sqref="H17:L17">
    <cfRule type="expression" dxfId="6" priority="14">
      <formula>IF($H$6&lt;&gt;"","FALSE","TRUE")</formula>
    </cfRule>
  </conditionalFormatting>
  <conditionalFormatting sqref="H18:H19">
    <cfRule type="expression" dxfId="5" priority="9">
      <formula>IF($H$6&lt;&gt;"","FALSE","TRUE")</formula>
    </cfRule>
  </conditionalFormatting>
  <conditionalFormatting sqref="I9:L9">
    <cfRule type="expression" dxfId="4" priority="5">
      <formula>IF($H$6&lt;&gt;"","FALSE","TRUE")</formula>
    </cfRule>
  </conditionalFormatting>
  <conditionalFormatting sqref="I18:L19">
    <cfRule type="expression" dxfId="3" priority="4">
      <formula>IF($H$6&lt;&gt;"","FALSE","TRUE")</formula>
    </cfRule>
  </conditionalFormatting>
  <conditionalFormatting sqref="H28:L28">
    <cfRule type="expression" dxfId="2" priority="3">
      <formula>IF($H$6&lt;&gt;"","FALSE","TRUE")</formula>
    </cfRule>
  </conditionalFormatting>
  <conditionalFormatting sqref="H20">
    <cfRule type="expression" dxfId="1" priority="2">
      <formula>IF($H$6&lt;&gt;"","FALSE","TRUE")</formula>
    </cfRule>
  </conditionalFormatting>
  <conditionalFormatting sqref="I20:L20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L42" sqref="L42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TasNetworks TX 2019-24 Final Decision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8" t="str">
        <f>IF('Input | General'!D14="Yes",'Input | General'!D13,"n/a")</f>
        <v>n/a</v>
      </c>
      <c r="E7" s="178" t="str">
        <f>IF('Input | General'!E14="Yes",'Input | General'!E13,"n/a")</f>
        <v>2015–16</v>
      </c>
      <c r="F7" s="178" t="str">
        <f>IF('Input | General'!F14="Yes",'Input | General'!F13,"n/a")</f>
        <v>2016–17</v>
      </c>
      <c r="G7" s="178" t="str">
        <f>IF('Input | General'!G14="Yes",'Input | General'!G13,"n/a")</f>
        <v>2017–18</v>
      </c>
      <c r="H7" s="183" t="str">
        <f>IF('Input | General'!H14="Yes",'Input | General'!H13,"n/a")</f>
        <v>2018–19</v>
      </c>
      <c r="I7" s="97"/>
    </row>
    <row r="8" spans="2:23" ht="11.25" customHeight="1">
      <c r="C8" s="145" t="s">
        <v>96</v>
      </c>
      <c r="D8" s="165"/>
      <c r="E8" s="166">
        <f>'Input | Inflation and Disc Rate'!H20</f>
        <v>3.8527465306014141E-2</v>
      </c>
      <c r="F8" s="166">
        <f>'Input | Inflation and Disc Rate'!I20</f>
        <v>3.817545506077602E-2</v>
      </c>
      <c r="G8" s="166">
        <f>'Input | Inflation and Disc Rate'!J20</f>
        <v>3.7605544058773921E-2</v>
      </c>
      <c r="H8" s="167">
        <f>'Input | Inflation and Disc Rate'!K20</f>
        <v>3.671625286061686E-2</v>
      </c>
      <c r="I8" s="97"/>
      <c r="J8" s="79"/>
      <c r="K8" s="79"/>
    </row>
    <row r="9" spans="2:23" ht="11.25" customHeight="1">
      <c r="C9" s="148" t="s">
        <v>97</v>
      </c>
      <c r="D9" s="166"/>
      <c r="E9" s="166">
        <f>'Input | Inflation and Disc Rate'!H22</f>
        <v>5.6063576352457289E-2</v>
      </c>
      <c r="F9" s="166">
        <f>'Input | Inflation and Disc Rate'!I22</f>
        <v>5.3499078013702572E-2</v>
      </c>
      <c r="G9" s="166">
        <f>'Input | Inflation and Disc Rate'!J22</f>
        <v>5.741437717262321E-2</v>
      </c>
      <c r="H9" s="167">
        <f>'Input | Inflation and Disc Rate'!K22</f>
        <v>5.5212528558397755E-2</v>
      </c>
      <c r="I9" s="97"/>
      <c r="J9" s="79"/>
      <c r="K9" s="79"/>
    </row>
    <row r="10" spans="2:23" ht="11.25" customHeight="1">
      <c r="C10" s="113" t="s">
        <v>13</v>
      </c>
      <c r="D10" s="168"/>
      <c r="E10" s="169">
        <f>'Input | Reported Capex'!I$11*'Input | Inflation and Disc Rate'!H$15*(1+'Input | Inflation and Disc Rate'!H$20)^0.5</f>
        <v>67.946562018224341</v>
      </c>
      <c r="F10" s="169">
        <f>'Input | Reported Capex'!J$11*'Input | Inflation and Disc Rate'!I$15*(1+'Input | Inflation and Disc Rate'!I$20)^0.5</f>
        <v>56.433112218784764</v>
      </c>
      <c r="G10" s="169">
        <f>'Input | Reported Capex'!K$11*'Input | Inflation and Disc Rate'!J$15*(1+'Input | Inflation and Disc Rate'!J$20)^0.5</f>
        <v>48.519010050994538</v>
      </c>
      <c r="H10" s="170">
        <f>'Input | Reported Capex'!L$11*'Input | Inflation and Disc Rate'!K$15*(1+'Input | Inflation and Disc Rate'!K$20)^0.5</f>
        <v>37.703305002878452</v>
      </c>
      <c r="I10" s="97"/>
      <c r="J10" s="79"/>
      <c r="K10" s="79"/>
      <c r="N10" s="139"/>
    </row>
    <row r="11" spans="2:23" ht="11.25" customHeight="1">
      <c r="C11" s="113" t="s">
        <v>15</v>
      </c>
      <c r="D11" s="171"/>
      <c r="E11" s="169">
        <f>'Input | Reported Capex'!I22*(1+E$9)^0.5</f>
        <v>24.206815883947208</v>
      </c>
      <c r="F11" s="169">
        <f>'Input | Reported Capex'!J22*(1+F$9)^0.5</f>
        <v>50.162244539126483</v>
      </c>
      <c r="G11" s="169">
        <f>'Input | Reported Capex'!K22*(1+G$9)^0.5</f>
        <v>53.23356171624873</v>
      </c>
      <c r="H11" s="170">
        <f>'Input | Reported Capex'!L22*(1+H$9)^0.5</f>
        <v>60.287754794475184</v>
      </c>
      <c r="I11" s="97"/>
      <c r="J11" s="79"/>
      <c r="K11" s="79"/>
    </row>
    <row r="12" spans="2:23" s="19" customFormat="1" ht="11.25" customHeight="1">
      <c r="C12" s="113" t="s">
        <v>17</v>
      </c>
      <c r="D12" s="158"/>
      <c r="E12" s="146">
        <f>(E10-E11)</f>
        <v>43.739746134277134</v>
      </c>
      <c r="F12" s="146">
        <f t="shared" ref="F12:H12" si="0">(F10-F11)</f>
        <v>6.2708676796582807</v>
      </c>
      <c r="G12" s="146">
        <f t="shared" si="0"/>
        <v>-4.7145516652541914</v>
      </c>
      <c r="H12" s="151">
        <f t="shared" si="0"/>
        <v>-22.584449791596732</v>
      </c>
      <c r="I12" s="97"/>
      <c r="J12" s="79"/>
      <c r="K12" s="79"/>
    </row>
    <row r="13" spans="2:23" ht="11.25" customHeight="1">
      <c r="C13" s="113" t="s">
        <v>72</v>
      </c>
      <c r="D13" s="89"/>
      <c r="E13" s="146">
        <f>$D$12*$E$8</f>
        <v>0</v>
      </c>
      <c r="F13" s="146">
        <f>$D$12*$F$8*(1+'Input | Inflation and Disc Rate'!H13)</f>
        <v>0</v>
      </c>
      <c r="G13" s="146">
        <f>$D$12*$G$8*(1+'Input | Inflation and Disc Rate'!H13)*(1+'Input | Inflation and Disc Rate'!I13)</f>
        <v>0</v>
      </c>
      <c r="H13" s="151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7"/>
      <c r="F14" s="146">
        <f>$E$12*F$8</f>
        <v>1.6697847129188483</v>
      </c>
      <c r="G14" s="146">
        <f>$E$12*G$8*(1+'Input | Inflation and Disc Rate'!I13)</f>
        <v>1.6691352817429517</v>
      </c>
      <c r="H14" s="151">
        <f>$E$12*H$8*(1+'Input | Inflation and Disc Rate'!I13)*(1+'Input | Inflation and Disc Rate'!J13)</f>
        <v>1.6607755426194377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6"/>
      <c r="F15" s="146"/>
      <c r="G15" s="146">
        <f>$F$12*G$8</f>
        <v>0.23581939081413086</v>
      </c>
      <c r="H15" s="151">
        <f>$F$12*$H$8*(1+'Input | Inflation and Disc Rate'!J13)</f>
        <v>0.23463830704636485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6"/>
      <c r="F16" s="146"/>
      <c r="G16" s="146"/>
      <c r="H16" s="151">
        <f>$G$12*$H$8</f>
        <v>-0.1731006710659152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2">
        <f>SUM(E13:E17)</f>
        <v>0</v>
      </c>
      <c r="F18" s="152">
        <f t="shared" ref="F18:H18" si="1">SUM(F13:F17)</f>
        <v>1.6697847129188483</v>
      </c>
      <c r="G18" s="152">
        <f t="shared" si="1"/>
        <v>1.9049546725570825</v>
      </c>
      <c r="H18" s="153">
        <f t="shared" si="1"/>
        <v>1.7223131785998875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2">
        <f>F19*(1+F$9)</f>
        <v>1.1754910039997382</v>
      </c>
      <c r="F19" s="152">
        <f>G19*(1+G$9)</f>
        <v>1.1157968986703271</v>
      </c>
      <c r="G19" s="152">
        <f>H19*(1+H$9)</f>
        <v>1.0552125285583978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6">
        <f>E12*E19</f>
        <v>51.415678098075091</v>
      </c>
      <c r="F20" s="146">
        <f t="shared" ref="F20:H20" si="2">F12*F19</f>
        <v>6.9970147089346995</v>
      </c>
      <c r="G20" s="146">
        <f t="shared" si="2"/>
        <v>-4.9748539837120802</v>
      </c>
      <c r="H20" s="151">
        <f t="shared" si="2"/>
        <v>-22.584449791596732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2">
        <f>E18*E19</f>
        <v>0</v>
      </c>
      <c r="F21" s="152">
        <f t="shared" ref="F21:H21" si="3">F18*F19</f>
        <v>1.8631406041219734</v>
      </c>
      <c r="G21" s="152">
        <f t="shared" si="3"/>
        <v>2.0101320368180935</v>
      </c>
      <c r="H21" s="153">
        <f t="shared" si="3"/>
        <v>1.7223131785998875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4" t="str">
        <f>'Input | General'!$D$18</f>
        <v>2019-20</v>
      </c>
      <c r="E24" s="184" t="str">
        <f>'Input | General'!$E$18</f>
        <v>2020–21</v>
      </c>
      <c r="F24" s="184" t="str">
        <f>'Input | General'!$F$18</f>
        <v>2021–22</v>
      </c>
      <c r="G24" s="184" t="str">
        <f>'Input | General'!$G$18</f>
        <v>2022–23</v>
      </c>
      <c r="H24" s="185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72">
        <f>'Input | Inflation and Disc Rate'!L$22</f>
        <v>5.5457060582646545E-2</v>
      </c>
      <c r="E25" s="172">
        <f>'Input | Inflation and Disc Rate'!M$22</f>
        <v>5.4273400848550812E-2</v>
      </c>
      <c r="F25" s="172">
        <f>'Input | Inflation and Disc Rate'!N$22</f>
        <v>5.3089741114454636E-2</v>
      </c>
      <c r="G25" s="172">
        <f>'Input | Inflation and Disc Rate'!O$22</f>
        <v>5.1906081380358904E-2</v>
      </c>
      <c r="H25" s="173">
        <f>'Input | Inflation and Disc Rate'!P$22</f>
        <v>5.072242164626295E-2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9">
        <f>'Input | Reported Capex'!H30</f>
        <v>0</v>
      </c>
      <c r="E26" s="169">
        <f>'Input | Reported Capex'!I30</f>
        <v>0</v>
      </c>
      <c r="F26" s="169">
        <f>'Input | Reported Capex'!J30</f>
        <v>0</v>
      </c>
      <c r="G26" s="169">
        <f>'Input | Reported Capex'!K30</f>
        <v>0</v>
      </c>
      <c r="H26" s="170">
        <f>'Input | Reported Capex'!L30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0.9733739411050476</v>
      </c>
      <c r="E27" s="124">
        <f>1/((1+E25)^(0.5)*(1+D25))</f>
        <v>0.92274734815319115</v>
      </c>
      <c r="F27" s="124">
        <f>1/((1+F25)^(0.5)*(1+E25)*(1+D25))</f>
        <v>0.87573657841326003</v>
      </c>
      <c r="G27" s="124">
        <f>1/((1+G25)^(0.5)*(1+F25)*(1+E25)*(1+D25))</f>
        <v>0.83205553902330953</v>
      </c>
      <c r="H27" s="125">
        <f>1/((1+H25)^(0.5)*(1+G25)*(1+F25)*(1+E25)*(1+D25))</f>
        <v>0.79144334785416304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30.853389031700978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21.597372322190683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9.256016709510293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5.5955858195399539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3.6604308899703391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6" t="str">
        <f>'Input | General'!D18</f>
        <v>2019-20</v>
      </c>
      <c r="E40" s="186" t="str">
        <f>'Input | General'!E18</f>
        <v>2020–21</v>
      </c>
      <c r="F40" s="186" t="str">
        <f>'Input | General'!F18</f>
        <v>2021–22</v>
      </c>
      <c r="G40" s="186" t="str">
        <f>'Input | General'!G18</f>
        <v>2022–23</v>
      </c>
      <c r="H40" s="186" t="str">
        <f>'Input | General'!H18</f>
        <v>2023–24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100</v>
      </c>
      <c r="D41" s="174">
        <f>1/(1+'Input | Inflation and Disc Rate'!L21)</f>
        <v>0.9704314697653148</v>
      </c>
      <c r="E41" s="174">
        <f>D41/(1+'Input | Inflation and Disc Rate'!M21)</f>
        <v>0.94279455001371992</v>
      </c>
      <c r="F41" s="174">
        <f>E41/(1+'Input | Inflation and Disc Rate'!N21)</f>
        <v>0.91697421257540845</v>
      </c>
      <c r="G41" s="174">
        <f>F41/(1+'Input | Inflation and Disc Rate'!O21)</f>
        <v>0.89286458600928498</v>
      </c>
      <c r="H41" s="175">
        <f>G41/(1+'Input | Inflation and Disc Rate'!P21)</f>
        <v>0.87036824782773325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2" t="str">
        <f>CONCATENATE("CESS Payment Per Year ($", 'Output | Models'!$F$8," million)")</f>
        <v>CESS Payment Per Year ($2018–19 million)</v>
      </c>
      <c r="D42" s="110">
        <f>D36/(SUM(D41:H41))</f>
        <v>0.79688347195299414</v>
      </c>
      <c r="E42" s="110">
        <f>D42</f>
        <v>0.79688347195299414</v>
      </c>
      <c r="F42" s="110">
        <f t="shared" ref="F42:H42" si="5">E42</f>
        <v>0.79688347195299414</v>
      </c>
      <c r="G42" s="110">
        <f t="shared" si="5"/>
        <v>0.79688347195299414</v>
      </c>
      <c r="H42" s="149">
        <f t="shared" si="5"/>
        <v>0.79688347195299414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2" t="str">
        <f>CONCATENATE("Total CESS Payment ($", 'Output | Models'!$F$8," million)")</f>
        <v>Total CESS Payment ($2018–19 million)</v>
      </c>
      <c r="D44" s="157">
        <f>SUM(D42:H42)</f>
        <v>3.9844173597649708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abSelected="1" workbookViewId="0">
      <selection activeCell="C2" sqref="C2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TasNetworks TX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196"/>
      <c r="K3" s="196"/>
      <c r="L3" s="196"/>
      <c r="M3" s="42"/>
      <c r="N3" s="196"/>
      <c r="O3" s="196"/>
      <c r="P3" s="196"/>
      <c r="Q3" s="196"/>
      <c r="R3" s="196"/>
      <c r="S3" s="196"/>
      <c r="T3" s="196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7" t="str">
        <f>'Calc | CESS Revenue Increments'!D40</f>
        <v>2019-20</v>
      </c>
      <c r="K6" s="187" t="str">
        <f>'Calc | CESS Revenue Increments'!E40</f>
        <v>2020–21</v>
      </c>
      <c r="L6" s="187" t="str">
        <f>'Calc | CESS Revenue Increments'!F40</f>
        <v>2021–22</v>
      </c>
      <c r="M6" s="187" t="str">
        <f>'Calc | CESS Revenue Increments'!G40</f>
        <v>2022–23</v>
      </c>
      <c r="N6" s="187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9" t="s">
        <v>58</v>
      </c>
      <c r="E8" s="52" t="s">
        <v>50</v>
      </c>
      <c r="F8" s="188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0.79688347195299414</v>
      </c>
      <c r="K8" s="133">
        <f>'Calc | CESS Revenue Increments'!E42</f>
        <v>0.79688347195299414</v>
      </c>
      <c r="L8" s="133">
        <f>'Calc | CESS Revenue Increments'!F42</f>
        <v>0.79688347195299414</v>
      </c>
      <c r="M8" s="133">
        <f>'Calc | CESS Revenue Increments'!G42</f>
        <v>0.79688347195299414</v>
      </c>
      <c r="N8" s="133">
        <f>'Calc | CESS Revenue Increments'!H42</f>
        <v>0.79688347195299414</v>
      </c>
      <c r="O8" s="60">
        <f>SUM(J8:N8)</f>
        <v>3.9844173597649708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Orum, Edward</cp:lastModifiedBy>
  <dcterms:created xsi:type="dcterms:W3CDTF">2017-09-22T02:00:05Z</dcterms:created>
  <dcterms:modified xsi:type="dcterms:W3CDTF">2019-04-18T03:50:18Z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_MarkAsFinal">
    <vt:bool>true</vt:bool>
  </property>
</Properties>
</file>