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345" yWindow="45" windowWidth="6870" windowHeight="8940" tabRatio="835" activeTab="4"/>
  </bookViews>
  <sheets>
    <sheet name="Readme" sheetId="28" r:id="rId1"/>
    <sheet name="TNSP Charts-updated" sheetId="15" r:id="rId2"/>
    <sheet name="TNSP Analysis" sheetId="23" r:id="rId3"/>
    <sheet name="Asset cost and Total user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U" sheetId="25" r:id="rId11"/>
    <sheet name="Network size table" sheetId="26" r:id="rId12"/>
  </sheets>
  <externalReferences>
    <externalReference r:id="rId13"/>
    <externalReference r:id="rId14"/>
  </externalReferences>
  <definedNames>
    <definedName name="_GoBack" localSheetId="0">Readme!$A$12</definedName>
    <definedName name="_Ref390772024" localSheetId="9">'Physical data'!$A$26</definedName>
    <definedName name="Capex_base" localSheetId="3">'Asset cost and Total user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user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CPI!$E$9</definedName>
    <definedName name="Real_year" localSheetId="0">[1]CPI!$E$6</definedName>
    <definedName name="Real_year">CPI!$E$7</definedName>
    <definedName name="RemovingHVAssets">[1]Zonesubstationtransformation!#REF!</definedName>
  </definedNames>
  <calcPr calcId="162913"/>
</workbook>
</file>

<file path=xl/calcChain.xml><?xml version="1.0" encoding="utf-8"?>
<calcChain xmlns="http://schemas.openxmlformats.org/spreadsheetml/2006/main">
  <c r="O40" i="5" l="1"/>
  <c r="O41" i="5"/>
  <c r="O42" i="5"/>
  <c r="O43" i="5"/>
  <c r="O39" i="5"/>
  <c r="N41" i="5"/>
  <c r="N42" i="5"/>
  <c r="N43" i="5"/>
  <c r="N40" i="5" l="1"/>
  <c r="N39" i="5" l="1"/>
  <c r="E8" i="2" l="1"/>
  <c r="Q6" i="2"/>
  <c r="Q5" i="2"/>
  <c r="Q3" i="2"/>
  <c r="Q4" i="2"/>
  <c r="E9" i="2" l="1"/>
  <c r="J10" i="2" s="1"/>
  <c r="Q11" i="2" l="1"/>
  <c r="K10" i="2"/>
  <c r="L10" i="2"/>
  <c r="G10" i="2"/>
  <c r="M10" i="2"/>
  <c r="H10" i="2"/>
  <c r="N10" i="2"/>
  <c r="I10" i="2"/>
  <c r="Q12" i="2"/>
  <c r="N3" i="7" s="1"/>
  <c r="N17" i="7" s="1"/>
  <c r="Q10" i="2"/>
  <c r="P10" i="2"/>
  <c r="O10" i="2"/>
  <c r="O47" i="5"/>
  <c r="O50" i="5"/>
  <c r="O49" i="5"/>
  <c r="O51" i="5"/>
  <c r="O48" i="5"/>
  <c r="N4" i="7"/>
  <c r="N4" i="27"/>
  <c r="N4" i="1"/>
  <c r="N4" i="4"/>
  <c r="N3" i="4"/>
  <c r="N17" i="4" s="1"/>
  <c r="N3" i="1" l="1"/>
  <c r="N17" i="1" s="1"/>
  <c r="N3" i="27"/>
  <c r="N17" i="27" s="1"/>
  <c r="N9" i="22" s="1"/>
  <c r="N17" i="22" s="1"/>
  <c r="N55" i="23" s="1"/>
  <c r="M39" i="5"/>
  <c r="M41" i="5"/>
  <c r="M40" i="5"/>
  <c r="M42" i="5"/>
  <c r="M43" i="5"/>
  <c r="N19" i="4"/>
  <c r="N18" i="4"/>
  <c r="N16" i="4"/>
  <c r="N15" i="4"/>
  <c r="N19" i="1"/>
  <c r="N18" i="1"/>
  <c r="N16" i="1"/>
  <c r="N15" i="1"/>
  <c r="N19" i="27"/>
  <c r="N16" i="27"/>
  <c r="N15" i="27"/>
  <c r="N18" i="27"/>
  <c r="N16" i="7"/>
  <c r="N18" i="7"/>
  <c r="N10" i="22" s="1"/>
  <c r="N18" i="22" s="1"/>
  <c r="N56" i="23" s="1"/>
  <c r="N19" i="7"/>
  <c r="N11" i="22" s="1"/>
  <c r="N19" i="22" s="1"/>
  <c r="N57" i="23" s="1"/>
  <c r="N15" i="7"/>
  <c r="N31" i="23" l="1"/>
  <c r="N15" i="23"/>
  <c r="N23" i="23"/>
  <c r="N47" i="23"/>
  <c r="N8" i="22"/>
  <c r="N16" i="22" s="1"/>
  <c r="N54" i="23" s="1"/>
  <c r="N46" i="23" s="1"/>
  <c r="N7" i="22"/>
  <c r="N15" i="22" s="1"/>
  <c r="N53" i="23" s="1"/>
  <c r="N33" i="23"/>
  <c r="N49" i="23"/>
  <c r="N17" i="23"/>
  <c r="N25" i="23"/>
  <c r="N32" i="23"/>
  <c r="N24" i="23"/>
  <c r="N48" i="23"/>
  <c r="N16" i="23"/>
  <c r="N30" i="23"/>
  <c r="N14" i="23"/>
  <c r="N22" i="23"/>
  <c r="N15" i="5"/>
  <c r="M7" i="1"/>
  <c r="M14" i="1"/>
  <c r="N29" i="23" l="1"/>
  <c r="N45" i="23"/>
  <c r="N13" i="23"/>
  <c r="N21" i="23"/>
  <c r="L40" i="5"/>
  <c r="L39" i="5"/>
  <c r="L42" i="5"/>
  <c r="L41" i="5"/>
  <c r="L43" i="5"/>
  <c r="P6" i="2" l="1"/>
  <c r="P5" i="2"/>
  <c r="P4" i="2"/>
  <c r="P3" i="2"/>
  <c r="O6" i="2"/>
  <c r="O5" i="2"/>
  <c r="O4" i="2"/>
  <c r="O3" i="2"/>
  <c r="P12" i="2" l="1"/>
  <c r="P11" i="2"/>
  <c r="O12" i="2"/>
  <c r="L3" i="7" s="1"/>
  <c r="L17" i="7" s="1"/>
  <c r="O11" i="2"/>
  <c r="L4" i="7" s="1"/>
  <c r="M3" i="7" l="1"/>
  <c r="M17" i="7" s="1"/>
  <c r="M3" i="27"/>
  <c r="M17" i="27" s="1"/>
  <c r="L18" i="7"/>
  <c r="L15" i="7"/>
  <c r="L16" i="7"/>
  <c r="L19" i="7"/>
  <c r="M4" i="7"/>
  <c r="M16" i="7" s="1"/>
  <c r="M4" i="27"/>
  <c r="L4" i="1"/>
  <c r="L4" i="27"/>
  <c r="L4" i="4"/>
  <c r="L3" i="1"/>
  <c r="L3" i="27"/>
  <c r="L17" i="27" s="1"/>
  <c r="L3" i="4"/>
  <c r="M4" i="1"/>
  <c r="M4" i="4"/>
  <c r="M15" i="4" s="1"/>
  <c r="M3" i="1"/>
  <c r="M17" i="1" s="1"/>
  <c r="M3" i="4"/>
  <c r="M17" i="4" s="1"/>
  <c r="M19" i="27" l="1"/>
  <c r="M18" i="27"/>
  <c r="M15" i="27"/>
  <c r="M16" i="27"/>
  <c r="M18" i="7"/>
  <c r="M15" i="7"/>
  <c r="M19" i="7"/>
  <c r="L15" i="27"/>
  <c r="L7" i="22" s="1"/>
  <c r="L18" i="27"/>
  <c r="L19" i="27"/>
  <c r="L16" i="27"/>
  <c r="M19" i="1"/>
  <c r="M18" i="1"/>
  <c r="M16" i="1"/>
  <c r="M15" i="1"/>
  <c r="M16" i="4"/>
  <c r="M18" i="4"/>
  <c r="M19" i="4"/>
  <c r="M9" i="22"/>
  <c r="M17" i="22" s="1"/>
  <c r="M55" i="23" s="1"/>
  <c r="M7" i="22" l="1"/>
  <c r="M15" i="22" s="1"/>
  <c r="M53" i="23" s="1"/>
  <c r="M31" i="23"/>
  <c r="M47" i="23"/>
  <c r="M23" i="23"/>
  <c r="M15" i="23"/>
  <c r="M10" i="22"/>
  <c r="M18" i="22" s="1"/>
  <c r="M56" i="23" s="1"/>
  <c r="M11" i="22"/>
  <c r="M19" i="22" s="1"/>
  <c r="M57" i="23" s="1"/>
  <c r="M8" i="22"/>
  <c r="M16" i="22" s="1"/>
  <c r="M54" i="23" s="1"/>
  <c r="M30" i="23" l="1"/>
  <c r="M46" i="23"/>
  <c r="M22" i="23"/>
  <c r="M33" i="23"/>
  <c r="M49" i="23"/>
  <c r="M25" i="23"/>
  <c r="M29" i="23"/>
  <c r="M45" i="23"/>
  <c r="M13" i="23"/>
  <c r="M21" i="23"/>
  <c r="M32" i="23"/>
  <c r="M48" i="23"/>
  <c r="M24" i="23"/>
  <c r="M17" i="23"/>
  <c r="M16" i="23"/>
  <c r="M14" i="23"/>
  <c r="E24" i="5" l="1"/>
  <c r="D4" i="26" s="1"/>
  <c r="D24" i="5"/>
  <c r="C24" i="5"/>
  <c r="B4" i="26" s="1"/>
  <c r="F13" i="26"/>
  <c r="E13" i="26"/>
  <c r="D13" i="26"/>
  <c r="C13" i="26"/>
  <c r="B13" i="26"/>
  <c r="C39" i="5" l="1"/>
  <c r="C40" i="5"/>
  <c r="C41" i="5"/>
  <c r="C42" i="5"/>
  <c r="C43" i="5"/>
  <c r="B2" i="1" l="1"/>
  <c r="A14" i="1" s="1"/>
  <c r="B2" i="27"/>
  <c r="A14" i="27" s="1"/>
  <c r="B2" i="4"/>
  <c r="A14" i="4" s="1"/>
  <c r="B2" i="7"/>
  <c r="A14" i="7" s="1"/>
  <c r="D7" i="2" l="1"/>
  <c r="D9" i="2" s="1"/>
  <c r="G12" i="2" l="1"/>
  <c r="D3" i="7" s="1"/>
  <c r="D17" i="7" s="1"/>
  <c r="I12" i="2"/>
  <c r="F3" i="7" s="1"/>
  <c r="F17" i="7" s="1"/>
  <c r="K12" i="2"/>
  <c r="H3" i="7" s="1"/>
  <c r="H17" i="7" s="1"/>
  <c r="M12" i="2"/>
  <c r="J3" i="7" s="1"/>
  <c r="J17" i="7" s="1"/>
  <c r="H12" i="2"/>
  <c r="E3" i="7" s="1"/>
  <c r="E17" i="7" s="1"/>
  <c r="J12" i="2"/>
  <c r="G3" i="7" s="1"/>
  <c r="G17" i="7" s="1"/>
  <c r="L12" i="2"/>
  <c r="I3" i="7" s="1"/>
  <c r="I17" i="7" s="1"/>
  <c r="N12" i="2"/>
  <c r="K3" i="7" s="1"/>
  <c r="K17" i="7" s="1"/>
  <c r="F12" i="2"/>
  <c r="M11" i="2"/>
  <c r="J4" i="7" s="1"/>
  <c r="K11" i="2"/>
  <c r="H4" i="7" s="1"/>
  <c r="I11" i="2"/>
  <c r="F4" i="7" s="1"/>
  <c r="G11" i="2"/>
  <c r="D4" i="7" s="1"/>
  <c r="N11" i="2"/>
  <c r="K4" i="7" s="1"/>
  <c r="L11" i="2"/>
  <c r="I4" i="7" s="1"/>
  <c r="J11" i="2"/>
  <c r="G4" i="7" s="1"/>
  <c r="H11" i="2"/>
  <c r="E4" i="7" s="1"/>
  <c r="F11" i="2"/>
  <c r="F10" i="2"/>
  <c r="E39" i="23" l="1"/>
  <c r="D16" i="26"/>
  <c r="F16" i="7"/>
  <c r="F19" i="7"/>
  <c r="F15" i="7"/>
  <c r="F18" i="7"/>
  <c r="H18" i="7"/>
  <c r="H15" i="7"/>
  <c r="H19" i="7"/>
  <c r="H16" i="7"/>
  <c r="G18" i="7"/>
  <c r="G16" i="7"/>
  <c r="G19" i="7"/>
  <c r="G15" i="7"/>
  <c r="K16" i="7"/>
  <c r="K18" i="7"/>
  <c r="K19" i="7"/>
  <c r="K15" i="7"/>
  <c r="I19" i="7"/>
  <c r="I15" i="7"/>
  <c r="I18" i="7"/>
  <c r="I16" i="7"/>
  <c r="J16" i="7"/>
  <c r="J19" i="7"/>
  <c r="J15" i="7"/>
  <c r="J18" i="7"/>
  <c r="E19" i="7"/>
  <c r="E15" i="7"/>
  <c r="E18" i="7"/>
  <c r="E16" i="7"/>
  <c r="D18" i="7"/>
  <c r="D19" i="7"/>
  <c r="D15" i="7"/>
  <c r="D16" i="7"/>
  <c r="C4" i="1"/>
  <c r="C4" i="27"/>
  <c r="C4" i="4"/>
  <c r="C4" i="7"/>
  <c r="E4" i="1"/>
  <c r="E4" i="27"/>
  <c r="E4" i="4"/>
  <c r="I4" i="1"/>
  <c r="I4" i="27"/>
  <c r="I4" i="4"/>
  <c r="F4" i="1"/>
  <c r="F4" i="27"/>
  <c r="F4" i="4"/>
  <c r="J4" i="1"/>
  <c r="J4" i="27"/>
  <c r="J4" i="4"/>
  <c r="C3" i="1"/>
  <c r="C3" i="27"/>
  <c r="C3" i="4"/>
  <c r="C3" i="7"/>
  <c r="I3" i="1"/>
  <c r="I3" i="27"/>
  <c r="I17" i="27" s="1"/>
  <c r="I3" i="4"/>
  <c r="E3" i="1"/>
  <c r="E3" i="27"/>
  <c r="E17" i="27" s="1"/>
  <c r="E3" i="4"/>
  <c r="J3" i="1"/>
  <c r="J3" i="27"/>
  <c r="J17" i="27" s="1"/>
  <c r="J3" i="4"/>
  <c r="F3" i="1"/>
  <c r="F3" i="27"/>
  <c r="F17" i="27" s="1"/>
  <c r="F3" i="4"/>
  <c r="G4" i="1"/>
  <c r="G4" i="27"/>
  <c r="G4" i="4"/>
  <c r="K4" i="1"/>
  <c r="K4" i="27"/>
  <c r="K4" i="4"/>
  <c r="D4" i="1"/>
  <c r="D4" i="27"/>
  <c r="D4" i="4"/>
  <c r="H4" i="1"/>
  <c r="H4" i="27"/>
  <c r="H4" i="4"/>
  <c r="K3" i="1"/>
  <c r="K3" i="27"/>
  <c r="K17" i="27" s="1"/>
  <c r="K3" i="4"/>
  <c r="G3" i="1"/>
  <c r="G3" i="27"/>
  <c r="G17" i="27" s="1"/>
  <c r="G3" i="4"/>
  <c r="H3" i="1"/>
  <c r="H3" i="27"/>
  <c r="H17" i="27" s="1"/>
  <c r="H3" i="4"/>
  <c r="D3" i="1"/>
  <c r="D3" i="27"/>
  <c r="D17" i="27" s="1"/>
  <c r="D3" i="4"/>
  <c r="B3" i="26"/>
  <c r="D14" i="1"/>
  <c r="E14" i="1"/>
  <c r="F14" i="1"/>
  <c r="G14" i="1"/>
  <c r="H14" i="1"/>
  <c r="I14" i="1"/>
  <c r="J14" i="1"/>
  <c r="K14" i="1"/>
  <c r="L14" i="1"/>
  <c r="C14" i="1"/>
  <c r="D18" i="26" l="1"/>
  <c r="E41" i="23"/>
  <c r="E38" i="23"/>
  <c r="D15" i="26"/>
  <c r="E16" i="26"/>
  <c r="D39" i="23"/>
  <c r="D17" i="26"/>
  <c r="E40" i="23"/>
  <c r="E37" i="23"/>
  <c r="D14" i="26"/>
  <c r="J18" i="27"/>
  <c r="J19" i="27"/>
  <c r="J16" i="27"/>
  <c r="J15" i="27"/>
  <c r="J7" i="22" s="1"/>
  <c r="F18" i="27"/>
  <c r="F15" i="27"/>
  <c r="F7" i="22" s="1"/>
  <c r="F19" i="27"/>
  <c r="F16" i="27"/>
  <c r="G18" i="27"/>
  <c r="G15" i="27"/>
  <c r="G7" i="22" s="1"/>
  <c r="G16" i="27"/>
  <c r="G19" i="27"/>
  <c r="E19" i="27"/>
  <c r="E16" i="27"/>
  <c r="E18" i="27"/>
  <c r="E15" i="27"/>
  <c r="E7" i="22" s="1"/>
  <c r="D15" i="27"/>
  <c r="D7" i="22" s="1"/>
  <c r="D18" i="27"/>
  <c r="D19" i="27"/>
  <c r="D16" i="27"/>
  <c r="H18" i="27"/>
  <c r="H15" i="27"/>
  <c r="H7" i="22" s="1"/>
  <c r="H19" i="27"/>
  <c r="H16" i="27"/>
  <c r="K18" i="27"/>
  <c r="K15" i="27"/>
  <c r="K7" i="22" s="1"/>
  <c r="K19" i="27"/>
  <c r="K16" i="27"/>
  <c r="I19" i="27"/>
  <c r="I18" i="27"/>
  <c r="I15" i="27"/>
  <c r="I7" i="22" s="1"/>
  <c r="I16" i="27"/>
  <c r="F14" i="26" l="1"/>
  <c r="E18" i="26"/>
  <c r="D41" i="23"/>
  <c r="E17" i="26"/>
  <c r="D40" i="23"/>
  <c r="E14" i="26"/>
  <c r="D37" i="23"/>
  <c r="E15" i="26"/>
  <c r="D38" i="23"/>
  <c r="M15" i="5" l="1"/>
  <c r="E28" i="5" l="1"/>
  <c r="E27" i="5"/>
  <c r="E29" i="5"/>
  <c r="E26" i="5"/>
  <c r="K15" i="5" l="1"/>
  <c r="L15" i="5"/>
  <c r="E25" i="5"/>
  <c r="F15" i="5" l="1"/>
  <c r="G15" i="5"/>
  <c r="E15" i="5"/>
  <c r="H15" i="5"/>
  <c r="I15" i="5"/>
  <c r="J15" i="5"/>
  <c r="D15" i="5"/>
  <c r="D39" i="5" l="1"/>
  <c r="H39" i="5"/>
  <c r="D40" i="5"/>
  <c r="H40" i="5"/>
  <c r="D41" i="5"/>
  <c r="H41" i="5"/>
  <c r="D42" i="5"/>
  <c r="H42" i="5"/>
  <c r="D43" i="5"/>
  <c r="H43" i="5"/>
  <c r="E39" i="5"/>
  <c r="I39" i="5"/>
  <c r="E40" i="5"/>
  <c r="I40" i="5"/>
  <c r="E41" i="5"/>
  <c r="E42" i="5"/>
  <c r="E43" i="5"/>
  <c r="D25" i="5"/>
  <c r="D26" i="5"/>
  <c r="D28" i="5"/>
  <c r="D29" i="5"/>
  <c r="F39" i="5"/>
  <c r="C25" i="5"/>
  <c r="J39" i="5"/>
  <c r="F40" i="5"/>
  <c r="C26" i="5"/>
  <c r="J40" i="5"/>
  <c r="F41" i="5"/>
  <c r="J41" i="5"/>
  <c r="C27" i="5"/>
  <c r="F42" i="5"/>
  <c r="J42" i="5"/>
  <c r="C28" i="5"/>
  <c r="F43" i="5"/>
  <c r="J43" i="5"/>
  <c r="C29" i="5"/>
  <c r="G39" i="5"/>
  <c r="K39" i="5"/>
  <c r="G40" i="5"/>
  <c r="K40" i="5"/>
  <c r="G41" i="5"/>
  <c r="K41" i="5"/>
  <c r="G42" i="5"/>
  <c r="K42" i="5"/>
  <c r="G43" i="5"/>
  <c r="K43" i="5"/>
  <c r="I41" i="5"/>
  <c r="I42" i="5"/>
  <c r="I43" i="5"/>
  <c r="L7" i="1" l="1"/>
  <c r="D27" i="5" l="1"/>
  <c r="B9" i="26"/>
  <c r="B8" i="26"/>
  <c r="B6" i="26"/>
  <c r="B5" i="26"/>
  <c r="B7" i="26"/>
  <c r="A14" i="22" l="1"/>
  <c r="A6" i="22" l="1"/>
  <c r="C13" i="22" s="1"/>
  <c r="D7" i="1"/>
  <c r="E7" i="1"/>
  <c r="F7" i="1"/>
  <c r="G7" i="1"/>
  <c r="H7" i="1"/>
  <c r="I7" i="1"/>
  <c r="J7" i="1"/>
  <c r="K7" i="1"/>
  <c r="C7" i="1"/>
  <c r="C3" i="26" l="1"/>
  <c r="D3" i="26"/>
  <c r="A5" i="26"/>
  <c r="A6" i="26"/>
  <c r="A7" i="26"/>
  <c r="A8" i="26"/>
  <c r="A9" i="26"/>
  <c r="B5" i="22" l="1"/>
  <c r="C8" i="26" l="1"/>
  <c r="C7" i="26"/>
  <c r="C6" i="26"/>
  <c r="D6" i="26"/>
  <c r="C9" i="26"/>
  <c r="D9" i="26"/>
  <c r="D8" i="26"/>
  <c r="D7" i="26"/>
  <c r="L9" i="22" l="1"/>
  <c r="C17" i="7"/>
  <c r="C18" i="7" l="1"/>
  <c r="C15" i="7"/>
  <c r="C19" i="7"/>
  <c r="C16" i="7"/>
  <c r="L8" i="22"/>
  <c r="L11" i="22"/>
  <c r="L10" i="22"/>
  <c r="L17" i="4" l="1"/>
  <c r="L17" i="22" s="1"/>
  <c r="L55" i="23" s="1"/>
  <c r="K17" i="4"/>
  <c r="I17" i="4"/>
  <c r="G17" i="4"/>
  <c r="E17" i="4"/>
  <c r="C17" i="4"/>
  <c r="J17" i="4"/>
  <c r="H17" i="4"/>
  <c r="F17" i="4"/>
  <c r="D17" i="4"/>
  <c r="B16" i="26" l="1"/>
  <c r="C39" i="23"/>
  <c r="L31" i="23"/>
  <c r="S31" i="23" s="1"/>
  <c r="L47" i="23"/>
  <c r="L23" i="23"/>
  <c r="C16" i="4"/>
  <c r="C15" i="4"/>
  <c r="C19" i="4"/>
  <c r="C18" i="4"/>
  <c r="L15" i="4"/>
  <c r="L15" i="22" s="1"/>
  <c r="L19" i="4"/>
  <c r="L19" i="22" s="1"/>
  <c r="L57" i="23" s="1"/>
  <c r="L16" i="4"/>
  <c r="L16" i="22" s="1"/>
  <c r="L54" i="23" s="1"/>
  <c r="L18" i="4"/>
  <c r="L17" i="1"/>
  <c r="K16" i="4"/>
  <c r="K18" i="4"/>
  <c r="K15" i="4"/>
  <c r="K19" i="4"/>
  <c r="K17" i="1"/>
  <c r="C17" i="1"/>
  <c r="C17" i="27"/>
  <c r="F19" i="4"/>
  <c r="F18" i="4"/>
  <c r="F16" i="4"/>
  <c r="J19" i="4"/>
  <c r="J18" i="4"/>
  <c r="J16" i="4"/>
  <c r="E19" i="4"/>
  <c r="E18" i="4"/>
  <c r="E16" i="4"/>
  <c r="I19" i="4"/>
  <c r="I18" i="4"/>
  <c r="I16" i="4"/>
  <c r="D19" i="4"/>
  <c r="D18" i="4"/>
  <c r="D16" i="4"/>
  <c r="H19" i="4"/>
  <c r="H18" i="4"/>
  <c r="H16" i="4"/>
  <c r="G19" i="4"/>
  <c r="G18" i="4"/>
  <c r="G16" i="4"/>
  <c r="L30" i="23" l="1"/>
  <c r="S30" i="23" s="1"/>
  <c r="L22" i="23"/>
  <c r="L46" i="23"/>
  <c r="C38" i="23"/>
  <c r="L33" i="23"/>
  <c r="S33" i="23" s="1"/>
  <c r="L49" i="23"/>
  <c r="L25" i="23"/>
  <c r="B17" i="26"/>
  <c r="C40" i="23"/>
  <c r="C41" i="23"/>
  <c r="B15" i="26"/>
  <c r="B18" i="26"/>
  <c r="C19" i="27"/>
  <c r="C18" i="27"/>
  <c r="C15" i="27"/>
  <c r="C16" i="27"/>
  <c r="C18" i="1"/>
  <c r="C16" i="1"/>
  <c r="C19" i="1"/>
  <c r="C15" i="1"/>
  <c r="L18" i="22"/>
  <c r="L56" i="23" s="1"/>
  <c r="L15" i="23"/>
  <c r="L53" i="23"/>
  <c r="L16" i="1"/>
  <c r="L18" i="1"/>
  <c r="L15" i="1"/>
  <c r="L19" i="1"/>
  <c r="K8" i="22"/>
  <c r="K16" i="22" s="1"/>
  <c r="K54" i="23" s="1"/>
  <c r="K10" i="22"/>
  <c r="K18" i="22" s="1"/>
  <c r="K56" i="23" s="1"/>
  <c r="K15" i="22"/>
  <c r="K9" i="22"/>
  <c r="K17" i="22" s="1"/>
  <c r="K55" i="23" s="1"/>
  <c r="K16" i="1"/>
  <c r="K19" i="1"/>
  <c r="K18" i="1"/>
  <c r="K15" i="1"/>
  <c r="L29" i="23" l="1"/>
  <c r="S29" i="23" s="1"/>
  <c r="L21" i="23"/>
  <c r="L45" i="23"/>
  <c r="L13" i="23"/>
  <c r="K31" i="23"/>
  <c r="K47" i="23"/>
  <c r="K23" i="23"/>
  <c r="K32" i="23"/>
  <c r="K48" i="23"/>
  <c r="K24" i="23"/>
  <c r="L32" i="23"/>
  <c r="S32" i="23" s="1"/>
  <c r="L48" i="23"/>
  <c r="L24" i="23"/>
  <c r="K30" i="23"/>
  <c r="K46" i="23"/>
  <c r="K22" i="23"/>
  <c r="L17" i="23"/>
  <c r="L16" i="23"/>
  <c r="L14" i="23"/>
  <c r="K11" i="22"/>
  <c r="K19" i="22" s="1"/>
  <c r="K57" i="23" s="1"/>
  <c r="K53" i="23"/>
  <c r="K29" i="23" l="1"/>
  <c r="K13" i="23"/>
  <c r="K21" i="23"/>
  <c r="K45" i="23"/>
  <c r="K33" i="23"/>
  <c r="K25" i="23"/>
  <c r="K49" i="23"/>
  <c r="Q29" i="23"/>
  <c r="K14" i="23"/>
  <c r="K16" i="23"/>
  <c r="K15" i="23"/>
  <c r="J15" i="4"/>
  <c r="D15" i="1"/>
  <c r="F15" i="1"/>
  <c r="H15" i="1"/>
  <c r="J15" i="1"/>
  <c r="C14" i="26" s="1"/>
  <c r="E15" i="1"/>
  <c r="G15" i="1"/>
  <c r="I15" i="1"/>
  <c r="G19" i="1"/>
  <c r="D19" i="1"/>
  <c r="H19" i="1"/>
  <c r="E19" i="1"/>
  <c r="I19" i="1"/>
  <c r="F19" i="1"/>
  <c r="J19" i="1"/>
  <c r="C18" i="26" s="1"/>
  <c r="E18" i="1"/>
  <c r="I18" i="1"/>
  <c r="F18" i="1"/>
  <c r="J18" i="1"/>
  <c r="C17" i="26" s="1"/>
  <c r="G18" i="1"/>
  <c r="D18" i="1"/>
  <c r="H18" i="1"/>
  <c r="E17" i="1"/>
  <c r="I17" i="1"/>
  <c r="D17" i="1"/>
  <c r="H17" i="1"/>
  <c r="G17" i="1"/>
  <c r="F17" i="1"/>
  <c r="J17" i="1"/>
  <c r="C16" i="26" s="1"/>
  <c r="D9" i="22"/>
  <c r="D17" i="22" s="1"/>
  <c r="D16" i="1"/>
  <c r="F16" i="1"/>
  <c r="H16" i="1"/>
  <c r="J16" i="1"/>
  <c r="C15" i="26" s="1"/>
  <c r="E16" i="1"/>
  <c r="G16" i="1"/>
  <c r="I16" i="1"/>
  <c r="B14" i="26" l="1"/>
  <c r="C37" i="23"/>
  <c r="E9" i="22"/>
  <c r="E17" i="22" s="1"/>
  <c r="E55" i="23" s="1"/>
  <c r="I9" i="22"/>
  <c r="I17" i="22" s="1"/>
  <c r="I55" i="23" s="1"/>
  <c r="J9" i="22"/>
  <c r="K17" i="23"/>
  <c r="H9" i="22"/>
  <c r="G9" i="22"/>
  <c r="C9" i="22"/>
  <c r="C17" i="22" s="1"/>
  <c r="F8" i="22"/>
  <c r="F16" i="22" s="1"/>
  <c r="F54" i="23" s="1"/>
  <c r="I8" i="22"/>
  <c r="E8" i="22"/>
  <c r="E16" i="22" s="1"/>
  <c r="E54" i="23" s="1"/>
  <c r="J8" i="22"/>
  <c r="H10" i="22"/>
  <c r="H18" i="22" s="1"/>
  <c r="G10" i="22"/>
  <c r="G18" i="22" s="1"/>
  <c r="J10" i="22"/>
  <c r="I10" i="22"/>
  <c r="J11" i="22"/>
  <c r="I11" i="22"/>
  <c r="H11" i="22"/>
  <c r="H19" i="22" s="1"/>
  <c r="H57" i="23" s="1"/>
  <c r="G11" i="22"/>
  <c r="G19" i="22" s="1"/>
  <c r="G57" i="23" s="1"/>
  <c r="J15" i="22"/>
  <c r="G8" i="22"/>
  <c r="G16" i="22" s="1"/>
  <c r="G54" i="23" s="1"/>
  <c r="C8" i="22"/>
  <c r="C16" i="22" s="1"/>
  <c r="H8" i="22"/>
  <c r="H16" i="22" s="1"/>
  <c r="H54" i="23" s="1"/>
  <c r="D8" i="22"/>
  <c r="D16" i="22" s="1"/>
  <c r="D54" i="23" s="1"/>
  <c r="C5" i="26"/>
  <c r="F9" i="22"/>
  <c r="F17" i="22" s="1"/>
  <c r="F55" i="23" s="1"/>
  <c r="D55" i="23"/>
  <c r="F10" i="22"/>
  <c r="F18" i="22" s="1"/>
  <c r="F11" i="22"/>
  <c r="F19" i="22" s="1"/>
  <c r="F57" i="23" s="1"/>
  <c r="D10" i="22"/>
  <c r="D18" i="22" s="1"/>
  <c r="C10" i="22"/>
  <c r="C18" i="22" s="1"/>
  <c r="E10" i="22"/>
  <c r="E18" i="22" s="1"/>
  <c r="E11" i="22"/>
  <c r="E19" i="22" s="1"/>
  <c r="E57" i="23" s="1"/>
  <c r="D11" i="22"/>
  <c r="D19" i="22" s="1"/>
  <c r="D57" i="23" s="1"/>
  <c r="C11" i="22"/>
  <c r="C19" i="22" s="1"/>
  <c r="C7" i="22"/>
  <c r="C15" i="22" s="1"/>
  <c r="C53" i="23" s="1"/>
  <c r="C29" i="23" s="1"/>
  <c r="H30" i="23" l="1"/>
  <c r="H46" i="23"/>
  <c r="H22" i="23"/>
  <c r="G33" i="23"/>
  <c r="G25" i="23"/>
  <c r="G49" i="23"/>
  <c r="J16" i="22"/>
  <c r="J54" i="23" s="1"/>
  <c r="F15" i="26"/>
  <c r="J17" i="22"/>
  <c r="J55" i="23" s="1"/>
  <c r="F16" i="26"/>
  <c r="D33" i="23"/>
  <c r="D25" i="23"/>
  <c r="D49" i="23"/>
  <c r="F31" i="23"/>
  <c r="F47" i="23"/>
  <c r="F23" i="23"/>
  <c r="H33" i="23"/>
  <c r="H25" i="23"/>
  <c r="H49" i="23"/>
  <c r="J18" i="22"/>
  <c r="J56" i="23" s="1"/>
  <c r="F17" i="26"/>
  <c r="E30" i="23"/>
  <c r="E46" i="23"/>
  <c r="E22" i="23"/>
  <c r="I31" i="23"/>
  <c r="I47" i="23"/>
  <c r="I23" i="23"/>
  <c r="E31" i="23"/>
  <c r="E47" i="23"/>
  <c r="E23" i="23"/>
  <c r="D31" i="23"/>
  <c r="D23" i="23"/>
  <c r="D47" i="23"/>
  <c r="E33" i="23"/>
  <c r="E25" i="23"/>
  <c r="E49" i="23"/>
  <c r="F33" i="23"/>
  <c r="F49" i="23"/>
  <c r="F25" i="23"/>
  <c r="G30" i="23"/>
  <c r="G22" i="23"/>
  <c r="G46" i="23"/>
  <c r="R29" i="23"/>
  <c r="D30" i="23"/>
  <c r="D46" i="23"/>
  <c r="D22" i="23"/>
  <c r="J19" i="22"/>
  <c r="J57" i="23" s="1"/>
  <c r="F18" i="26"/>
  <c r="F30" i="23"/>
  <c r="F22" i="23"/>
  <c r="F46" i="23"/>
  <c r="I19" i="22"/>
  <c r="I57" i="23" s="1"/>
  <c r="I18" i="22"/>
  <c r="I56" i="23" s="1"/>
  <c r="I16" i="22"/>
  <c r="I54" i="23" s="1"/>
  <c r="C45" i="23"/>
  <c r="C21" i="23"/>
  <c r="C13" i="23"/>
  <c r="E15" i="23"/>
  <c r="I15" i="23"/>
  <c r="G17" i="22"/>
  <c r="G55" i="23" s="1"/>
  <c r="H17" i="22"/>
  <c r="H55" i="23" s="1"/>
  <c r="D15" i="23"/>
  <c r="J15" i="23"/>
  <c r="O15" i="23" s="1"/>
  <c r="C55" i="23"/>
  <c r="C31" i="23" s="1"/>
  <c r="D5" i="26"/>
  <c r="G15" i="4"/>
  <c r="G15" i="22" s="1"/>
  <c r="F15" i="4"/>
  <c r="F15" i="22" s="1"/>
  <c r="E15" i="4"/>
  <c r="E15" i="22" s="1"/>
  <c r="D15" i="4"/>
  <c r="D15" i="22" s="1"/>
  <c r="D56" i="23"/>
  <c r="F56" i="23"/>
  <c r="J53" i="23"/>
  <c r="H56" i="23"/>
  <c r="I15" i="4"/>
  <c r="H15" i="4"/>
  <c r="C57" i="23"/>
  <c r="C33" i="23" s="1"/>
  <c r="E56" i="23"/>
  <c r="C56" i="23"/>
  <c r="C32" i="23" s="1"/>
  <c r="C54" i="23"/>
  <c r="C30" i="23" s="1"/>
  <c r="G56" i="23"/>
  <c r="F32" i="23" l="1"/>
  <c r="F24" i="23"/>
  <c r="F48" i="23"/>
  <c r="G32" i="23"/>
  <c r="G48" i="23"/>
  <c r="G24" i="23"/>
  <c r="R33" i="23"/>
  <c r="O56" i="23"/>
  <c r="J32" i="23"/>
  <c r="O32" i="23" s="1"/>
  <c r="J24" i="23"/>
  <c r="O24" i="23" s="1"/>
  <c r="J48" i="23"/>
  <c r="H31" i="23"/>
  <c r="H47" i="23"/>
  <c r="H23" i="23"/>
  <c r="I32" i="23"/>
  <c r="I24" i="23"/>
  <c r="I48" i="23"/>
  <c r="R30" i="23"/>
  <c r="O53" i="23"/>
  <c r="J29" i="23"/>
  <c r="O29" i="23" s="1"/>
  <c r="J13" i="23"/>
  <c r="O13" i="23" s="1"/>
  <c r="J21" i="23"/>
  <c r="O21" i="23" s="1"/>
  <c r="J45" i="23"/>
  <c r="R31" i="23"/>
  <c r="G31" i="23"/>
  <c r="G23" i="23"/>
  <c r="G47" i="23"/>
  <c r="I33" i="23"/>
  <c r="I25" i="23"/>
  <c r="I49" i="23"/>
  <c r="O54" i="23"/>
  <c r="J30" i="23"/>
  <c r="O30" i="23" s="1"/>
  <c r="J46" i="23"/>
  <c r="J22" i="23"/>
  <c r="O22" i="23" s="1"/>
  <c r="R45" i="23"/>
  <c r="Q45" i="23"/>
  <c r="O57" i="23"/>
  <c r="J33" i="23"/>
  <c r="O33" i="23" s="1"/>
  <c r="J49" i="23"/>
  <c r="J25" i="23"/>
  <c r="O25" i="23" s="1"/>
  <c r="R32" i="23"/>
  <c r="E32" i="23"/>
  <c r="E24" i="23"/>
  <c r="E48" i="23"/>
  <c r="H32" i="23"/>
  <c r="H24" i="23"/>
  <c r="H48" i="23"/>
  <c r="D32" i="23"/>
  <c r="D24" i="23"/>
  <c r="D48" i="23"/>
  <c r="I30" i="23"/>
  <c r="I46" i="23"/>
  <c r="I22" i="23"/>
  <c r="O55" i="23"/>
  <c r="J31" i="23"/>
  <c r="O31" i="23" s="1"/>
  <c r="J23" i="23"/>
  <c r="O23" i="23" s="1"/>
  <c r="J47" i="23"/>
  <c r="O47" i="23" s="1"/>
  <c r="I15" i="22"/>
  <c r="H15" i="22"/>
  <c r="H53" i="23" s="1"/>
  <c r="G15" i="23"/>
  <c r="F14" i="23"/>
  <c r="I16" i="23"/>
  <c r="D14" i="23"/>
  <c r="E16" i="23"/>
  <c r="J17" i="23"/>
  <c r="O17" i="23" s="1"/>
  <c r="E14" i="23"/>
  <c r="G16" i="23"/>
  <c r="I17" i="23"/>
  <c r="C46" i="23"/>
  <c r="C22" i="23"/>
  <c r="C14" i="23"/>
  <c r="F15" i="23"/>
  <c r="C48" i="23"/>
  <c r="C24" i="23"/>
  <c r="C16" i="23"/>
  <c r="E17" i="23"/>
  <c r="I14" i="23"/>
  <c r="J16" i="23"/>
  <c r="O16" i="23" s="1"/>
  <c r="H17" i="23"/>
  <c r="G14" i="23"/>
  <c r="F16" i="23"/>
  <c r="D17" i="23"/>
  <c r="C47" i="23"/>
  <c r="C23" i="23"/>
  <c r="C15" i="23"/>
  <c r="H15" i="23"/>
  <c r="J14" i="23"/>
  <c r="O14" i="23" s="1"/>
  <c r="G17" i="23"/>
  <c r="F17" i="23"/>
  <c r="C49" i="23"/>
  <c r="C25" i="23"/>
  <c r="C17" i="23"/>
  <c r="H16" i="23"/>
  <c r="H14" i="23"/>
  <c r="D16" i="23"/>
  <c r="F53" i="23"/>
  <c r="G53" i="23"/>
  <c r="D53" i="23"/>
  <c r="I53" i="23"/>
  <c r="E53" i="23"/>
  <c r="G29" i="23" l="1"/>
  <c r="G13" i="23"/>
  <c r="G21" i="23"/>
  <c r="G45" i="23"/>
  <c r="R48" i="23"/>
  <c r="Q48" i="23"/>
  <c r="R46" i="23"/>
  <c r="Q46" i="23"/>
  <c r="E29" i="23"/>
  <c r="E13" i="23"/>
  <c r="E45" i="23"/>
  <c r="E21" i="23"/>
  <c r="F29" i="23"/>
  <c r="F13" i="23"/>
  <c r="F21" i="23"/>
  <c r="F45" i="23"/>
  <c r="R47" i="23"/>
  <c r="Q47" i="23"/>
  <c r="H29" i="23"/>
  <c r="H13" i="23"/>
  <c r="H21" i="23"/>
  <c r="H45" i="23"/>
  <c r="I29" i="23"/>
  <c r="I13" i="23"/>
  <c r="I45" i="23"/>
  <c r="O45" i="23" s="1"/>
  <c r="I21" i="23"/>
  <c r="D29" i="23"/>
  <c r="D13" i="23"/>
  <c r="D21" i="23"/>
  <c r="D45" i="23"/>
  <c r="R49" i="23"/>
  <c r="Q49" i="23"/>
  <c r="O49" i="23"/>
  <c r="C6" i="23"/>
  <c r="C5" i="23"/>
  <c r="E5" i="23"/>
  <c r="D8" i="23"/>
  <c r="C7" i="23"/>
  <c r="E7" i="23"/>
  <c r="D5" i="23"/>
  <c r="O46" i="23"/>
  <c r="D7" i="23"/>
  <c r="O48" i="23"/>
  <c r="E8" i="23"/>
  <c r="E6" i="23"/>
  <c r="C8" i="23"/>
  <c r="D6" i="23"/>
  <c r="E4" i="23" l="1"/>
  <c r="D4" i="23"/>
  <c r="C4" i="23"/>
</calcChain>
</file>

<file path=xl/sharedStrings.xml><?xml version="1.0" encoding="utf-8"?>
<sst xmlns="http://schemas.openxmlformats.org/spreadsheetml/2006/main" count="357" uniqueCount="124">
  <si>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</si>
  <si>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</si>
  <si>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</si>
  <si>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</si>
  <si>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</si>
  <si>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</si>
  <si>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</si>
  <si>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</si>
  <si>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</si>
  <si>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</si>
  <si>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</si>
  <si>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</si>
  <si>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</si>
  <si>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</si>
  <si>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</si>
  <si>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</si>
  <si>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</si>
  <si>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</si>
  <si>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</si>
  <si>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</si>
  <si>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</si>
  <si>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</si>
  <si>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</si>
  <si>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</si>
  <si>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</si>
  <si>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Opex</t>
  </si>
  <si>
    <t>Capex</t>
  </si>
  <si>
    <t>Total user cost per entry/exit point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</si>
  <si>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</si>
  <si>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</si>
  <si>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</si>
  <si>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</si>
  <si>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</si>
  <si>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</si>
  <si>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</si>
  <si>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</si>
  <si>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</si>
  <si>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</si>
  <si>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</si>
  <si>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</si>
  <si>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</si>
  <si>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</si>
  <si>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</si>
  <si>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actual additions (recognised in RAB)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</si>
  <si>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</si>
  <si>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</si>
  <si>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</si>
  <si>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</si>
  <si>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</si>
  <si>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</si>
  <si>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</si>
  <si>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</si>
  <si>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</si>
  <si>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</si>
  <si>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</si>
  <si>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</si>
  <si>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</si>
  <si>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</si>
  <si>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(Calendar year TNSP)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</si>
  <si>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</si>
  <si>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</si>
  <si>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</si>
  <si>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</si>
  <si>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</si>
  <si>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</si>
  <si>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</si>
  <si>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</si>
  <si>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</si>
  <si>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</si>
  <si>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</si>
  <si>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</si>
  <si>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</si>
  <si>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</si>
  <si>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</si>
  <si>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kv/km</t>
  </si>
  <si>
    <t>GWh</t>
  </si>
  <si>
    <t>Total user cost per MVA MD</t>
  </si>
  <si>
    <t>Summary</t>
  </si>
  <si>
    <t>Data worksheets</t>
  </si>
  <si>
    <t>– Physical data: this presents key operational data submitted under DNSP EBRINs.</t>
  </si>
  <si>
    <t xml:space="preserve">– CPI: this contains consumer price index sourced from the Australian Bureau of Statistics.  This index is used to convert nominal values into real values. </t>
  </si>
  <si>
    <t>– Opex: this presents network services opex data submitted under DNSP EBRINs.</t>
  </si>
  <si>
    <t>Analysis worksheets</t>
  </si>
  <si>
    <t>AER TNSP Partial Performance Indicator Analysis</t>
  </si>
  <si>
    <t>– Asset cost and total user cost: this calculates asset cost and total user costs.</t>
  </si>
  <si>
    <t>– RAB: this presents network services RAB data submitted under DNSP EBRINs.</t>
  </si>
  <si>
    <t>– Depreciation: this presents network services depreciation data submitted under DNSP EBRINs.</t>
  </si>
  <si>
    <t>– Capex: this presents network services capex data submitted under DNSP EBRINs.</t>
  </si>
  <si>
    <t>– Data analysis: TNSP Analysis</t>
  </si>
  <si>
    <t>– Graphical analysis: TNSP Charts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</si>
  <si>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</si>
  <si>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</si>
  <si>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</si>
  <si>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</si>
  <si>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</si>
  <si>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</si>
  <si>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</si>
  <si>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</si>
  <si>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</si>
  <si>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</si>
  <si>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</si>
  <si>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$'000 2017</t>
  </si>
  <si>
    <t>Average(2013-2017)</t>
  </si>
  <si>
    <t>$, 2017</t>
  </si>
  <si>
    <t>$ 2017/km</t>
  </si>
  <si>
    <t>$2017/mva</t>
  </si>
  <si>
    <t>$2017/ mwh</t>
  </si>
  <si>
    <t>$2017/ kV</t>
  </si>
  <si>
    <t>Average NSP performance 2013-2017</t>
  </si>
  <si>
    <t>Total cost per MVA of maximum demand served ($2017), 2006 to 2017</t>
  </si>
  <si>
    <t>Total cost per MWh of energy transported ($2017), 2006 to 2017</t>
  </si>
  <si>
    <t>Total cost per end user ($2017), 2006 to 2017</t>
  </si>
  <si>
    <t>Total cost per km of transmission circuit length ($2017), 2006 to 2017</t>
  </si>
  <si>
    <t>End User Number (millions, 2017)</t>
  </si>
  <si>
    <t>Connection density (end user per circuit km, 2013-17 average)</t>
  </si>
  <si>
    <t>Five year average circuit length by TNSP (2013–17)</t>
  </si>
  <si>
    <t>Energy transported in 2017 (GWh)</t>
  </si>
  <si>
    <t>Maximum demand for 2017 (MVA)</t>
  </si>
  <si>
    <t>Date: September 2018</t>
  </si>
  <si>
    <t xml:space="preserve">This spreadsheet contains the PPI analysis on Electricity Transmission Network Service Providers for the years up to 2017. </t>
  </si>
  <si>
    <t>$ 2017/MVA</t>
  </si>
  <si>
    <t>$ 2017/MWh</t>
  </si>
  <si>
    <t>$ 2017/kV</t>
  </si>
  <si>
    <t>*These are used to convert to $2017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</si>
</sst>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#,##0.000"/>
    <numFmt numFmtId="167" formatCode="#,##0.0"/>
    <numFmt numFmtId="168" formatCode="_-&quot;$&quot;* #,##0_-;\-&quot;$&quot;* #,##0_-;_-&quot;$&quot;* &quot;-&quot;??_-;_-@_-"/>
    <numFmt numFmtId="169" formatCode="_-* #,##0_-;\-* #,##0_-;_-* &quot;-&quot;??_-;_-@_-"/>
    <numFmt numFmtId="170" formatCode="#,##0.0000"/>
    <numFmt numFmtId="171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68" fontId="0" fillId="0" borderId="0" xfId="3" applyNumberFormat="1" applyFont="1"/>
    <xf numFmtId="0" fontId="5" fillId="0" borderId="0" xfId="0" applyFont="1" applyAlignment="1">
      <alignment wrapText="1"/>
    </xf>
    <xf numFmtId="0" fontId="0" fillId="0" borderId="0" xfId="0"/>
    <xf numFmtId="3" fontId="0" fillId="0" borderId="1" xfId="0" applyNumberFormat="1" applyBorder="1"/>
    <xf numFmtId="0" fontId="5" fillId="0" borderId="1" xfId="0" applyFont="1" applyFill="1" applyBorder="1"/>
    <xf numFmtId="1" fontId="0" fillId="0" borderId="0" xfId="0" applyNumberFormat="1"/>
    <xf numFmtId="0" fontId="7" fillId="0" borderId="0" xfId="0" applyFont="1"/>
    <xf numFmtId="166" fontId="0" fillId="0" borderId="0" xfId="0" applyNumberFormat="1"/>
    <xf numFmtId="0" fontId="0" fillId="0" borderId="0" xfId="0" applyFill="1" applyBorder="1"/>
    <xf numFmtId="0" fontId="5" fillId="3" borderId="0" xfId="0" applyFont="1" applyFill="1"/>
    <xf numFmtId="17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left"/>
    </xf>
    <xf numFmtId="171" fontId="0" fillId="3" borderId="0" xfId="0" applyNumberFormat="1" applyFill="1" applyBorder="1"/>
    <xf numFmtId="0" fontId="8" fillId="3" borderId="0" xfId="0" applyFont="1" applyFill="1"/>
    <xf numFmtId="165" fontId="0" fillId="3" borderId="0" xfId="0" applyNumberFormat="1" applyFill="1" applyBorder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10" fontId="0" fillId="0" borderId="0" xfId="8" applyNumberFormat="1" applyFont="1" applyFill="1"/>
    <xf numFmtId="166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6" fontId="0" fillId="0" borderId="1" xfId="0" applyNumberFormat="1" applyFill="1" applyBorder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68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67" fontId="0" fillId="0" borderId="1" xfId="0" applyNumberFormat="1" applyFill="1" applyBorder="1"/>
    <xf numFmtId="0" fontId="7" fillId="0" borderId="0" xfId="0" applyFont="1" applyFill="1"/>
    <xf numFmtId="169" fontId="0" fillId="0" borderId="0" xfId="7" applyNumberFormat="1" applyFont="1" applyFill="1"/>
    <xf numFmtId="169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/>
    <xf numFmtId="9" fontId="0" fillId="0" borderId="0" xfId="8" applyFont="1" applyFill="1" applyBorder="1"/>
    <xf numFmtId="166" fontId="0" fillId="0" borderId="1" xfId="0" applyNumberFormat="1" applyFill="1" applyBorder="1"/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A1D99B"/>
      <color rgb="FFBD0026"/>
      <color rgb="FFC6DBEF"/>
      <color rgb="FFAC0000"/>
      <color rgb="FFFCC0C0"/>
      <color rgb="FF006D2C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40597187073299"/>
          <c:y val="5.824049968555034E-2"/>
          <c:w val="0.62800775136956943"/>
          <c:h val="0.86134638953502918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Analysis'!$A$13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 w="9525">
                <a:solidFill>
                  <a:srgbClr val="F79646"/>
                </a:solidFill>
              </a:ln>
            </c:spPr>
          </c:marker>
          <c:cat>
            <c:numRef>
              <c:f>'TNSP Analysis'!$C$12:$N$12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Analysis'!$C$13:$N$13</c:f>
              <c:numCache>
                <c:formatCode>#,##0</c:formatCode>
                <c:ptCount val="12"/>
                <c:pt idx="0">
                  <c:v>43946.8662399811</c:v>
                </c:pt>
                <c:pt idx="1">
                  <c:v>46446.718382925894</c:v>
                </c:pt>
                <c:pt idx="2">
                  <c:v>41814.527185426319</c:v>
                </c:pt>
                <c:pt idx="3">
                  <c:v>44401.194508930756</c:v>
                </c:pt>
                <c:pt idx="4">
                  <c:v>45617.087999206749</c:v>
                </c:pt>
                <c:pt idx="5">
                  <c:v>46488.037545820123</c:v>
                </c:pt>
                <c:pt idx="6">
                  <c:v>51454.452550220056</c:v>
                </c:pt>
                <c:pt idx="7">
                  <c:v>51361.407726773374</c:v>
                </c:pt>
                <c:pt idx="8">
                  <c:v>68185.919582465023</c:v>
                </c:pt>
                <c:pt idx="9">
                  <c:v>78841.267274769882</c:v>
                </c:pt>
                <c:pt idx="10">
                  <c:v>80873.221500844069</c:v>
                </c:pt>
                <c:pt idx="11">
                  <c:v>80091.263452221305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2-4834-8DE8-AF958C0B08D1}"/>
            </c:ext>
          </c:extLst>
        </c:ser>
        <c:ser>
          <c:idx val="3"/>
          <c:order val="1"/>
          <c:tx>
            <c:strRef>
              <c:f>'TNSP Analysis'!$A$14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Analysis'!$C$12:$N$12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Analysis'!$C$14:$N$14</c:f>
              <c:numCache>
                <c:formatCode>#,##0</c:formatCode>
                <c:ptCount val="12"/>
                <c:pt idx="0">
                  <c:v>43220.630294417351</c:v>
                </c:pt>
                <c:pt idx="1">
                  <c:v>42034.339934116491</c:v>
                </c:pt>
                <c:pt idx="2">
                  <c:v>46607.291285640706</c:v>
                </c:pt>
                <c:pt idx="3">
                  <c:v>47933.605466705325</c:v>
                </c:pt>
                <c:pt idx="4">
                  <c:v>49812.765922535007</c:v>
                </c:pt>
                <c:pt idx="5">
                  <c:v>52828.681895402275</c:v>
                </c:pt>
                <c:pt idx="6">
                  <c:v>56139.626377320768</c:v>
                </c:pt>
                <c:pt idx="7">
                  <c:v>55582.522425785588</c:v>
                </c:pt>
                <c:pt idx="8">
                  <c:v>59823.362967781432</c:v>
                </c:pt>
                <c:pt idx="9">
                  <c:v>63265.514762880412</c:v>
                </c:pt>
                <c:pt idx="10">
                  <c:v>63252.864033782324</c:v>
                </c:pt>
                <c:pt idx="11">
                  <c:v>60902.660086298667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2-4834-8DE8-AF958C0B08D1}"/>
            </c:ext>
          </c:extLst>
        </c:ser>
        <c:ser>
          <c:idx val="4"/>
          <c:order val="2"/>
          <c:tx>
            <c:strRef>
              <c:f>'TNSP Analysis'!$A$15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Analysis'!$C$12:$N$12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Analysis'!$C$15:$N$15</c:f>
              <c:numCache>
                <c:formatCode>#,##0</c:formatCode>
                <c:ptCount val="12"/>
                <c:pt idx="0">
                  <c:v>36147.798805206126</c:v>
                </c:pt>
                <c:pt idx="1">
                  <c:v>30337.24036853611</c:v>
                </c:pt>
                <c:pt idx="2">
                  <c:v>30280.35489784247</c:v>
                </c:pt>
                <c:pt idx="3">
                  <c:v>31133.908929078985</c:v>
                </c:pt>
                <c:pt idx="4">
                  <c:v>32969.892304632791</c:v>
                </c:pt>
                <c:pt idx="5">
                  <c:v>33201.921372063749</c:v>
                </c:pt>
                <c:pt idx="6">
                  <c:v>35136.666906567836</c:v>
                </c:pt>
                <c:pt idx="7">
                  <c:v>33543.436526584192</c:v>
                </c:pt>
                <c:pt idx="8">
                  <c:v>31494.273748909447</c:v>
                </c:pt>
                <c:pt idx="9">
                  <c:v>38358.198624574754</c:v>
                </c:pt>
                <c:pt idx="10">
                  <c:v>37039.592863912934</c:v>
                </c:pt>
                <c:pt idx="11">
                  <c:v>37608.660037792426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C2-4834-8DE8-AF958C0B08D1}"/>
            </c:ext>
          </c:extLst>
        </c:ser>
        <c:ser>
          <c:idx val="5"/>
          <c:order val="3"/>
          <c:tx>
            <c:strRef>
              <c:f>'TNSP Analysis'!$A$16</c:f>
              <c:strCache>
                <c:ptCount val="1"/>
                <c:pt idx="0">
                  <c:v>TasNetworks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marker>
            <c:symbol val="triangle"/>
            <c:size val="7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Analysis'!$C$12:$N$12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Analysis'!$C$16:$N$16</c:f>
              <c:numCache>
                <c:formatCode>#,##0</c:formatCode>
                <c:ptCount val="12"/>
                <c:pt idx="0">
                  <c:v>46669.097408240777</c:v>
                </c:pt>
                <c:pt idx="1">
                  <c:v>47105.601916052699</c:v>
                </c:pt>
                <c:pt idx="2">
                  <c:v>53987.298075331157</c:v>
                </c:pt>
                <c:pt idx="3">
                  <c:v>54133.338122907538</c:v>
                </c:pt>
                <c:pt idx="4">
                  <c:v>58661.348957479553</c:v>
                </c:pt>
                <c:pt idx="5">
                  <c:v>61104.528475732768</c:v>
                </c:pt>
                <c:pt idx="6">
                  <c:v>62043.895049021783</c:v>
                </c:pt>
                <c:pt idx="7">
                  <c:v>61815.731512053317</c:v>
                </c:pt>
                <c:pt idx="8">
                  <c:v>65840.124342959563</c:v>
                </c:pt>
                <c:pt idx="9">
                  <c:v>57969.646194126377</c:v>
                </c:pt>
                <c:pt idx="10">
                  <c:v>59443.379231094084</c:v>
                </c:pt>
                <c:pt idx="11">
                  <c:v>57732.138825050562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C2-4834-8DE8-AF958C0B08D1}"/>
            </c:ext>
          </c:extLst>
        </c:ser>
        <c:ser>
          <c:idx val="0"/>
          <c:order val="4"/>
          <c:tx>
            <c:strRef>
              <c:f>'TNSP Analysis'!$A$17</c:f>
              <c:strCache>
                <c:ptCount val="1"/>
                <c:pt idx="0">
                  <c:v>TransGrid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Analysis'!$C$12:$N$12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Analysis'!$C$17:$N$17</c:f>
              <c:numCache>
                <c:formatCode>#,##0</c:formatCode>
                <c:ptCount val="12"/>
                <c:pt idx="0">
                  <c:v>26237.919554339624</c:v>
                </c:pt>
                <c:pt idx="1">
                  <c:v>26012.26398474754</c:v>
                </c:pt>
                <c:pt idx="2">
                  <c:v>26185.841819375411</c:v>
                </c:pt>
                <c:pt idx="3">
                  <c:v>27463.226367678813</c:v>
                </c:pt>
                <c:pt idx="4">
                  <c:v>30061.176471936753</c:v>
                </c:pt>
                <c:pt idx="5">
                  <c:v>28885.960127907492</c:v>
                </c:pt>
                <c:pt idx="6">
                  <c:v>31949.566676256403</c:v>
                </c:pt>
                <c:pt idx="7">
                  <c:v>33362.581709363381</c:v>
                </c:pt>
                <c:pt idx="8">
                  <c:v>37730.338343880969</c:v>
                </c:pt>
                <c:pt idx="9">
                  <c:v>39903.130213575248</c:v>
                </c:pt>
                <c:pt idx="10">
                  <c:v>37321.896257648252</c:v>
                </c:pt>
                <c:pt idx="11">
                  <c:v>36465.144294122889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1-4469-83F1-2FD80C44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9584"/>
        <c:axId val="48421504"/>
      </c:lineChart>
      <c:catAx>
        <c:axId val="484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421504"/>
        <c:crosses val="autoZero"/>
        <c:auto val="1"/>
        <c:lblAlgn val="ctr"/>
        <c:lblOffset val="100"/>
        <c:noMultiLvlLbl val="0"/>
      </c:catAx>
      <c:valAx>
        <c:axId val="4842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AU" sz="1400" b="1"/>
                  <a:t>Total cost per MVA of maximum demand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41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290884444876032"/>
          <c:y val="0.35639853930617044"/>
          <c:w val="0.19310201809205446"/>
          <c:h val="0.3256484330056777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Analysis'!$C$21:$N$21</c:f>
              <c:numCache>
                <c:formatCode>#,##0.00</c:formatCode>
                <c:ptCount val="12"/>
                <c:pt idx="0">
                  <c:v>11.577842454217793</c:v>
                </c:pt>
                <c:pt idx="1">
                  <c:v>13.20187009866628</c:v>
                </c:pt>
                <c:pt idx="2">
                  <c:v>13.496123793484452</c:v>
                </c:pt>
                <c:pt idx="3">
                  <c:v>14.014277833699854</c:v>
                </c:pt>
                <c:pt idx="4">
                  <c:v>14.117613163473875</c:v>
                </c:pt>
                <c:pt idx="5">
                  <c:v>14.656344527936456</c:v>
                </c:pt>
                <c:pt idx="6">
                  <c:v>15.473428574537351</c:v>
                </c:pt>
                <c:pt idx="7">
                  <c:v>15.833604075354344</c:v>
                </c:pt>
                <c:pt idx="8">
                  <c:v>16.754722131235315</c:v>
                </c:pt>
                <c:pt idx="9">
                  <c:v>18.60569835063864</c:v>
                </c:pt>
                <c:pt idx="10">
                  <c:v>18.56996851787564</c:v>
                </c:pt>
                <c:pt idx="11" formatCode="#,##0.000">
                  <c:v>19.009916318331609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3-4412-BA8A-7655B77BF07D}"/>
            </c:ext>
          </c:extLst>
        </c:ser>
        <c:ser>
          <c:idx val="3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Analysis'!$C$22:$N$22</c:f>
              <c:numCache>
                <c:formatCode>#,##0.00</c:formatCode>
                <c:ptCount val="12"/>
                <c:pt idx="0">
                  <c:v>9.3395856109318434</c:v>
                </c:pt>
                <c:pt idx="1">
                  <c:v>9.4944333036656854</c:v>
                </c:pt>
                <c:pt idx="2">
                  <c:v>10.573296346833631</c:v>
                </c:pt>
                <c:pt idx="3">
                  <c:v>11.084033172073946</c:v>
                </c:pt>
                <c:pt idx="4">
                  <c:v>11.543882563841274</c:v>
                </c:pt>
                <c:pt idx="5">
                  <c:v>12.147249362859725</c:v>
                </c:pt>
                <c:pt idx="6">
                  <c:v>12.88186117517899</c:v>
                </c:pt>
                <c:pt idx="7">
                  <c:v>13.142311595906794</c:v>
                </c:pt>
                <c:pt idx="8">
                  <c:v>14.464343202511085</c:v>
                </c:pt>
                <c:pt idx="9">
                  <c:v>14.100803676412211</c:v>
                </c:pt>
                <c:pt idx="10">
                  <c:v>14.35034959153003</c:v>
                </c:pt>
                <c:pt idx="11">
                  <c:v>13.907360073808732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D3-4412-BA8A-7655B77BF07D}"/>
            </c:ext>
          </c:extLst>
        </c:ser>
        <c:ser>
          <c:idx val="4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Analysis'!$C$23:$N$23</c:f>
              <c:numCache>
                <c:formatCode>#,##0.00</c:formatCode>
                <c:ptCount val="12"/>
                <c:pt idx="0">
                  <c:v>6.4372146068881806</c:v>
                </c:pt>
                <c:pt idx="1">
                  <c:v>6.2832671352981588</c:v>
                </c:pt>
                <c:pt idx="2">
                  <c:v>6.6021861080856015</c:v>
                </c:pt>
                <c:pt idx="3">
                  <c:v>6.7224927150610476</c:v>
                </c:pt>
                <c:pt idx="4">
                  <c:v>6.6478705939118949</c:v>
                </c:pt>
                <c:pt idx="5">
                  <c:v>6.6426206147490401</c:v>
                </c:pt>
                <c:pt idx="6">
                  <c:v>6.6035391414764391</c:v>
                </c:pt>
                <c:pt idx="7">
                  <c:v>6.543662702969355</c:v>
                </c:pt>
                <c:pt idx="8">
                  <c:v>6.72217721169062</c:v>
                </c:pt>
                <c:pt idx="9">
                  <c:v>7.3232084582339416</c:v>
                </c:pt>
                <c:pt idx="10">
                  <c:v>7.2820894286496554</c:v>
                </c:pt>
                <c:pt idx="11">
                  <c:v>7.7431675792434955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D3-4412-BA8A-7655B77BF07D}"/>
            </c:ext>
          </c:extLst>
        </c:ser>
        <c:ser>
          <c:idx val="5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Analysis'!$C$24:$N$24</c:f>
              <c:numCache>
                <c:formatCode>#,##0.00</c:formatCode>
                <c:ptCount val="12"/>
                <c:pt idx="0">
                  <c:v>11.896481516267508</c:v>
                </c:pt>
                <c:pt idx="1">
                  <c:v>9.879788964405293</c:v>
                </c:pt>
                <c:pt idx="2">
                  <c:v>10.494316906442018</c:v>
                </c:pt>
                <c:pt idx="3">
                  <c:v>10.720157492533545</c:v>
                </c:pt>
                <c:pt idx="4">
                  <c:v>11.860267402664439</c:v>
                </c:pt>
                <c:pt idx="5">
                  <c:v>12.109139649594747</c:v>
                </c:pt>
                <c:pt idx="6">
                  <c:v>12.760774826219974</c:v>
                </c:pt>
                <c:pt idx="7">
                  <c:v>12.226262924038039</c:v>
                </c:pt>
                <c:pt idx="8">
                  <c:v>12.364769426023932</c:v>
                </c:pt>
                <c:pt idx="9">
                  <c:v>11.076418223574453</c:v>
                </c:pt>
                <c:pt idx="10">
                  <c:v>12.85054221756814</c:v>
                </c:pt>
                <c:pt idx="11">
                  <c:v>11.724422053678715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D3-4412-BA8A-7655B77BF07D}"/>
            </c:ext>
          </c:extLst>
        </c:ser>
        <c:ser>
          <c:idx val="0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Analysis'!$C$25:$N$25</c:f>
              <c:numCache>
                <c:formatCode>#,##0.00</c:formatCode>
                <c:ptCount val="12"/>
                <c:pt idx="0">
                  <c:v>5.8592654710304437</c:v>
                </c:pt>
                <c:pt idx="1">
                  <c:v>5.8292543387506539</c:v>
                </c:pt>
                <c:pt idx="2">
                  <c:v>5.9037170647319108</c:v>
                </c:pt>
                <c:pt idx="3">
                  <c:v>6.3324578677631793</c:v>
                </c:pt>
                <c:pt idx="4">
                  <c:v>7.0490848054541519</c:v>
                </c:pt>
                <c:pt idx="5">
                  <c:v>7.022401334353451</c:v>
                </c:pt>
                <c:pt idx="6">
                  <c:v>7.5077310727495465</c:v>
                </c:pt>
                <c:pt idx="7">
                  <c:v>8.1646824436416701</c:v>
                </c:pt>
                <c:pt idx="8">
                  <c:v>9.4604092709741963</c:v>
                </c:pt>
                <c:pt idx="9">
                  <c:v>8.8494845231719292</c:v>
                </c:pt>
                <c:pt idx="10">
                  <c:v>9.3046278758679843</c:v>
                </c:pt>
                <c:pt idx="11">
                  <c:v>9.0919759773346414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4-4CD1-B092-DD36F19A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 MWh of energy transported</a:t>
                </a:r>
              </a:p>
            </c:rich>
          </c:tx>
          <c:layout>
            <c:manualLayout>
              <c:xMode val="edge"/>
              <c:yMode val="edge"/>
              <c:x val="1.0136924186824294E-2"/>
              <c:y val="0.20836156440320475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66432842650214"/>
          <c:y val="0.36264077255518934"/>
          <c:w val="0.19235338859233067"/>
          <c:h val="0.31149277284611293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370792893036791"/>
          <c:y val="3.8921755683047801E-2"/>
          <c:w val="0.64030553560433778"/>
          <c:h val="0.88172477286033135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Analysis'!$A$45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Analysis'!$C$44:$N$44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Analysis'!$C$45:$N$45</c:f>
              <c:numCache>
                <c:formatCode>#,##0</c:formatCode>
                <c:ptCount val="12"/>
                <c:pt idx="0">
                  <c:v>31218.041451199086</c:v>
                </c:pt>
                <c:pt idx="1">
                  <c:v>33466.224183947757</c:v>
                </c:pt>
                <c:pt idx="2">
                  <c:v>31995.790474707221</c:v>
                </c:pt>
                <c:pt idx="3">
                  <c:v>34410.348429853475</c:v>
                </c:pt>
                <c:pt idx="4">
                  <c:v>35531.483058895014</c:v>
                </c:pt>
                <c:pt idx="5">
                  <c:v>36960.004706555475</c:v>
                </c:pt>
                <c:pt idx="6">
                  <c:v>39377.171664786227</c:v>
                </c:pt>
                <c:pt idx="7">
                  <c:v>40916.681631607702</c:v>
                </c:pt>
                <c:pt idx="8">
                  <c:v>42291.302424858688</c:v>
                </c:pt>
                <c:pt idx="9">
                  <c:v>45341.421272634929</c:v>
                </c:pt>
                <c:pt idx="10">
                  <c:v>47894.243301087408</c:v>
                </c:pt>
                <c:pt idx="11">
                  <c:v>50025.541750804121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B-445C-B34D-A82DF6E10F9B}"/>
            </c:ext>
          </c:extLst>
        </c:ser>
        <c:ser>
          <c:idx val="3"/>
          <c:order val="1"/>
          <c:tx>
            <c:strRef>
              <c:f>'TNSP Analysis'!$A$46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Analysis'!$C$44:$N$44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Analysis'!$C$46:$N$46</c:f>
              <c:numCache>
                <c:formatCode>#,##0</c:formatCode>
                <c:ptCount val="12"/>
                <c:pt idx="0">
                  <c:v>40744.918781633343</c:v>
                </c:pt>
                <c:pt idx="1">
                  <c:v>41485.029056093721</c:v>
                </c:pt>
                <c:pt idx="2">
                  <c:v>43545.538094165153</c:v>
                </c:pt>
                <c:pt idx="3">
                  <c:v>44966.404134632896</c:v>
                </c:pt>
                <c:pt idx="4">
                  <c:v>45797.803168162427</c:v>
                </c:pt>
                <c:pt idx="5">
                  <c:v>45904.152591144251</c:v>
                </c:pt>
                <c:pt idx="6">
                  <c:v>47831.822557014006</c:v>
                </c:pt>
                <c:pt idx="7">
                  <c:v>45297.236473508499</c:v>
                </c:pt>
                <c:pt idx="8">
                  <c:v>46620.354224285569</c:v>
                </c:pt>
                <c:pt idx="9">
                  <c:v>50735.525400047918</c:v>
                </c:pt>
                <c:pt idx="10">
                  <c:v>51420.639459213693</c:v>
                </c:pt>
                <c:pt idx="11">
                  <c:v>51919.503085139055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5B-445C-B34D-A82DF6E10F9B}"/>
            </c:ext>
          </c:extLst>
        </c:ser>
        <c:ser>
          <c:idx val="4"/>
          <c:order val="2"/>
          <c:tx>
            <c:strRef>
              <c:f>'TNSP Analysis'!$A$47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Analysis'!$C$44:$N$44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Analysis'!$C$47:$N$47</c:f>
              <c:numCache>
                <c:formatCode>#,##0</c:formatCode>
                <c:ptCount val="12"/>
                <c:pt idx="0">
                  <c:v>44252.83863118817</c:v>
                </c:pt>
                <c:pt idx="1">
                  <c:v>43930.712113306799</c:v>
                </c:pt>
                <c:pt idx="2">
                  <c:v>45246.739083756707</c:v>
                </c:pt>
                <c:pt idx="3">
                  <c:v>48497.654905732692</c:v>
                </c:pt>
                <c:pt idx="4">
                  <c:v>49534.510855919907</c:v>
                </c:pt>
                <c:pt idx="5">
                  <c:v>48556.89070616832</c:v>
                </c:pt>
                <c:pt idx="6">
                  <c:v>47750.189788896787</c:v>
                </c:pt>
                <c:pt idx="7">
                  <c:v>48837.474727921952</c:v>
                </c:pt>
                <c:pt idx="8">
                  <c:v>49151.766160210391</c:v>
                </c:pt>
                <c:pt idx="9">
                  <c:v>53092.500336430414</c:v>
                </c:pt>
                <c:pt idx="10">
                  <c:v>54652.017294657802</c:v>
                </c:pt>
                <c:pt idx="11">
                  <c:v>55275.712396848801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5B-445C-B34D-A82DF6E10F9B}"/>
            </c:ext>
          </c:extLst>
        </c:ser>
        <c:ser>
          <c:idx val="5"/>
          <c:order val="3"/>
          <c:tx>
            <c:strRef>
              <c:f>'TNSP Analysis'!$A$48</c:f>
              <c:strCache>
                <c:ptCount val="1"/>
                <c:pt idx="0">
                  <c:v>TasNetworks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Analysis'!$C$44:$N$44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Analysis'!$C$48:$N$48</c:f>
              <c:numCache>
                <c:formatCode>#,##0</c:formatCode>
                <c:ptCount val="12"/>
                <c:pt idx="0">
                  <c:v>34979.265826232331</c:v>
                </c:pt>
                <c:pt idx="1">
                  <c:v>34989.593233953718</c:v>
                </c:pt>
                <c:pt idx="2">
                  <c:v>39112.39124914135</c:v>
                </c:pt>
                <c:pt idx="3">
                  <c:v>40844.920694780871</c:v>
                </c:pt>
                <c:pt idx="4">
                  <c:v>44391.979614915974</c:v>
                </c:pt>
                <c:pt idx="5">
                  <c:v>45438.973714182212</c:v>
                </c:pt>
                <c:pt idx="6">
                  <c:v>45989.795213826968</c:v>
                </c:pt>
                <c:pt idx="7">
                  <c:v>44903.472925563023</c:v>
                </c:pt>
                <c:pt idx="8">
                  <c:v>47146.77549417362</c:v>
                </c:pt>
                <c:pt idx="9">
                  <c:v>40746.325192736134</c:v>
                </c:pt>
                <c:pt idx="10">
                  <c:v>42025.870295687499</c:v>
                </c:pt>
                <c:pt idx="11">
                  <c:v>40883.195983427941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5B-445C-B34D-A82DF6E10F9B}"/>
            </c:ext>
          </c:extLst>
        </c:ser>
        <c:ser>
          <c:idx val="0"/>
          <c:order val="4"/>
          <c:tx>
            <c:strRef>
              <c:f>'TNSP Analysis'!$A$49</c:f>
              <c:strCache>
                <c:ptCount val="1"/>
                <c:pt idx="0">
                  <c:v>TransGrid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Analysis'!$C$44:$N$44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Analysis'!$C$49:$N$49</c:f>
              <c:numCache>
                <c:formatCode>#,##0</c:formatCode>
                <c:ptCount val="12"/>
                <c:pt idx="0">
                  <c:v>38149.822104344094</c:v>
                </c:pt>
                <c:pt idx="1">
                  <c:v>38624.383655658487</c:v>
                </c:pt>
                <c:pt idx="2">
                  <c:v>38891.373287112743</c:v>
                </c:pt>
                <c:pt idx="3">
                  <c:v>41008.386261182502</c:v>
                </c:pt>
                <c:pt idx="4">
                  <c:v>44798.586403441528</c:v>
                </c:pt>
                <c:pt idx="5">
                  <c:v>44188.11545917231</c:v>
                </c:pt>
                <c:pt idx="6">
                  <c:v>45292.811259406517</c:v>
                </c:pt>
                <c:pt idx="7">
                  <c:v>45022.969252376795</c:v>
                </c:pt>
                <c:pt idx="8">
                  <c:v>49608.068131533815</c:v>
                </c:pt>
                <c:pt idx="9">
                  <c:v>50549.984111829028</c:v>
                </c:pt>
                <c:pt idx="10">
                  <c:v>51521.135517773029</c:v>
                </c:pt>
                <c:pt idx="11">
                  <c:v>52140.410285451653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6-4BE6-B685-A709DC06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2768"/>
        <c:axId val="50139520"/>
      </c:lineChart>
      <c:catAx>
        <c:axId val="501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39520"/>
        <c:crosses val="autoZero"/>
        <c:auto val="1"/>
        <c:lblAlgn val="ctr"/>
        <c:lblOffset val="100"/>
        <c:noMultiLvlLbl val="0"/>
      </c:catAx>
      <c:valAx>
        <c:axId val="50139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</a:t>
                </a:r>
                <a:r>
                  <a:rPr lang="en-AU" sz="1200" b="1" baseline="0"/>
                  <a:t> km of circuit line </a:t>
                </a:r>
                <a:endParaRPr lang="en-AU" sz="1200" b="1"/>
              </a:p>
            </c:rich>
          </c:tx>
          <c:layout>
            <c:manualLayout>
              <c:xMode val="edge"/>
              <c:yMode val="edge"/>
              <c:x val="1.8784533837059043E-2"/>
              <c:y val="0.2475177985185718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12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0531629437777"/>
          <c:y val="0.35659953882704615"/>
          <c:w val="0.19310846507339191"/>
          <c:h val="0.32519262163236845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110399110558758"/>
          <c:y val="5.5065839237175729E-2"/>
          <c:w val="0.63449335781530092"/>
          <c:h val="0.86250844279628958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Analysis'!$C$29:$N$29</c:f>
              <c:numCache>
                <c:formatCode>#,##0</c:formatCode>
                <c:ptCount val="12"/>
                <c:pt idx="0">
                  <c:v>224.48523847811558</c:v>
                </c:pt>
                <c:pt idx="1">
                  <c:v>236.95516181267084</c:v>
                </c:pt>
                <c:pt idx="2">
                  <c:v>226.05545572744174</c:v>
                </c:pt>
                <c:pt idx="3">
                  <c:v>232.52405307100625</c:v>
                </c:pt>
                <c:pt idx="4">
                  <c:v>236.38569377765884</c:v>
                </c:pt>
                <c:pt idx="5">
                  <c:v>243.34833491580102</c:v>
                </c:pt>
                <c:pt idx="6">
                  <c:v>257.77432247999309</c:v>
                </c:pt>
                <c:pt idx="7">
                  <c:v>266.77264634319516</c:v>
                </c:pt>
                <c:pt idx="8">
                  <c:v>274.54197457360823</c:v>
                </c:pt>
                <c:pt idx="9">
                  <c:v>293.16591817710815</c:v>
                </c:pt>
                <c:pt idx="10">
                  <c:v>308.14137725608725</c:v>
                </c:pt>
                <c:pt idx="11">
                  <c:v>314.37958174397698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FD9-B241-14586255B02F}"/>
            </c:ext>
          </c:extLst>
        </c:ser>
        <c:ser>
          <c:idx val="1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 w="25400">
                <a:noFill/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Analysis'!$C$30:$N$30</c:f>
              <c:numCache>
                <c:formatCode>#,##0</c:formatCode>
                <c:ptCount val="12"/>
                <c:pt idx="0">
                  <c:v>259.63937323794255</c:v>
                </c:pt>
                <c:pt idx="1">
                  <c:v>263.66333464644305</c:v>
                </c:pt>
                <c:pt idx="2">
                  <c:v>283.13945332197511</c:v>
                </c:pt>
                <c:pt idx="3">
                  <c:v>296.56616338797699</c:v>
                </c:pt>
                <c:pt idx="4">
                  <c:v>307.41885081710598</c:v>
                </c:pt>
                <c:pt idx="5">
                  <c:v>312.89633827366163</c:v>
                </c:pt>
                <c:pt idx="6">
                  <c:v>320.78783366059878</c:v>
                </c:pt>
                <c:pt idx="7">
                  <c:v>313.19679406783052</c:v>
                </c:pt>
                <c:pt idx="8">
                  <c:v>328.20001724077127</c:v>
                </c:pt>
                <c:pt idx="9">
                  <c:v>352.19187253100392</c:v>
                </c:pt>
                <c:pt idx="10">
                  <c:v>351.12492392108089</c:v>
                </c:pt>
                <c:pt idx="11">
                  <c:v>343.94113571147795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6-4FD9-B241-14586255B02F}"/>
            </c:ext>
          </c:extLst>
        </c:ser>
        <c:ser>
          <c:idx val="2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Analysis'!$C$31:$N$31</c:f>
              <c:numCache>
                <c:formatCode>#,##0</c:formatCode>
                <c:ptCount val="12"/>
                <c:pt idx="0">
                  <c:v>117.7508209193338</c:v>
                </c:pt>
                <c:pt idx="1">
                  <c:v>115.05497770667652</c:v>
                </c:pt>
                <c:pt idx="2">
                  <c:v>116.82335268397438</c:v>
                </c:pt>
                <c:pt idx="3">
                  <c:v>123.60577164207608</c:v>
                </c:pt>
                <c:pt idx="4">
                  <c:v>124.53206146072257</c:v>
                </c:pt>
                <c:pt idx="5">
                  <c:v>120.21921066444251</c:v>
                </c:pt>
                <c:pt idx="6">
                  <c:v>116.42414387907888</c:v>
                </c:pt>
                <c:pt idx="7">
                  <c:v>117.44389519503117</c:v>
                </c:pt>
                <c:pt idx="8">
                  <c:v>117.34366631534049</c:v>
                </c:pt>
                <c:pt idx="9">
                  <c:v>124.75168539552433</c:v>
                </c:pt>
                <c:pt idx="10">
                  <c:v>125.96833101307683</c:v>
                </c:pt>
                <c:pt idx="11">
                  <c:v>124.94904622236045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C6-4FD9-B241-14586255B02F}"/>
            </c:ext>
          </c:extLst>
        </c:ser>
        <c:ser>
          <c:idx val="3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Analysis'!$C$32:$N$32</c:f>
              <c:numCache>
                <c:formatCode>#,##0</c:formatCode>
                <c:ptCount val="12"/>
                <c:pt idx="0">
                  <c:v>499.80044329138008</c:v>
                </c:pt>
                <c:pt idx="1">
                  <c:v>496.08825738902618</c:v>
                </c:pt>
                <c:pt idx="2">
                  <c:v>544.02310721856986</c:v>
                </c:pt>
                <c:pt idx="3">
                  <c:v>541.64144208267805</c:v>
                </c:pt>
                <c:pt idx="4">
                  <c:v>571.09519396031396</c:v>
                </c:pt>
                <c:pt idx="5">
                  <c:v>575.42438291457995</c:v>
                </c:pt>
                <c:pt idx="6">
                  <c:v>577.0860930646777</c:v>
                </c:pt>
                <c:pt idx="7">
                  <c:v>562.06996626303521</c:v>
                </c:pt>
                <c:pt idx="8">
                  <c:v>588.39847542826556</c:v>
                </c:pt>
                <c:pt idx="9">
                  <c:v>512.99439017785608</c:v>
                </c:pt>
                <c:pt idx="10">
                  <c:v>524.90175754925622</c:v>
                </c:pt>
                <c:pt idx="11">
                  <c:v>506.49986346496422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C6-4FD9-B241-14586255B02F}"/>
            </c:ext>
          </c:extLst>
        </c:ser>
        <c:ser>
          <c:idx val="4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Analysis'!$C$20:$N$20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'TNSP Analysis'!$C$33:$N$33</c:f>
              <c:numCache>
                <c:formatCode>#,##0</c:formatCode>
                <c:ptCount val="12"/>
                <c:pt idx="0">
                  <c:v>142.57691885492792</c:v>
                </c:pt>
                <c:pt idx="1">
                  <c:v>143.02227933536906</c:v>
                </c:pt>
                <c:pt idx="2">
                  <c:v>142.52705982759667</c:v>
                </c:pt>
                <c:pt idx="3">
                  <c:v>148.9700419792548</c:v>
                </c:pt>
                <c:pt idx="4">
                  <c:v>163.58873391750981</c:v>
                </c:pt>
                <c:pt idx="5">
                  <c:v>159.78315980248988</c:v>
                </c:pt>
                <c:pt idx="6">
                  <c:v>162.59430924634836</c:v>
                </c:pt>
                <c:pt idx="7">
                  <c:v>162.33760032672166</c:v>
                </c:pt>
                <c:pt idx="8">
                  <c:v>176.98480154706868</c:v>
                </c:pt>
                <c:pt idx="9">
                  <c:v>179.19382265244613</c:v>
                </c:pt>
                <c:pt idx="10">
                  <c:v>180.5576783905897</c:v>
                </c:pt>
                <c:pt idx="11">
                  <c:v>180.65636488180937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C6-4FD9-B241-14586255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2688"/>
        <c:axId val="50164864"/>
      </c:lineChart>
      <c:catAx>
        <c:axId val="501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64864"/>
        <c:crosses val="autoZero"/>
        <c:auto val="1"/>
        <c:lblAlgn val="ctr"/>
        <c:lblOffset val="100"/>
        <c:noMultiLvlLbl val="0"/>
      </c:catAx>
      <c:valAx>
        <c:axId val="5016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</a:t>
                </a:r>
                <a:r>
                  <a:rPr lang="en-AU" sz="1200" b="1" baseline="0"/>
                  <a:t> number of end users</a:t>
                </a:r>
                <a:endParaRPr lang="en-AU" sz="1200" b="1"/>
              </a:p>
            </c:rich>
          </c:tx>
          <c:layout>
            <c:manualLayout>
              <c:xMode val="edge"/>
              <c:yMode val="edge"/>
              <c:x val="1.4470285507036362E-2"/>
              <c:y val="0.1663963672559093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62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531757306666985"/>
          <c:y val="0.35405242782664309"/>
          <c:w val="0.19468242693333015"/>
          <c:h val="0.29189514434671376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data'!$O$39:$O$43</c:f>
              <c:numCache>
                <c:formatCode>#,##0.0</c:formatCode>
                <c:ptCount val="5"/>
                <c:pt idx="0">
                  <c:v>155.32702324497569</c:v>
                </c:pt>
                <c:pt idx="1">
                  <c:v>145.62676267670378</c:v>
                </c:pt>
                <c:pt idx="2">
                  <c:v>427.30670576783803</c:v>
                </c:pt>
                <c:pt idx="3">
                  <c:v>80.045303294553577</c:v>
                </c:pt>
                <c:pt idx="4">
                  <c:v>282.73898241320353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Connection density (end</a:t>
                </a:r>
                <a:r>
                  <a:rPr lang="en-AU" sz="1200" b="1" baseline="0"/>
                  <a:t> user</a:t>
                </a:r>
                <a:r>
                  <a:rPr lang="en-AU" sz="1200" b="1"/>
                  <a:t> per 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data'!$N$46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data'!$A$47:$A$51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data'!$N$47:$N$51</c:f>
              <c:numCache>
                <c:formatCode>#,##0.0</c:formatCode>
                <c:ptCount val="5"/>
                <c:pt idx="0">
                  <c:v>878299.5</c:v>
                </c:pt>
                <c:pt idx="1">
                  <c:v>2193748</c:v>
                </c:pt>
                <c:pt idx="2">
                  <c:v>2902040</c:v>
                </c:pt>
                <c:pt idx="3">
                  <c:v>287651.5001</c:v>
                </c:pt>
                <c:pt idx="4">
                  <c:v>3774559.4999999898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sz="1200"/>
                  </a:pPr>
                  <a:r>
                    <a:rPr lang="en-US" sz="1200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data'!$C$23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data'!$A$25:$A$29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data'!$C$25:$C$29</c:f>
              <c:numCache>
                <c:formatCode>#,##0</c:formatCode>
                <c:ptCount val="5"/>
                <c:pt idx="0">
                  <c:v>5524</c:v>
                </c:pt>
                <c:pt idx="1">
                  <c:v>14626</c:v>
                </c:pt>
                <c:pt idx="2">
                  <c:v>6568</c:v>
                </c:pt>
                <c:pt idx="3">
                  <c:v>3540</c:v>
                </c:pt>
                <c:pt idx="4">
                  <c:v>12993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data'!$A$3:$A$7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data'!$N$3:$N$7</c:f>
              <c:numCache>
                <c:formatCode>#,##0</c:formatCode>
                <c:ptCount val="5"/>
                <c:pt idx="0">
                  <c:v>14525020.775061335</c:v>
                </c:pt>
                <c:pt idx="1">
                  <c:v>54253300.021025993</c:v>
                </c:pt>
                <c:pt idx="2">
                  <c:v>46829301.624719001</c:v>
                </c:pt>
                <c:pt idx="3">
                  <c:v>12426663.323709674</c:v>
                </c:pt>
                <c:pt idx="4">
                  <c:v>75000000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(GWh)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203498457127"/>
          <c:y val="3.744896986250580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data'!$A$10:$A$14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data'!$N$10:$N$14</c:f>
              <c:numCache>
                <c:formatCode>#,##0</c:formatCode>
                <c:ptCount val="5"/>
                <c:pt idx="0">
                  <c:v>3447.559915454</c:v>
                </c:pt>
                <c:pt idx="1">
                  <c:v>12388.952756999994</c:v>
                </c:pt>
                <c:pt idx="2">
                  <c:v>9641.5859999999993</c:v>
                </c:pt>
                <c:pt idx="3">
                  <c:v>2523.6453817803717</c:v>
                </c:pt>
                <c:pt idx="4">
                  <c:v>18700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/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/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/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2400</xdr:rowOff>
    </xdr:from>
    <xdr:to>
      <xdr:col>11</xdr:col>
      <xdr:colOff>600074</xdr:colOff>
      <xdr:row>24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11</xdr:col>
      <xdr:colOff>571500</xdr:colOff>
      <xdr:row>99</xdr:row>
      <xdr:rowOff>169333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44822</xdr:colOff>
      <xdr:row>54</xdr:row>
      <xdr:rowOff>0</xdr:rowOff>
    </xdr:from>
    <xdr:to>
      <xdr:col>11</xdr:col>
      <xdr:colOff>590549</xdr:colOff>
      <xdr:row>75</xdr:row>
      <xdr:rowOff>2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ran/AppData/Local/Microsoft/Windows/INetCache/Content.Outlook/RPBKME7N/DNSP%20PPI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eu/Local%20Settings/Temporary%20Internet%20Files/Content.Outlook/SMGVD7WK/Database%20%20mockup%20-%20EBT%20RIN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tate Charts an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2016</v>
          </cell>
        </row>
        <row r="8">
          <cell r="E8">
            <v>110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6" sqref="A6"/>
    </sheetView>
  </sheetViews>
  <sheetFormatPr defaultColWidth="8.7109375" defaultRowHeight="15" x14ac:dyDescent="0.25"/>
  <cols>
    <col min="1" max="1" width="101.5703125" style="39" customWidth="1"/>
    <col min="2" max="9" width="8.7109375" style="39"/>
    <col min="10" max="16384" width="8.7109375" style="18"/>
  </cols>
  <sheetData>
    <row r="1" spans="1:9" ht="14.45" x14ac:dyDescent="0.35">
      <c r="A1" s="12" t="s">
        <v>83</v>
      </c>
    </row>
    <row r="2" spans="1:9" ht="14.45" x14ac:dyDescent="0.35">
      <c r="A2" s="40" t="s">
        <v>118</v>
      </c>
    </row>
    <row r="4" spans="1:9" ht="14.45" x14ac:dyDescent="0.35">
      <c r="A4" s="41" t="s">
        <v>77</v>
      </c>
    </row>
    <row r="5" spans="1:9" ht="14.45" x14ac:dyDescent="0.35">
      <c r="A5" s="39" t="s">
        <v>119</v>
      </c>
    </row>
    <row r="7" spans="1:9" x14ac:dyDescent="0.25">
      <c r="A7" s="41" t="s">
        <v>78</v>
      </c>
    </row>
    <row r="8" spans="1:9" x14ac:dyDescent="0.25">
      <c r="A8" s="42" t="s">
        <v>79</v>
      </c>
    </row>
    <row r="9" spans="1:9" s="45" customFormat="1" ht="29.1" customHeight="1" x14ac:dyDescent="0.25">
      <c r="A9" s="43" t="s">
        <v>80</v>
      </c>
      <c r="B9" s="44"/>
      <c r="C9" s="44"/>
      <c r="D9" s="44"/>
      <c r="E9" s="44"/>
      <c r="F9" s="44"/>
      <c r="G9" s="44"/>
      <c r="H9" s="44"/>
      <c r="I9" s="44"/>
    </row>
    <row r="10" spans="1:9" ht="14.45" customHeight="1" x14ac:dyDescent="0.25">
      <c r="A10" s="43" t="s">
        <v>87</v>
      </c>
    </row>
    <row r="11" spans="1:9" s="45" customFormat="1" ht="14.45" customHeight="1" x14ac:dyDescent="0.25">
      <c r="A11" s="43" t="s">
        <v>86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43" t="s">
        <v>85</v>
      </c>
    </row>
    <row r="13" spans="1:9" s="45" customFormat="1" ht="14.45" customHeight="1" x14ac:dyDescent="0.25">
      <c r="A13" s="43" t="s">
        <v>81</v>
      </c>
      <c r="B13" s="44"/>
      <c r="C13" s="44"/>
      <c r="D13" s="44"/>
      <c r="E13" s="44"/>
      <c r="F13" s="44"/>
      <c r="G13" s="44"/>
      <c r="H13" s="44"/>
      <c r="I13" s="44"/>
    </row>
    <row r="14" spans="1:9" x14ac:dyDescent="0.25">
      <c r="A14" s="42" t="s">
        <v>84</v>
      </c>
    </row>
    <row r="15" spans="1:9" s="39" customFormat="1" x14ac:dyDescent="0.25"/>
    <row r="17" spans="1:1" s="39" customFormat="1" x14ac:dyDescent="0.25">
      <c r="A17" s="46" t="s">
        <v>82</v>
      </c>
    </row>
    <row r="18" spans="1:1" s="39" customFormat="1" x14ac:dyDescent="0.25">
      <c r="A18" s="42" t="s">
        <v>90</v>
      </c>
    </row>
    <row r="19" spans="1:1" s="39" customFormat="1" x14ac:dyDescent="0.25">
      <c r="A19" s="42" t="s">
        <v>88</v>
      </c>
    </row>
    <row r="20" spans="1:1" s="39" customFormat="1" x14ac:dyDescent="0.25">
      <c r="A20" s="42" t="s">
        <v>97</v>
      </c>
    </row>
    <row r="21" spans="1:1" s="39" customFormat="1" x14ac:dyDescent="0.25">
      <c r="A21" s="42" t="s">
        <v>89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S51"/>
  <sheetViews>
    <sheetView zoomScaleNormal="100" workbookViewId="0">
      <selection activeCell="H25" sqref="H25"/>
    </sheetView>
  </sheetViews>
  <sheetFormatPr defaultRowHeight="15" x14ac:dyDescent="0.25"/>
  <cols>
    <col min="1" max="1" width="32.28515625" customWidth="1"/>
    <col min="2" max="2" width="12.85546875" style="18" bestFit="1" customWidth="1"/>
    <col min="3" max="12" width="12.28515625" customWidth="1"/>
    <col min="13" max="14" width="12.28515625" style="18" customWidth="1"/>
    <col min="15" max="15" width="12.28515625" customWidth="1"/>
  </cols>
  <sheetData>
    <row r="1" spans="1:97" x14ac:dyDescent="0.25">
      <c r="A1" s="35" t="s">
        <v>93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97" x14ac:dyDescent="0.25">
      <c r="A2" s="35" t="s">
        <v>52</v>
      </c>
      <c r="B2" s="34" t="s">
        <v>68</v>
      </c>
      <c r="C2" s="20">
        <v>2006</v>
      </c>
      <c r="D2" s="20">
        <v>2007</v>
      </c>
      <c r="E2" s="20">
        <v>2008</v>
      </c>
      <c r="F2" s="20">
        <v>2009</v>
      </c>
      <c r="G2" s="20">
        <v>2010</v>
      </c>
      <c r="H2" s="20">
        <v>2011</v>
      </c>
      <c r="I2" s="20">
        <v>2012</v>
      </c>
      <c r="J2" s="20">
        <v>2013</v>
      </c>
      <c r="K2" s="20">
        <v>2014</v>
      </c>
      <c r="L2" s="20">
        <v>2015</v>
      </c>
      <c r="M2" s="20">
        <v>2016</v>
      </c>
      <c r="N2" s="20">
        <v>2017</v>
      </c>
      <c r="O2" s="34"/>
      <c r="P2" s="34"/>
      <c r="Q2" s="34"/>
      <c r="R2" s="34"/>
    </row>
    <row r="3" spans="1:97" x14ac:dyDescent="0.25">
      <c r="A3" s="49" t="s">
        <v>38</v>
      </c>
      <c r="B3" s="49" t="s">
        <v>67</v>
      </c>
      <c r="C3" s="38">
        <v>15101074.258214997</v>
      </c>
      <c r="D3" s="38">
        <v>13989610</v>
      </c>
      <c r="E3" s="38">
        <v>13083325.236576969</v>
      </c>
      <c r="F3" s="38">
        <v>13513587.369959038</v>
      </c>
      <c r="G3" s="38">
        <v>13846707.414743055</v>
      </c>
      <c r="H3" s="38">
        <v>13881537.225071985</v>
      </c>
      <c r="I3" s="38">
        <v>14062879.897383038</v>
      </c>
      <c r="J3" s="38">
        <v>14283594.450350931</v>
      </c>
      <c r="K3" s="38">
        <v>13957000</v>
      </c>
      <c r="L3" s="38">
        <v>13455329.989999998</v>
      </c>
      <c r="M3" s="38">
        <v>14247978.656044956</v>
      </c>
      <c r="N3" s="38">
        <v>14525020.775061335</v>
      </c>
      <c r="O3" s="34"/>
      <c r="P3" s="51"/>
      <c r="Q3" s="51"/>
      <c r="R3" s="51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x14ac:dyDescent="0.25">
      <c r="A4" s="49" t="s">
        <v>21</v>
      </c>
      <c r="B4" s="49" t="s">
        <v>67</v>
      </c>
      <c r="C4" s="38">
        <v>51045963.444256991</v>
      </c>
      <c r="D4" s="38">
        <v>51964465.679886967</v>
      </c>
      <c r="E4" s="38">
        <v>51187327.595034994</v>
      </c>
      <c r="F4" s="38">
        <v>52191948.260312036</v>
      </c>
      <c r="G4" s="38">
        <v>52848520.626357004</v>
      </c>
      <c r="H4" s="38">
        <v>51917071.191967987</v>
      </c>
      <c r="I4" s="38">
        <v>50878576.976755999</v>
      </c>
      <c r="J4" s="38">
        <v>49333938.670690008</v>
      </c>
      <c r="K4" s="38">
        <v>47613581.421291001</v>
      </c>
      <c r="L4" s="38">
        <v>53087563.425000042</v>
      </c>
      <c r="M4" s="38">
        <v>52872387.581990004</v>
      </c>
      <c r="N4" s="38">
        <v>54253300.021025993</v>
      </c>
      <c r="O4" s="34"/>
      <c r="P4" s="34"/>
      <c r="Q4" s="34"/>
      <c r="R4" s="34"/>
    </row>
    <row r="5" spans="1:97" x14ac:dyDescent="0.25">
      <c r="A5" s="49" t="s">
        <v>36</v>
      </c>
      <c r="B5" s="49" t="s">
        <v>67</v>
      </c>
      <c r="C5" s="38">
        <v>45186299.678676002</v>
      </c>
      <c r="D5" s="38">
        <v>45956437.073729999</v>
      </c>
      <c r="E5" s="38">
        <v>45046718.030759998</v>
      </c>
      <c r="F5" s="38">
        <v>47419179.046665005</v>
      </c>
      <c r="G5" s="38">
        <v>48976636.241105005</v>
      </c>
      <c r="H5" s="38">
        <v>48047970.9925</v>
      </c>
      <c r="I5" s="38">
        <v>47529361.264941998</v>
      </c>
      <c r="J5" s="38">
        <v>49056428.480179004</v>
      </c>
      <c r="K5" s="38">
        <v>48061000</v>
      </c>
      <c r="L5" s="38">
        <v>47655016.950806007</v>
      </c>
      <c r="M5" s="38">
        <v>49224072.375288002</v>
      </c>
      <c r="N5" s="38">
        <v>46829301.624719001</v>
      </c>
      <c r="O5" s="34"/>
      <c r="P5" s="34"/>
      <c r="Q5" s="34"/>
      <c r="R5" s="34"/>
    </row>
    <row r="6" spans="1:97" x14ac:dyDescent="0.25">
      <c r="A6" s="49" t="s">
        <v>30</v>
      </c>
      <c r="B6" s="49" t="s">
        <v>67</v>
      </c>
      <c r="C6" s="38">
        <v>10530108.800000003</v>
      </c>
      <c r="D6" s="38">
        <v>12828493</v>
      </c>
      <c r="E6" s="38">
        <v>13500337</v>
      </c>
      <c r="F6" s="38">
        <v>13412711</v>
      </c>
      <c r="G6" s="38">
        <v>13030212</v>
      </c>
      <c r="H6" s="38">
        <v>13108443</v>
      </c>
      <c r="I6" s="38">
        <v>12589843</v>
      </c>
      <c r="J6" s="38">
        <v>12866188</v>
      </c>
      <c r="K6" s="38">
        <v>13359963.803999998</v>
      </c>
      <c r="L6" s="38">
        <v>13109624.082295986</v>
      </c>
      <c r="M6" s="38">
        <v>11654573.903348012</v>
      </c>
      <c r="N6" s="38">
        <v>12426663.323709674</v>
      </c>
      <c r="O6" s="34"/>
      <c r="P6" s="34"/>
      <c r="Q6" s="34"/>
      <c r="R6" s="34"/>
    </row>
    <row r="7" spans="1:97" x14ac:dyDescent="0.25">
      <c r="A7" s="49" t="s">
        <v>39</v>
      </c>
      <c r="B7" s="49" t="s">
        <v>67</v>
      </c>
      <c r="C7" s="38">
        <v>81500000</v>
      </c>
      <c r="D7" s="38">
        <v>83000000</v>
      </c>
      <c r="E7" s="38">
        <v>82500000</v>
      </c>
      <c r="F7" s="38">
        <v>81100000</v>
      </c>
      <c r="G7" s="38">
        <v>80600000</v>
      </c>
      <c r="H7" s="38">
        <v>79800000</v>
      </c>
      <c r="I7" s="38">
        <v>76600000</v>
      </c>
      <c r="J7" s="38">
        <v>71100000</v>
      </c>
      <c r="K7" s="38">
        <v>67800000.346065998</v>
      </c>
      <c r="L7" s="38">
        <v>74400000</v>
      </c>
      <c r="M7" s="38">
        <v>72200000</v>
      </c>
      <c r="N7" s="38">
        <v>75000000</v>
      </c>
      <c r="O7" s="34"/>
      <c r="P7" s="34"/>
      <c r="Q7" s="34"/>
      <c r="R7" s="34"/>
    </row>
    <row r="8" spans="1:9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97" ht="45" x14ac:dyDescent="0.25">
      <c r="A9" s="53" t="s">
        <v>46</v>
      </c>
      <c r="B9" s="34" t="s">
        <v>70</v>
      </c>
      <c r="C9" s="20">
        <v>2006</v>
      </c>
      <c r="D9" s="20">
        <v>2007</v>
      </c>
      <c r="E9" s="20">
        <v>2008</v>
      </c>
      <c r="F9" s="20">
        <v>2009</v>
      </c>
      <c r="G9" s="20">
        <v>2010</v>
      </c>
      <c r="H9" s="20">
        <v>2011</v>
      </c>
      <c r="I9" s="20">
        <v>2012</v>
      </c>
      <c r="J9" s="20">
        <v>2013</v>
      </c>
      <c r="K9" s="20">
        <v>2014</v>
      </c>
      <c r="L9" s="20">
        <v>2015</v>
      </c>
      <c r="M9" s="20">
        <v>2016</v>
      </c>
      <c r="N9" s="20">
        <v>2017</v>
      </c>
      <c r="O9" s="34"/>
      <c r="P9" s="34"/>
      <c r="Q9" s="34"/>
      <c r="R9" s="34"/>
    </row>
    <row r="10" spans="1:97" x14ac:dyDescent="0.25">
      <c r="A10" s="49" t="s">
        <v>38</v>
      </c>
      <c r="B10" s="49" t="s">
        <v>69</v>
      </c>
      <c r="C10" s="38">
        <v>3978.391944861738</v>
      </c>
      <c r="D10" s="38">
        <v>3976.363032332024</v>
      </c>
      <c r="E10" s="38">
        <v>4222.7950166755372</v>
      </c>
      <c r="F10" s="38">
        <v>4265.2719150267712</v>
      </c>
      <c r="G10" s="38">
        <v>4285.2901718002513</v>
      </c>
      <c r="H10" s="38">
        <v>4376.4504351791684</v>
      </c>
      <c r="I10" s="38">
        <v>4229.0017065495522</v>
      </c>
      <c r="J10" s="38">
        <v>4403.3212738811562</v>
      </c>
      <c r="K10" s="38">
        <v>3429.53</v>
      </c>
      <c r="L10" s="38">
        <v>3175.3143963269999</v>
      </c>
      <c r="M10" s="38">
        <v>3271.5960879999998</v>
      </c>
      <c r="N10" s="38">
        <v>3447.559915454</v>
      </c>
      <c r="O10" s="34"/>
      <c r="P10" s="60"/>
      <c r="Q10" s="34"/>
      <c r="R10" s="34"/>
    </row>
    <row r="11" spans="1:97" x14ac:dyDescent="0.25">
      <c r="A11" s="49" t="s">
        <v>21</v>
      </c>
      <c r="B11" s="49" t="s">
        <v>69</v>
      </c>
      <c r="C11" s="38">
        <v>11030.569023</v>
      </c>
      <c r="D11" s="38">
        <v>11737.383156999998</v>
      </c>
      <c r="E11" s="38">
        <v>11612.320067000001</v>
      </c>
      <c r="F11" s="38">
        <v>12068.720476999999</v>
      </c>
      <c r="G11" s="38">
        <v>12247.404947000005</v>
      </c>
      <c r="H11" s="38">
        <v>11937.636665000005</v>
      </c>
      <c r="I11" s="38">
        <v>11674.654921999996</v>
      </c>
      <c r="J11" s="38">
        <v>11664.853734000002</v>
      </c>
      <c r="K11" s="38">
        <v>11512.211092999996</v>
      </c>
      <c r="L11" s="38">
        <v>11832.312</v>
      </c>
      <c r="M11" s="38">
        <v>11995.302618000009</v>
      </c>
      <c r="N11" s="38">
        <v>12388.952756999994</v>
      </c>
      <c r="O11" s="34"/>
      <c r="P11" s="34"/>
      <c r="Q11" s="34"/>
      <c r="R11" s="34"/>
    </row>
    <row r="12" spans="1:97" x14ac:dyDescent="0.25">
      <c r="A12" s="49" t="s">
        <v>36</v>
      </c>
      <c r="B12" s="49" t="s">
        <v>69</v>
      </c>
      <c r="C12" s="38">
        <v>8046.7944919762931</v>
      </c>
      <c r="D12" s="38">
        <v>9518.2214075162174</v>
      </c>
      <c r="E12" s="38">
        <v>9821.7744475221989</v>
      </c>
      <c r="F12" s="38">
        <v>10238.839151920494</v>
      </c>
      <c r="G12" s="38">
        <v>9875.383784927044</v>
      </c>
      <c r="H12" s="38">
        <v>9612.8305056523277</v>
      </c>
      <c r="I12" s="38">
        <v>8932.6058819697173</v>
      </c>
      <c r="J12" s="38">
        <v>9569.9413842771264</v>
      </c>
      <c r="K12" s="38">
        <v>10258.200000000001</v>
      </c>
      <c r="L12" s="38">
        <v>9098.1233667172328</v>
      </c>
      <c r="M12" s="38">
        <v>9677.5927963400009</v>
      </c>
      <c r="N12" s="38">
        <v>9641.5859999999993</v>
      </c>
      <c r="O12" s="34"/>
      <c r="P12" s="34"/>
      <c r="Q12" s="34"/>
      <c r="R12" s="34"/>
    </row>
    <row r="13" spans="1:97" x14ac:dyDescent="0.25">
      <c r="A13" s="49" t="s">
        <v>30</v>
      </c>
      <c r="B13" s="49" t="s">
        <v>69</v>
      </c>
      <c r="C13" s="38">
        <v>2684.2440000000001</v>
      </c>
      <c r="D13" s="38">
        <v>2690.61</v>
      </c>
      <c r="E13" s="38">
        <v>2624.2620000000002</v>
      </c>
      <c r="F13" s="38">
        <v>2656.152</v>
      </c>
      <c r="G13" s="38">
        <v>2634.4740000000002</v>
      </c>
      <c r="H13" s="38">
        <v>2597.712</v>
      </c>
      <c r="I13" s="38">
        <v>2589.395</v>
      </c>
      <c r="J13" s="38">
        <v>2544.7469999999998</v>
      </c>
      <c r="K13" s="38">
        <v>2509</v>
      </c>
      <c r="L13" s="38">
        <v>2504.8915876265355</v>
      </c>
      <c r="M13" s="38">
        <v>2519.5</v>
      </c>
      <c r="N13" s="38">
        <v>2523.6453817803717</v>
      </c>
      <c r="O13" s="34"/>
      <c r="P13" s="34"/>
      <c r="Q13" s="34"/>
      <c r="R13" s="34"/>
    </row>
    <row r="14" spans="1:97" x14ac:dyDescent="0.25">
      <c r="A14" s="49" t="s">
        <v>39</v>
      </c>
      <c r="B14" s="49" t="s">
        <v>69</v>
      </c>
      <c r="C14" s="38">
        <v>18200</v>
      </c>
      <c r="D14" s="38">
        <v>18600</v>
      </c>
      <c r="E14" s="38">
        <v>18600</v>
      </c>
      <c r="F14" s="38">
        <v>18700</v>
      </c>
      <c r="G14" s="38">
        <v>18900</v>
      </c>
      <c r="H14" s="38">
        <v>19400</v>
      </c>
      <c r="I14" s="38">
        <v>18000</v>
      </c>
      <c r="J14" s="38">
        <v>17400</v>
      </c>
      <c r="K14" s="38">
        <v>17000</v>
      </c>
      <c r="L14" s="38">
        <v>16500</v>
      </c>
      <c r="M14" s="38">
        <v>18000</v>
      </c>
      <c r="N14" s="38">
        <v>18700</v>
      </c>
      <c r="O14" s="34"/>
      <c r="P14" s="34"/>
      <c r="Q14" s="34"/>
      <c r="R14" s="34"/>
    </row>
    <row r="15" spans="1:97" x14ac:dyDescent="0.25">
      <c r="A15" s="34"/>
      <c r="B15" s="34"/>
      <c r="C15" s="34"/>
      <c r="D15" s="47">
        <f>(D10-C10)/C10</f>
        <v>-5.0998306799169473E-4</v>
      </c>
      <c r="E15" s="47">
        <f t="shared" ref="E15:N15" si="0">(E10-D10)/D10</f>
        <v>6.197421672512328E-2</v>
      </c>
      <c r="F15" s="47">
        <f t="shared" si="0"/>
        <v>1.0058953414384444E-2</v>
      </c>
      <c r="G15" s="47">
        <f t="shared" si="0"/>
        <v>4.6933131514909328E-3</v>
      </c>
      <c r="H15" s="47">
        <f t="shared" si="0"/>
        <v>2.1272833279483764E-2</v>
      </c>
      <c r="I15" s="47">
        <f t="shared" si="0"/>
        <v>-3.3691396901100693E-2</v>
      </c>
      <c r="J15" s="47">
        <f t="shared" si="0"/>
        <v>4.1220027663179074E-2</v>
      </c>
      <c r="K15" s="47">
        <f t="shared" si="0"/>
        <v>-0.2211492674080629</v>
      </c>
      <c r="L15" s="47">
        <f t="shared" si="0"/>
        <v>-7.4125493485404773E-2</v>
      </c>
      <c r="M15" s="47">
        <f t="shared" si="0"/>
        <v>3.0321939705993312E-2</v>
      </c>
      <c r="N15" s="47">
        <f t="shared" si="0"/>
        <v>5.3785315399851479E-2</v>
      </c>
      <c r="O15" s="34"/>
      <c r="P15" s="34"/>
      <c r="Q15" s="34"/>
      <c r="R15" s="34"/>
    </row>
    <row r="16" spans="1:97" x14ac:dyDescent="0.25">
      <c r="A16" s="35" t="s">
        <v>47</v>
      </c>
      <c r="B16" s="35"/>
      <c r="C16" s="20">
        <v>2006</v>
      </c>
      <c r="D16" s="20">
        <v>2007</v>
      </c>
      <c r="E16" s="20">
        <v>2008</v>
      </c>
      <c r="F16" s="20">
        <v>2009</v>
      </c>
      <c r="G16" s="20">
        <v>2010</v>
      </c>
      <c r="H16" s="20">
        <v>2011</v>
      </c>
      <c r="I16" s="20">
        <v>2012</v>
      </c>
      <c r="J16" s="20">
        <v>2013</v>
      </c>
      <c r="K16" s="20">
        <v>2014</v>
      </c>
      <c r="L16" s="20">
        <v>2015</v>
      </c>
      <c r="M16" s="20">
        <v>2016</v>
      </c>
      <c r="N16" s="20">
        <v>2017</v>
      </c>
      <c r="O16" s="34"/>
      <c r="P16" s="34"/>
      <c r="Q16" s="34"/>
      <c r="R16" s="34"/>
    </row>
    <row r="17" spans="1:40" x14ac:dyDescent="0.25">
      <c r="A17" s="49" t="s">
        <v>38</v>
      </c>
      <c r="B17" s="49" t="s">
        <v>71</v>
      </c>
      <c r="C17" s="37">
        <v>5875.1</v>
      </c>
      <c r="D17" s="37">
        <v>5974.1</v>
      </c>
      <c r="E17" s="37">
        <v>6007.1</v>
      </c>
      <c r="F17" s="37">
        <v>6546.1</v>
      </c>
      <c r="G17" s="37">
        <v>6953.1</v>
      </c>
      <c r="H17" s="37">
        <v>7052.1</v>
      </c>
      <c r="I17" s="37">
        <v>7129.1</v>
      </c>
      <c r="J17" s="37">
        <v>7129.1</v>
      </c>
      <c r="K17" s="37">
        <v>7195.1</v>
      </c>
      <c r="L17" s="37">
        <v>7470.1</v>
      </c>
      <c r="M17" s="37">
        <v>7470.1</v>
      </c>
      <c r="N17" s="37"/>
      <c r="O17" s="34"/>
      <c r="P17" s="60"/>
      <c r="Q17" s="60"/>
      <c r="R17" s="6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x14ac:dyDescent="0.25">
      <c r="A18" s="49" t="s">
        <v>21</v>
      </c>
      <c r="B18" s="49" t="s">
        <v>71</v>
      </c>
      <c r="C18" s="37">
        <v>12468.5</v>
      </c>
      <c r="D18" s="37">
        <v>12694</v>
      </c>
      <c r="E18" s="37">
        <v>13117.5</v>
      </c>
      <c r="F18" s="37">
        <v>13898.5</v>
      </c>
      <c r="G18" s="37">
        <v>14580.5</v>
      </c>
      <c r="H18" s="37">
        <v>15009.5</v>
      </c>
      <c r="I18" s="37">
        <v>15356</v>
      </c>
      <c r="J18" s="37">
        <v>16214</v>
      </c>
      <c r="K18" s="37">
        <v>17050</v>
      </c>
      <c r="L18" s="37">
        <v>17160</v>
      </c>
      <c r="M18" s="37">
        <v>17407.5</v>
      </c>
      <c r="N18" s="37"/>
      <c r="O18" s="34"/>
      <c r="P18" s="34"/>
      <c r="Q18" s="34"/>
      <c r="R18" s="34"/>
    </row>
    <row r="19" spans="1:40" x14ac:dyDescent="0.25">
      <c r="A19" s="49" t="s">
        <v>36</v>
      </c>
      <c r="B19" s="49" t="s">
        <v>71</v>
      </c>
      <c r="C19" s="37">
        <v>7330</v>
      </c>
      <c r="D19" s="37">
        <v>7264</v>
      </c>
      <c r="E19" s="37">
        <v>7544</v>
      </c>
      <c r="F19" s="37">
        <v>8336</v>
      </c>
      <c r="G19" s="37">
        <v>8402</v>
      </c>
      <c r="H19" s="37">
        <v>8424</v>
      </c>
      <c r="I19" s="37">
        <v>9144</v>
      </c>
      <c r="J19" s="37">
        <v>10210</v>
      </c>
      <c r="K19" s="37">
        <v>10260</v>
      </c>
      <c r="L19" s="37">
        <v>9320</v>
      </c>
      <c r="M19" s="37">
        <v>9320</v>
      </c>
      <c r="N19" s="37"/>
      <c r="O19" s="34"/>
      <c r="P19" s="34"/>
      <c r="Q19" s="34"/>
      <c r="R19" s="34"/>
    </row>
    <row r="20" spans="1:40" x14ac:dyDescent="0.25">
      <c r="A20" s="49" t="s">
        <v>30</v>
      </c>
      <c r="B20" s="49" t="s">
        <v>71</v>
      </c>
      <c r="C20" s="37">
        <v>5893.8</v>
      </c>
      <c r="D20" s="37">
        <v>5882.8</v>
      </c>
      <c r="E20" s="37">
        <v>5860.8</v>
      </c>
      <c r="F20" s="37">
        <v>5970.8</v>
      </c>
      <c r="G20" s="37">
        <v>5860.8</v>
      </c>
      <c r="H20" s="37">
        <v>5893.8</v>
      </c>
      <c r="I20" s="37">
        <v>5948.8</v>
      </c>
      <c r="J20" s="37">
        <v>6058.8</v>
      </c>
      <c r="K20" s="37">
        <v>6058.8</v>
      </c>
      <c r="L20" s="37">
        <v>6058.8</v>
      </c>
      <c r="M20" s="37">
        <v>6058.8</v>
      </c>
      <c r="N20" s="37"/>
      <c r="O20" s="34"/>
      <c r="P20" s="34"/>
      <c r="Q20" s="34"/>
      <c r="R20" s="34"/>
    </row>
    <row r="21" spans="1:40" x14ac:dyDescent="0.25">
      <c r="A21" s="49" t="s">
        <v>39</v>
      </c>
      <c r="B21" s="49" t="s">
        <v>71</v>
      </c>
      <c r="C21" s="37">
        <v>14481</v>
      </c>
      <c r="D21" s="37">
        <v>14481</v>
      </c>
      <c r="E21" s="37">
        <v>15108</v>
      </c>
      <c r="F21" s="37">
        <v>15883.5</v>
      </c>
      <c r="G21" s="37">
        <v>16348</v>
      </c>
      <c r="H21" s="37">
        <v>16895</v>
      </c>
      <c r="I21" s="37">
        <v>17192</v>
      </c>
      <c r="J21" s="37">
        <v>17456</v>
      </c>
      <c r="K21" s="37">
        <v>17621</v>
      </c>
      <c r="L21" s="37">
        <v>17720</v>
      </c>
      <c r="M21" s="37">
        <v>18182</v>
      </c>
      <c r="N21" s="37"/>
      <c r="O21" s="34"/>
      <c r="P21" s="34"/>
      <c r="Q21" s="34"/>
      <c r="R21" s="34"/>
    </row>
    <row r="22" spans="1:40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40" ht="30" x14ac:dyDescent="0.25">
      <c r="A23" s="35" t="s">
        <v>40</v>
      </c>
      <c r="B23" s="35"/>
      <c r="C23" s="53" t="s">
        <v>37</v>
      </c>
      <c r="D23" s="53" t="s">
        <v>22</v>
      </c>
      <c r="E23" s="53" t="s">
        <v>19</v>
      </c>
      <c r="F23" s="5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40" s="18" customFormat="1" x14ac:dyDescent="0.25">
      <c r="A24" s="35"/>
      <c r="B24" s="35"/>
      <c r="C24" s="53" t="str">
        <f>$B$32</f>
        <v>km</v>
      </c>
      <c r="D24" s="53" t="str">
        <f>$B$3</f>
        <v>MWh</v>
      </c>
      <c r="E24" s="53" t="str">
        <f>$B$10</f>
        <v>MVA</v>
      </c>
      <c r="F24" s="5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40" x14ac:dyDescent="0.25">
      <c r="A25" s="49" t="s">
        <v>38</v>
      </c>
      <c r="B25" s="49"/>
      <c r="C25" s="38">
        <f>ROUND(AVERAGE(J32:N32),0)</f>
        <v>5524</v>
      </c>
      <c r="D25" s="38">
        <f>ROUND(AVERAGE(J3:N3),0)</f>
        <v>14093785</v>
      </c>
      <c r="E25" s="38">
        <f>ROUND(AVERAGE(J10:N10),0)</f>
        <v>3545</v>
      </c>
      <c r="F25" s="38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40" x14ac:dyDescent="0.25">
      <c r="A26" s="49" t="s">
        <v>21</v>
      </c>
      <c r="B26" s="49"/>
      <c r="C26" s="38">
        <f t="shared" ref="C26:C29" si="1">ROUND(AVERAGE(J33:N33),0)</f>
        <v>14626</v>
      </c>
      <c r="D26" s="38">
        <f t="shared" ref="D26:D29" si="2">ROUND(AVERAGE(J4:N4),0)</f>
        <v>51432154</v>
      </c>
      <c r="E26" s="38">
        <f t="shared" ref="E26:E29" si="3">ROUND(AVERAGE(J11:N11),0)</f>
        <v>11879</v>
      </c>
      <c r="F26" s="38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40" x14ac:dyDescent="0.25">
      <c r="A27" s="49" t="s">
        <v>36</v>
      </c>
      <c r="B27" s="49"/>
      <c r="C27" s="38">
        <f t="shared" si="1"/>
        <v>6568</v>
      </c>
      <c r="D27" s="38">
        <f t="shared" si="2"/>
        <v>48165164</v>
      </c>
      <c r="E27" s="38">
        <f t="shared" si="3"/>
        <v>9649</v>
      </c>
      <c r="F27" s="38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40" x14ac:dyDescent="0.25">
      <c r="A28" s="49" t="s">
        <v>30</v>
      </c>
      <c r="B28" s="49"/>
      <c r="C28" s="38">
        <f t="shared" si="1"/>
        <v>3540</v>
      </c>
      <c r="D28" s="38">
        <f t="shared" si="2"/>
        <v>12683403</v>
      </c>
      <c r="E28" s="38">
        <f t="shared" si="3"/>
        <v>2520</v>
      </c>
      <c r="F28" s="38"/>
      <c r="G28" s="34"/>
      <c r="H28" s="34"/>
      <c r="I28" s="34"/>
      <c r="J28" s="34"/>
      <c r="K28" s="34"/>
      <c r="L28" s="34" t="s">
        <v>41</v>
      </c>
      <c r="M28" s="34"/>
      <c r="N28" s="34"/>
      <c r="O28" s="34"/>
      <c r="P28" s="34"/>
      <c r="Q28" s="34"/>
      <c r="R28" s="34"/>
    </row>
    <row r="29" spans="1:40" x14ac:dyDescent="0.25">
      <c r="A29" s="49" t="s">
        <v>39</v>
      </c>
      <c r="B29" s="49"/>
      <c r="C29" s="38">
        <f t="shared" si="1"/>
        <v>12993</v>
      </c>
      <c r="D29" s="38">
        <f t="shared" si="2"/>
        <v>72100000</v>
      </c>
      <c r="E29" s="38">
        <f t="shared" si="3"/>
        <v>17520</v>
      </c>
      <c r="F29" s="38"/>
      <c r="G29" s="34"/>
      <c r="H29" s="34"/>
      <c r="I29" s="34"/>
      <c r="J29" s="34"/>
      <c r="K29" s="34"/>
      <c r="L29" s="34" t="s">
        <v>42</v>
      </c>
      <c r="M29" s="34"/>
      <c r="N29" s="34"/>
      <c r="O29" s="34"/>
      <c r="P29" s="34"/>
      <c r="Q29" s="34"/>
      <c r="R29" s="34"/>
    </row>
    <row r="30" spans="1:40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40" s="18" customFormat="1" x14ac:dyDescent="0.25">
      <c r="A31" s="35" t="s">
        <v>48</v>
      </c>
      <c r="B31" s="36" t="s">
        <v>73</v>
      </c>
      <c r="C31" s="20">
        <v>2006</v>
      </c>
      <c r="D31" s="20">
        <v>2007</v>
      </c>
      <c r="E31" s="20">
        <v>2008</v>
      </c>
      <c r="F31" s="20">
        <v>2009</v>
      </c>
      <c r="G31" s="20">
        <v>2010</v>
      </c>
      <c r="H31" s="20">
        <v>2011</v>
      </c>
      <c r="I31" s="20">
        <v>2012</v>
      </c>
      <c r="J31" s="20">
        <v>2013</v>
      </c>
      <c r="K31" s="20">
        <v>2014</v>
      </c>
      <c r="L31" s="20">
        <v>2015</v>
      </c>
      <c r="M31" s="20">
        <v>2016</v>
      </c>
      <c r="N31" s="20">
        <v>2017</v>
      </c>
      <c r="O31" s="34"/>
      <c r="P31" s="34"/>
      <c r="Q31" s="34"/>
      <c r="R31" s="34"/>
    </row>
    <row r="32" spans="1:40" x14ac:dyDescent="0.25">
      <c r="A32" s="49" t="s">
        <v>38</v>
      </c>
      <c r="B32" s="49" t="s">
        <v>72</v>
      </c>
      <c r="C32" s="38">
        <v>5600.5389999999998</v>
      </c>
      <c r="D32" s="38">
        <v>5518.6689999999999</v>
      </c>
      <c r="E32" s="38">
        <v>5518.6689999999999</v>
      </c>
      <c r="F32" s="38">
        <v>5503.6689999999999</v>
      </c>
      <c r="G32" s="38">
        <v>5501.6689999999999</v>
      </c>
      <c r="H32" s="38">
        <v>5504.6689999999999</v>
      </c>
      <c r="I32" s="38">
        <v>5526.0690000000004</v>
      </c>
      <c r="J32" s="38">
        <v>5527.3490000000002</v>
      </c>
      <c r="K32" s="38">
        <v>5529.4030540000012</v>
      </c>
      <c r="L32" s="38">
        <v>5521.3490000000002</v>
      </c>
      <c r="M32" s="38">
        <v>5524.3490000000002</v>
      </c>
      <c r="N32" s="38">
        <v>5519.5689999999995</v>
      </c>
      <c r="O32" s="34"/>
      <c r="P32" s="34"/>
      <c r="Q32" s="34"/>
      <c r="R32" s="34"/>
      <c r="AM32" s="21"/>
    </row>
    <row r="33" spans="1:18" x14ac:dyDescent="0.25">
      <c r="A33" s="49" t="s">
        <v>21</v>
      </c>
      <c r="B33" s="49" t="s">
        <v>72</v>
      </c>
      <c r="C33" s="38">
        <v>11700.8</v>
      </c>
      <c r="D33" s="38">
        <v>11892.8</v>
      </c>
      <c r="E33" s="38">
        <v>12428.8</v>
      </c>
      <c r="F33" s="38">
        <v>12865.1</v>
      </c>
      <c r="G33" s="38">
        <v>13321.1</v>
      </c>
      <c r="H33" s="38">
        <v>13738.4</v>
      </c>
      <c r="I33" s="38">
        <v>13702.4</v>
      </c>
      <c r="J33" s="38">
        <v>14313.5</v>
      </c>
      <c r="K33" s="38">
        <v>14772.5</v>
      </c>
      <c r="L33" s="38">
        <v>14754.5</v>
      </c>
      <c r="M33" s="38">
        <v>14755.5</v>
      </c>
      <c r="N33" s="38">
        <v>14532.5</v>
      </c>
      <c r="O33" s="34"/>
      <c r="P33" s="34"/>
      <c r="Q33" s="34"/>
      <c r="R33" s="34"/>
    </row>
    <row r="34" spans="1:18" x14ac:dyDescent="0.25">
      <c r="A34" s="49" t="s">
        <v>36</v>
      </c>
      <c r="B34" s="49" t="s">
        <v>72</v>
      </c>
      <c r="C34" s="38">
        <v>6573</v>
      </c>
      <c r="D34" s="38">
        <v>6573</v>
      </c>
      <c r="E34" s="38">
        <v>6573</v>
      </c>
      <c r="F34" s="38">
        <v>6573</v>
      </c>
      <c r="G34" s="38">
        <v>6573</v>
      </c>
      <c r="H34" s="38">
        <v>6573</v>
      </c>
      <c r="I34" s="38">
        <v>6573</v>
      </c>
      <c r="J34" s="38">
        <v>6573</v>
      </c>
      <c r="K34" s="38">
        <v>6573</v>
      </c>
      <c r="L34" s="38">
        <v>6573.2</v>
      </c>
      <c r="M34" s="38">
        <v>6558.8447567553731</v>
      </c>
      <c r="N34" s="38">
        <v>6559.9720813333324</v>
      </c>
      <c r="O34" s="34"/>
      <c r="P34" s="34"/>
      <c r="Q34" s="34"/>
      <c r="R34" s="34"/>
    </row>
    <row r="35" spans="1:18" x14ac:dyDescent="0.25">
      <c r="A35" s="49" t="s">
        <v>30</v>
      </c>
      <c r="B35" s="49" t="s">
        <v>72</v>
      </c>
      <c r="C35" s="38">
        <v>3581.3</v>
      </c>
      <c r="D35" s="38">
        <v>3622.3</v>
      </c>
      <c r="E35" s="38">
        <v>3622.3</v>
      </c>
      <c r="F35" s="38">
        <v>3520.3</v>
      </c>
      <c r="G35" s="38">
        <v>3481.3</v>
      </c>
      <c r="H35" s="38">
        <v>3493.3</v>
      </c>
      <c r="I35" s="38">
        <v>3493.3</v>
      </c>
      <c r="J35" s="38">
        <v>3503.19</v>
      </c>
      <c r="K35" s="38">
        <v>3503.8</v>
      </c>
      <c r="L35" s="38">
        <v>3563.7000000000003</v>
      </c>
      <c r="M35" s="38">
        <v>3563.7000000000003</v>
      </c>
      <c r="N35" s="38">
        <v>3563.7</v>
      </c>
      <c r="O35" s="34"/>
      <c r="P35" s="34"/>
      <c r="Q35" s="34"/>
      <c r="R35" s="34"/>
    </row>
    <row r="36" spans="1:18" x14ac:dyDescent="0.25">
      <c r="A36" s="49" t="s">
        <v>39</v>
      </c>
      <c r="B36" s="49" t="s">
        <v>72</v>
      </c>
      <c r="C36" s="38">
        <v>12517.231000000002</v>
      </c>
      <c r="D36" s="38">
        <v>12526.494000000004</v>
      </c>
      <c r="E36" s="38">
        <v>12523.514000000005</v>
      </c>
      <c r="F36" s="38">
        <v>12523.349000000004</v>
      </c>
      <c r="G36" s="38">
        <v>12682.458999999999</v>
      </c>
      <c r="H36" s="38">
        <v>12681.863000000001</v>
      </c>
      <c r="I36" s="38">
        <v>12697.207</v>
      </c>
      <c r="J36" s="38">
        <v>12893.617000000002</v>
      </c>
      <c r="K36" s="38">
        <v>12929.666000000003</v>
      </c>
      <c r="L36" s="38">
        <v>13024.7646976</v>
      </c>
      <c r="M36" s="38">
        <v>13039.195</v>
      </c>
      <c r="N36" s="38">
        <v>13078.1133974</v>
      </c>
      <c r="O36" s="34"/>
      <c r="P36" s="34"/>
      <c r="Q36" s="34"/>
      <c r="R36" s="34"/>
    </row>
    <row r="37" spans="1:18" s="18" customFormat="1" x14ac:dyDescent="0.25">
      <c r="A37" s="24"/>
      <c r="B37" s="24"/>
      <c r="C37" s="57"/>
      <c r="D37" s="57"/>
      <c r="E37" s="57"/>
      <c r="F37" s="57"/>
      <c r="G37" s="57"/>
      <c r="H37" s="57"/>
      <c r="I37" s="57"/>
      <c r="J37" s="57"/>
      <c r="K37" s="57"/>
      <c r="L37" s="34"/>
      <c r="M37" s="34"/>
      <c r="N37" s="34"/>
      <c r="O37" s="34"/>
      <c r="P37" s="34"/>
      <c r="Q37" s="34"/>
      <c r="R37" s="34"/>
    </row>
    <row r="38" spans="1:18" x14ac:dyDescent="0.25">
      <c r="A38" s="35" t="s">
        <v>49</v>
      </c>
      <c r="B38" s="35"/>
      <c r="C38" s="20">
        <v>2006</v>
      </c>
      <c r="D38" s="20">
        <v>2007</v>
      </c>
      <c r="E38" s="20">
        <v>2008</v>
      </c>
      <c r="F38" s="20">
        <v>2009</v>
      </c>
      <c r="G38" s="20">
        <v>2010</v>
      </c>
      <c r="H38" s="20">
        <v>2011</v>
      </c>
      <c r="I38" s="20">
        <v>2012</v>
      </c>
      <c r="J38" s="20">
        <v>2013</v>
      </c>
      <c r="K38" s="20">
        <v>2014</v>
      </c>
      <c r="L38" s="20">
        <v>2015</v>
      </c>
      <c r="M38" s="20">
        <v>2016</v>
      </c>
      <c r="N38" s="20">
        <v>2017</v>
      </c>
      <c r="O38" s="20" t="s">
        <v>102</v>
      </c>
      <c r="P38" s="34"/>
      <c r="Q38" s="34"/>
      <c r="R38" s="34"/>
    </row>
    <row r="39" spans="1:18" x14ac:dyDescent="0.25">
      <c r="A39" s="49" t="s">
        <v>38</v>
      </c>
      <c r="B39" s="49" t="s">
        <v>74</v>
      </c>
      <c r="C39" s="61">
        <f>C47/C32</f>
        <v>139.06500785013728</v>
      </c>
      <c r="D39" s="61">
        <f t="shared" ref="D39:N39" si="4">D47/D32</f>
        <v>141.23441721183133</v>
      </c>
      <c r="E39" s="61">
        <f t="shared" si="4"/>
        <v>141.53956325338592</v>
      </c>
      <c r="F39" s="61">
        <f t="shared" si="4"/>
        <v>147.98618884965649</v>
      </c>
      <c r="G39" s="61">
        <f t="shared" si="4"/>
        <v>150.31147820779478</v>
      </c>
      <c r="H39" s="61">
        <f t="shared" si="4"/>
        <v>151.88106678167208</v>
      </c>
      <c r="I39" s="61">
        <f t="shared" si="4"/>
        <v>152.75831698807957</v>
      </c>
      <c r="J39" s="61">
        <f t="shared" si="4"/>
        <v>153.37660060908041</v>
      </c>
      <c r="K39" s="61">
        <f t="shared" si="4"/>
        <v>154.04312032992917</v>
      </c>
      <c r="L39" s="61">
        <f t="shared" si="4"/>
        <v>154.6612974474173</v>
      </c>
      <c r="M39" s="61">
        <f t="shared" si="4"/>
        <v>155.42944517082464</v>
      </c>
      <c r="N39" s="61">
        <f t="shared" si="4"/>
        <v>159.12465266762678</v>
      </c>
      <c r="O39" s="61">
        <f>AVERAGE(J39:N39)</f>
        <v>155.32702324497569</v>
      </c>
      <c r="P39" s="34"/>
      <c r="Q39" s="34"/>
      <c r="R39" s="34"/>
    </row>
    <row r="40" spans="1:18" x14ac:dyDescent="0.25">
      <c r="A40" s="49" t="s">
        <v>21</v>
      </c>
      <c r="B40" s="49" t="s">
        <v>74</v>
      </c>
      <c r="C40" s="61">
        <f t="shared" ref="C40:N40" si="5">C48/C33</f>
        <v>156.92889053577127</v>
      </c>
      <c r="D40" s="61">
        <f t="shared" si="5"/>
        <v>157.34091018655548</v>
      </c>
      <c r="E40" s="61">
        <f t="shared" si="5"/>
        <v>153.79537391649504</v>
      </c>
      <c r="F40" s="61">
        <f t="shared" si="5"/>
        <v>151.62351503939598</v>
      </c>
      <c r="G40" s="61">
        <f t="shared" si="5"/>
        <v>148.97525980086729</v>
      </c>
      <c r="H40" s="61">
        <f t="shared" si="5"/>
        <v>146.70722209282013</v>
      </c>
      <c r="I40" s="61">
        <f t="shared" si="5"/>
        <v>149.10734615833724</v>
      </c>
      <c r="J40" s="61">
        <f t="shared" si="5"/>
        <v>144.62867223250777</v>
      </c>
      <c r="K40" s="61">
        <f t="shared" si="5"/>
        <v>142.04860382467422</v>
      </c>
      <c r="L40" s="61">
        <f t="shared" si="5"/>
        <v>144.05649123996068</v>
      </c>
      <c r="M40" s="61">
        <f t="shared" si="5"/>
        <v>146.44542712886721</v>
      </c>
      <c r="N40" s="61">
        <f t="shared" si="5"/>
        <v>150.95461895750904</v>
      </c>
      <c r="O40" s="61">
        <f t="shared" ref="O40:O43" si="6">AVERAGE(J40:N40)</f>
        <v>145.62676267670378</v>
      </c>
      <c r="P40" s="34"/>
      <c r="Q40" s="34"/>
      <c r="R40" s="34"/>
    </row>
    <row r="41" spans="1:18" x14ac:dyDescent="0.25">
      <c r="A41" s="49" t="s">
        <v>36</v>
      </c>
      <c r="B41" s="49" t="s">
        <v>74</v>
      </c>
      <c r="C41" s="61">
        <f t="shared" ref="C41:N41" si="7">C49/C34</f>
        <v>375.81766552187315</v>
      </c>
      <c r="D41" s="61">
        <f t="shared" si="7"/>
        <v>381.82365499478556</v>
      </c>
      <c r="E41" s="61">
        <f t="shared" si="7"/>
        <v>387.30902721270365</v>
      </c>
      <c r="F41" s="61">
        <f t="shared" si="7"/>
        <v>392.35752717249187</v>
      </c>
      <c r="G41" s="61">
        <f t="shared" si="7"/>
        <v>397.76512389576959</v>
      </c>
      <c r="H41" s="61">
        <f t="shared" si="7"/>
        <v>403.90292398193304</v>
      </c>
      <c r="I41" s="61">
        <f t="shared" si="7"/>
        <v>410.1399262896137</v>
      </c>
      <c r="J41" s="61">
        <f t="shared" si="7"/>
        <v>415.83663967225237</v>
      </c>
      <c r="K41" s="61">
        <f t="shared" si="7"/>
        <v>418.87021007272483</v>
      </c>
      <c r="L41" s="61">
        <f t="shared" si="7"/>
        <v>425.58543532378758</v>
      </c>
      <c r="M41" s="61">
        <f t="shared" si="7"/>
        <v>433.85521468077837</v>
      </c>
      <c r="N41" s="61">
        <f t="shared" si="7"/>
        <v>442.38602908964702</v>
      </c>
      <c r="O41" s="61">
        <f t="shared" si="6"/>
        <v>427.30670576783803</v>
      </c>
      <c r="P41" s="34"/>
      <c r="Q41" s="34"/>
      <c r="R41" s="34"/>
    </row>
    <row r="42" spans="1:18" x14ac:dyDescent="0.25">
      <c r="A42" s="49" t="s">
        <v>30</v>
      </c>
      <c r="B42" s="49" t="s">
        <v>74</v>
      </c>
      <c r="C42" s="61">
        <f t="shared" ref="C42:N42" si="8">C50/C35</f>
        <v>69.986464189347814</v>
      </c>
      <c r="D42" s="61">
        <f t="shared" si="8"/>
        <v>70.530984583485761</v>
      </c>
      <c r="E42" s="61">
        <f t="shared" si="8"/>
        <v>71.894724194917927</v>
      </c>
      <c r="F42" s="61">
        <f t="shared" si="8"/>
        <v>75.409519141901541</v>
      </c>
      <c r="G42" s="61">
        <f t="shared" si="8"/>
        <v>77.731313596032152</v>
      </c>
      <c r="H42" s="61">
        <f t="shared" si="8"/>
        <v>78.966020668136139</v>
      </c>
      <c r="I42" s="61">
        <f t="shared" si="8"/>
        <v>79.693126842813385</v>
      </c>
      <c r="J42" s="61">
        <f t="shared" si="8"/>
        <v>79.889472166796551</v>
      </c>
      <c r="K42" s="61">
        <f t="shared" si="8"/>
        <v>80.127290370454929</v>
      </c>
      <c r="L42" s="61">
        <f t="shared" si="8"/>
        <v>79.428403064230992</v>
      </c>
      <c r="M42" s="61">
        <f t="shared" si="8"/>
        <v>80.064259056598473</v>
      </c>
      <c r="N42" s="61">
        <f t="shared" si="8"/>
        <v>80.717091814686995</v>
      </c>
      <c r="O42" s="61">
        <f t="shared" si="6"/>
        <v>80.045303294553577</v>
      </c>
      <c r="P42" s="34"/>
      <c r="Q42" s="34"/>
      <c r="R42" s="34"/>
    </row>
    <row r="43" spans="1:18" x14ac:dyDescent="0.25">
      <c r="A43" s="49" t="s">
        <v>39</v>
      </c>
      <c r="B43" s="49" t="s">
        <v>74</v>
      </c>
      <c r="C43" s="61">
        <f t="shared" ref="C43:N43" si="9">C51/C36</f>
        <v>267.57361858241273</v>
      </c>
      <c r="D43" s="61">
        <f t="shared" si="9"/>
        <v>270.05851001080197</v>
      </c>
      <c r="E43" s="61">
        <f t="shared" si="9"/>
        <v>272.87010153830755</v>
      </c>
      <c r="F43" s="61">
        <f t="shared" si="9"/>
        <v>275.27941669569532</v>
      </c>
      <c r="G43" s="61">
        <f t="shared" si="9"/>
        <v>273.84884845451137</v>
      </c>
      <c r="H43" s="61">
        <f t="shared" si="9"/>
        <v>276.55051704944276</v>
      </c>
      <c r="I43" s="61">
        <f t="shared" si="9"/>
        <v>278.56332407540111</v>
      </c>
      <c r="J43" s="61">
        <f t="shared" si="9"/>
        <v>277.34159653563489</v>
      </c>
      <c r="K43" s="61">
        <f t="shared" si="9"/>
        <v>280.29563950066455</v>
      </c>
      <c r="L43" s="61">
        <f t="shared" si="9"/>
        <v>282.09668929197869</v>
      </c>
      <c r="M43" s="61">
        <f t="shared" si="9"/>
        <v>285.34447261954938</v>
      </c>
      <c r="N43" s="61">
        <f t="shared" si="9"/>
        <v>288.6165141181902</v>
      </c>
      <c r="O43" s="61">
        <f t="shared" si="6"/>
        <v>282.73898241320353</v>
      </c>
      <c r="P43" s="34"/>
      <c r="Q43" s="34"/>
      <c r="R43" s="34"/>
    </row>
    <row r="44" spans="1:18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x14ac:dyDescent="0.25">
      <c r="A45" s="35" t="s">
        <v>98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x14ac:dyDescent="0.25">
      <c r="B46" s="35"/>
      <c r="C46" s="20">
        <v>2006</v>
      </c>
      <c r="D46" s="20">
        <v>2007</v>
      </c>
      <c r="E46" s="20">
        <v>2008</v>
      </c>
      <c r="F46" s="20">
        <v>2009</v>
      </c>
      <c r="G46" s="20">
        <v>2010</v>
      </c>
      <c r="H46" s="20">
        <v>2011</v>
      </c>
      <c r="I46" s="20">
        <v>2012</v>
      </c>
      <c r="J46" s="20">
        <v>2013</v>
      </c>
      <c r="K46" s="20">
        <v>2014</v>
      </c>
      <c r="L46" s="20">
        <v>2015</v>
      </c>
      <c r="M46" s="20">
        <v>2016</v>
      </c>
      <c r="N46" s="20">
        <v>2017</v>
      </c>
      <c r="O46" s="20" t="s">
        <v>102</v>
      </c>
      <c r="P46" s="34"/>
      <c r="Q46" s="34"/>
      <c r="R46" s="34"/>
    </row>
    <row r="47" spans="1:18" x14ac:dyDescent="0.25">
      <c r="A47" s="49" t="s">
        <v>38</v>
      </c>
      <c r="B47" s="49" t="s">
        <v>99</v>
      </c>
      <c r="C47" s="61">
        <v>778839</v>
      </c>
      <c r="D47" s="61">
        <v>779426</v>
      </c>
      <c r="E47" s="61">
        <v>781110</v>
      </c>
      <c r="F47" s="61">
        <v>814467</v>
      </c>
      <c r="G47" s="61">
        <v>826964</v>
      </c>
      <c r="H47" s="61">
        <v>836055</v>
      </c>
      <c r="I47" s="61">
        <v>844153</v>
      </c>
      <c r="J47" s="61">
        <v>847766</v>
      </c>
      <c r="K47" s="61">
        <v>851766.5</v>
      </c>
      <c r="L47" s="61">
        <v>853939</v>
      </c>
      <c r="M47" s="61">
        <v>858646.5</v>
      </c>
      <c r="N47" s="61">
        <v>878299.5</v>
      </c>
      <c r="O47" s="61">
        <f>AVERAGE(J47:N47)</f>
        <v>858083.5</v>
      </c>
      <c r="P47" s="34"/>
      <c r="Q47" s="34"/>
      <c r="R47" s="34"/>
    </row>
    <row r="48" spans="1:18" x14ac:dyDescent="0.25">
      <c r="A48" s="49" t="s">
        <v>21</v>
      </c>
      <c r="B48" s="49" t="s">
        <v>99</v>
      </c>
      <c r="C48" s="61">
        <v>1836193.5623809525</v>
      </c>
      <c r="D48" s="61">
        <v>1871223.9766666668</v>
      </c>
      <c r="E48" s="61">
        <v>1911491.9433333334</v>
      </c>
      <c r="F48" s="61">
        <v>1950651.6833333333</v>
      </c>
      <c r="G48" s="61">
        <v>1984514.3333333333</v>
      </c>
      <c r="H48" s="61">
        <v>2015522.5</v>
      </c>
      <c r="I48" s="61">
        <v>2043128.5</v>
      </c>
      <c r="J48" s="61">
        <v>2070142.5</v>
      </c>
      <c r="K48" s="61">
        <v>2098413</v>
      </c>
      <c r="L48" s="61">
        <v>2125481.5</v>
      </c>
      <c r="M48" s="61">
        <v>2160875.5</v>
      </c>
      <c r="N48" s="61">
        <v>2193748</v>
      </c>
      <c r="O48" s="61">
        <f t="shared" ref="O48:O51" si="10">AVERAGE(J48:N48)</f>
        <v>2129732.1</v>
      </c>
      <c r="P48" s="34"/>
      <c r="Q48" s="34"/>
      <c r="R48" s="34"/>
    </row>
    <row r="49" spans="1:18" x14ac:dyDescent="0.25">
      <c r="A49" s="49" t="s">
        <v>36</v>
      </c>
      <c r="B49" s="49" t="s">
        <v>99</v>
      </c>
      <c r="C49" s="61">
        <v>2470249.5154752722</v>
      </c>
      <c r="D49" s="61">
        <v>2509726.8842807254</v>
      </c>
      <c r="E49" s="61">
        <v>2545782.2358691012</v>
      </c>
      <c r="F49" s="61">
        <v>2578966.0261047892</v>
      </c>
      <c r="G49" s="61">
        <v>2614510.1593668936</v>
      </c>
      <c r="H49" s="61">
        <v>2654853.9193332461</v>
      </c>
      <c r="I49" s="61">
        <v>2695849.7355016307</v>
      </c>
      <c r="J49" s="61">
        <v>2733294.232565715</v>
      </c>
      <c r="K49" s="61">
        <v>2753233.8908080203</v>
      </c>
      <c r="L49" s="61">
        <v>2797458.1834703204</v>
      </c>
      <c r="M49" s="61">
        <v>2845589</v>
      </c>
      <c r="N49" s="61">
        <v>2902040</v>
      </c>
      <c r="O49" s="61">
        <f t="shared" si="10"/>
        <v>2806323.0613688109</v>
      </c>
      <c r="P49" s="34"/>
      <c r="Q49" s="34"/>
      <c r="R49" s="34"/>
    </row>
    <row r="50" spans="1:18" x14ac:dyDescent="0.25">
      <c r="A50" s="49" t="s">
        <v>30</v>
      </c>
      <c r="B50" s="49" t="s">
        <v>99</v>
      </c>
      <c r="C50" s="61">
        <v>250642.52420131132</v>
      </c>
      <c r="D50" s="61">
        <v>255484.38545676047</v>
      </c>
      <c r="E50" s="61">
        <v>260424.25945125124</v>
      </c>
      <c r="F50" s="61">
        <v>265464.13023523602</v>
      </c>
      <c r="G50" s="61">
        <v>270606.02202186675</v>
      </c>
      <c r="H50" s="61">
        <v>275852</v>
      </c>
      <c r="I50" s="61">
        <v>278392</v>
      </c>
      <c r="J50" s="61">
        <v>279868</v>
      </c>
      <c r="K50" s="61">
        <v>280750</v>
      </c>
      <c r="L50" s="61">
        <v>283059</v>
      </c>
      <c r="M50" s="61">
        <v>285325</v>
      </c>
      <c r="N50" s="61">
        <v>287651.5001</v>
      </c>
      <c r="O50" s="61">
        <f t="shared" si="10"/>
        <v>283330.70001999999</v>
      </c>
      <c r="P50" s="34"/>
      <c r="Q50" s="34"/>
      <c r="R50" s="34"/>
    </row>
    <row r="51" spans="1:18" x14ac:dyDescent="0.25">
      <c r="A51" s="49" t="s">
        <v>39</v>
      </c>
      <c r="B51" s="49" t="s">
        <v>99</v>
      </c>
      <c r="C51" s="61">
        <v>3349280.793301953</v>
      </c>
      <c r="D51" s="61">
        <v>3382886.3052992523</v>
      </c>
      <c r="E51" s="61">
        <v>3417292.5367964176</v>
      </c>
      <c r="F51" s="61">
        <v>3447420.2077966202</v>
      </c>
      <c r="G51" s="61">
        <v>3473076.7927215537</v>
      </c>
      <c r="H51" s="61">
        <v>3507175.7698001973</v>
      </c>
      <c r="I51" s="61">
        <v>3536976.1883934513</v>
      </c>
      <c r="J51" s="61">
        <v>3575936.3238990037</v>
      </c>
      <c r="K51" s="61">
        <v>3624129</v>
      </c>
      <c r="L51" s="61">
        <v>3674243</v>
      </c>
      <c r="M51" s="61">
        <v>3720662.2206584653</v>
      </c>
      <c r="N51" s="61">
        <v>3774559.4999999898</v>
      </c>
      <c r="O51" s="61">
        <f t="shared" si="10"/>
        <v>3673906.0089114918</v>
      </c>
      <c r="P51" s="34"/>
      <c r="Q51" s="34"/>
      <c r="R51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data'!C3:L3</xm:f>
              <xm:sqref>O3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data'!C4:L4</xm:f>
              <xm:sqref>O4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data'!C5:L5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data'!C6:L6</xm:f>
              <xm:sqref>O6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data'!C7:L7</xm:f>
              <xm:sqref>O7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data'!C10:L10</xm:f>
              <xm:sqref>O10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data'!C11:L11</xm:f>
              <xm:sqref>O11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data'!C12:L12</xm:f>
              <xm:sqref>O12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data'!C13:L13</xm:f>
              <xm:sqref>O13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data'!C14:L14</xm:f>
              <xm:sqref>O14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data'!C17:L17</xm:f>
              <xm:sqref>O17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data'!C18:L18</xm:f>
              <xm:sqref>O18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data'!C19:L19</xm:f>
              <xm:sqref>O19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data'!C20:L20</xm:f>
              <xm:sqref>O20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data'!C21:L21</xm:f>
              <xm:sqref>O21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data'!C32:L32</xm:f>
              <xm:sqref>O32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data'!C33:L33</xm:f>
              <xm:sqref>O33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data'!C34:L34</xm:f>
              <xm:sqref>O34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data'!C35:L35</xm:f>
              <xm:sqref>O35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data'!C36:L36</xm:f>
              <xm:sqref>O36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="85" zoomScaleNormal="85" workbookViewId="0">
      <selection activeCell="T30" sqref="T30"/>
    </sheetView>
  </sheetViews>
  <sheetFormatPr defaultRowHeight="15" x14ac:dyDescent="0.25"/>
  <sheetData>
    <row r="1" spans="1:47" ht="14.45" x14ac:dyDescent="0.35">
      <c r="A1" s="12" t="s">
        <v>94</v>
      </c>
    </row>
    <row r="2" spans="1:47" ht="26.25" x14ac:dyDescent="0.4">
      <c r="B2" s="22" t="s">
        <v>115</v>
      </c>
      <c r="M2" s="62" t="s">
        <v>116</v>
      </c>
      <c r="X2" s="22" t="s">
        <v>117</v>
      </c>
      <c r="AC2" s="11"/>
      <c r="AU2" s="11"/>
    </row>
    <row r="22" spans="2:13" s="18" customFormat="1" x14ac:dyDescent="0.25"/>
    <row r="24" spans="2:13" ht="26.25" x14ac:dyDescent="0.4">
      <c r="B24" s="62"/>
      <c r="C24" s="34"/>
      <c r="L24" s="11"/>
      <c r="M24" s="22"/>
    </row>
    <row r="25" spans="2:13" x14ac:dyDescent="0.25">
      <c r="B25" s="34"/>
      <c r="C25" s="34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2" sqref="B22"/>
    </sheetView>
  </sheetViews>
  <sheetFormatPr defaultRowHeight="15" x14ac:dyDescent="0.25"/>
  <cols>
    <col min="1" max="1" width="17.5703125" customWidth="1"/>
    <col min="2" max="6" width="20" customWidth="1"/>
    <col min="7" max="7" width="19.140625" customWidth="1"/>
    <col min="8" max="9" width="17.85546875" customWidth="1"/>
  </cols>
  <sheetData>
    <row r="1" spans="1:9" ht="14.45" x14ac:dyDescent="0.35">
      <c r="A1" s="35" t="s">
        <v>62</v>
      </c>
      <c r="B1" s="34"/>
      <c r="C1" s="34"/>
      <c r="D1" s="34"/>
      <c r="E1" s="34"/>
      <c r="F1" s="34"/>
      <c r="G1" s="34"/>
      <c r="H1" s="2"/>
      <c r="I1" s="2"/>
    </row>
    <row r="2" spans="1:9" x14ac:dyDescent="0.25">
      <c r="A2" s="35" t="s">
        <v>56</v>
      </c>
      <c r="B2" s="34"/>
      <c r="C2" s="34"/>
      <c r="D2" s="34"/>
      <c r="E2" s="34"/>
      <c r="F2" s="34"/>
      <c r="G2" s="34"/>
      <c r="H2" s="2"/>
      <c r="I2" s="2"/>
    </row>
    <row r="3" spans="1:9" x14ac:dyDescent="0.25">
      <c r="A3" s="34"/>
      <c r="B3" s="34" t="str">
        <f>'Physical data'!C23</f>
        <v>Circuit line length</v>
      </c>
      <c r="C3" s="34" t="str">
        <f>'Physical data'!D23</f>
        <v>Energy transported</v>
      </c>
      <c r="D3" s="34" t="str">
        <f>'Physical data'!E23</f>
        <v>Maximum demand</v>
      </c>
      <c r="E3" s="34"/>
      <c r="F3" s="34"/>
      <c r="G3" s="34"/>
      <c r="H3" s="2"/>
      <c r="I3" s="2"/>
    </row>
    <row r="4" spans="1:9" s="18" customFormat="1" ht="14.45" x14ac:dyDescent="0.35">
      <c r="A4" s="34"/>
      <c r="B4" s="63" t="str">
        <f>'Physical data'!C24</f>
        <v>km</v>
      </c>
      <c r="C4" s="64" t="s">
        <v>75</v>
      </c>
      <c r="D4" s="63" t="str">
        <f>'Physical data'!E24</f>
        <v>MVA</v>
      </c>
      <c r="E4" s="63"/>
      <c r="F4" s="34"/>
      <c r="G4" s="34"/>
    </row>
    <row r="5" spans="1:9" x14ac:dyDescent="0.25">
      <c r="A5" s="34" t="str">
        <f>'Physical data'!A25</f>
        <v>ElectraNet</v>
      </c>
      <c r="B5" s="63">
        <f>'Physical data'!C25</f>
        <v>5524</v>
      </c>
      <c r="C5" s="63">
        <f>'Physical data'!D25/1000</f>
        <v>14093.785</v>
      </c>
      <c r="D5" s="63">
        <f>'Physical data'!E25</f>
        <v>3545</v>
      </c>
      <c r="E5" s="63"/>
      <c r="F5" s="34"/>
      <c r="G5" s="34"/>
      <c r="H5" s="2"/>
      <c r="I5" s="2"/>
    </row>
    <row r="6" spans="1:9" x14ac:dyDescent="0.25">
      <c r="A6" s="34" t="str">
        <f>'Physical data'!A26</f>
        <v>Powerlink</v>
      </c>
      <c r="B6" s="63">
        <f>'Physical data'!C26</f>
        <v>14626</v>
      </c>
      <c r="C6" s="63">
        <f>'Physical data'!D26/1000</f>
        <v>51432.154000000002</v>
      </c>
      <c r="D6" s="63">
        <f>'Physical data'!E26</f>
        <v>11879</v>
      </c>
      <c r="E6" s="63"/>
      <c r="F6" s="34"/>
      <c r="G6" s="34"/>
      <c r="H6" s="2"/>
      <c r="I6" s="2"/>
    </row>
    <row r="7" spans="1:9" x14ac:dyDescent="0.25">
      <c r="A7" s="34" t="str">
        <f>'Physical data'!A27</f>
        <v>AusNet Services</v>
      </c>
      <c r="B7" s="63">
        <f>'Physical data'!C27</f>
        <v>6568</v>
      </c>
      <c r="C7" s="63">
        <f>'Physical data'!D27/1000</f>
        <v>48165.163999999997</v>
      </c>
      <c r="D7" s="63">
        <f>'Physical data'!E27</f>
        <v>9649</v>
      </c>
      <c r="E7" s="63"/>
      <c r="F7" s="34"/>
      <c r="G7" s="34"/>
      <c r="H7" s="2"/>
      <c r="I7" s="2"/>
    </row>
    <row r="8" spans="1:9" x14ac:dyDescent="0.25">
      <c r="A8" s="34" t="str">
        <f>'Physical data'!A28</f>
        <v>TasNetworks</v>
      </c>
      <c r="B8" s="63">
        <f>'Physical data'!C28</f>
        <v>3540</v>
      </c>
      <c r="C8" s="63">
        <f>'Physical data'!D28/1000</f>
        <v>12683.403</v>
      </c>
      <c r="D8" s="63">
        <f>'Physical data'!E28</f>
        <v>2520</v>
      </c>
      <c r="E8" s="63"/>
      <c r="F8" s="34"/>
      <c r="G8" s="34"/>
      <c r="H8" s="2"/>
      <c r="I8" s="2"/>
    </row>
    <row r="9" spans="1:9" x14ac:dyDescent="0.25">
      <c r="A9" s="34" t="str">
        <f>'Physical data'!A29</f>
        <v>TransGrid</v>
      </c>
      <c r="B9" s="63">
        <f>'Physical data'!C29</f>
        <v>12993</v>
      </c>
      <c r="C9" s="63">
        <f>'Physical data'!D29/1000</f>
        <v>72100</v>
      </c>
      <c r="D9" s="63">
        <f>'Physical data'!E29</f>
        <v>17520</v>
      </c>
      <c r="E9" s="63"/>
      <c r="F9" s="34"/>
      <c r="G9" s="34"/>
      <c r="H9" s="2"/>
      <c r="I9" s="2"/>
    </row>
    <row r="10" spans="1:9" x14ac:dyDescent="0.25">
      <c r="A10" s="34"/>
      <c r="B10" s="34"/>
      <c r="C10" s="34"/>
      <c r="D10" s="34"/>
      <c r="E10" s="34"/>
      <c r="F10" s="34"/>
      <c r="G10" s="34"/>
      <c r="H10" s="2"/>
      <c r="I10" s="2"/>
    </row>
    <row r="11" spans="1:9" x14ac:dyDescent="0.25">
      <c r="A11" s="35" t="s">
        <v>55</v>
      </c>
      <c r="B11" s="34"/>
      <c r="C11" s="34"/>
      <c r="D11" s="34"/>
      <c r="E11" s="34"/>
      <c r="F11" s="34"/>
      <c r="G11" s="34"/>
      <c r="H11" s="2"/>
      <c r="I11" s="2"/>
    </row>
    <row r="12" spans="1:9" x14ac:dyDescent="0.25">
      <c r="A12" s="34"/>
      <c r="B12" s="34" t="s">
        <v>25</v>
      </c>
      <c r="C12" s="34" t="s">
        <v>26</v>
      </c>
      <c r="D12" s="34" t="s">
        <v>28</v>
      </c>
      <c r="E12" s="34" t="s">
        <v>23</v>
      </c>
      <c r="F12" s="34" t="s">
        <v>29</v>
      </c>
      <c r="G12" s="34"/>
    </row>
    <row r="13" spans="1:9" s="18" customFormat="1" x14ac:dyDescent="0.25">
      <c r="A13" s="34"/>
      <c r="B13" s="34" t="str">
        <f>Opex!$B$15</f>
        <v>$'000 2017</v>
      </c>
      <c r="C13" s="34" t="str">
        <f>Capex!$B$15</f>
        <v>$'000 2017</v>
      </c>
      <c r="D13" s="34" t="str">
        <f>RAB!$B$15</f>
        <v>$'000 2017</v>
      </c>
      <c r="E13" s="34" t="str">
        <f>Depreciation!$B$15</f>
        <v>$'000 2017</v>
      </c>
      <c r="F13" s="34" t="str">
        <f>'Asset cost and Total user cost'!$B$7</f>
        <v>$'000 2017</v>
      </c>
      <c r="G13" s="34"/>
    </row>
    <row r="14" spans="1:9" x14ac:dyDescent="0.25">
      <c r="A14" s="34" t="s">
        <v>38</v>
      </c>
      <c r="B14" s="51">
        <f>AVERAGE(Opex!J15:N15)</f>
        <v>83982.686579629051</v>
      </c>
      <c r="C14" s="51">
        <f>AVERAGE(Capex!J15:N15)</f>
        <v>173211.33913225553</v>
      </c>
      <c r="D14" s="51">
        <f>AVERAGE(RAB!J15:N15)</f>
        <v>2071393.0673863445</v>
      </c>
      <c r="E14" s="51">
        <f>ABS(AVERAGE(Depreciation!J15:N15))</f>
        <v>91307.778693402885</v>
      </c>
      <c r="F14" s="51">
        <f>AVERAGE('Asset cost and Total user cost'!J7:N7)</f>
        <v>166228.55174631919</v>
      </c>
      <c r="G14" s="34"/>
    </row>
    <row r="15" spans="1:9" x14ac:dyDescent="0.25">
      <c r="A15" s="34" t="s">
        <v>21</v>
      </c>
      <c r="B15" s="51">
        <f>AVERAGE(Opex!J16:N16)</f>
        <v>211082.45284456084</v>
      </c>
      <c r="C15" s="51">
        <f>AVERAGE(Capex!J16:N16)</f>
        <v>348990.26069153339</v>
      </c>
      <c r="D15" s="51">
        <f>AVERAGE(RAB!J16:N16)</f>
        <v>6736555.0134471282</v>
      </c>
      <c r="E15" s="51">
        <f>ABS(AVERAGE(Depreciation!J16:N16))</f>
        <v>265040.45889706828</v>
      </c>
      <c r="F15" s="51">
        <f>AVERAGE('Asset cost and Total user cost'!J8:N8)</f>
        <v>508696.72929184727</v>
      </c>
      <c r="G15" s="34"/>
    </row>
    <row r="16" spans="1:9" x14ac:dyDescent="0.25">
      <c r="A16" s="34" t="s">
        <v>36</v>
      </c>
      <c r="B16" s="51">
        <f>AVERAGE(Opex!J17:N17)</f>
        <v>88955.81391687438</v>
      </c>
      <c r="C16" s="51">
        <f>AVERAGE(Capex!J17:N17)</f>
        <v>168657.96597524016</v>
      </c>
      <c r="D16" s="51">
        <f>AVERAGE(RAB!J17:N17)</f>
        <v>2831975.2654168922</v>
      </c>
      <c r="E16" s="51">
        <f>ABS(AVERAGE(Depreciation!J17:N17))</f>
        <v>151440.13706476221</v>
      </c>
      <c r="F16" s="51">
        <f>AVERAGE('Asset cost and Total user cost'!J9:N9)</f>
        <v>253870.61223261111</v>
      </c>
      <c r="G16" s="34"/>
    </row>
    <row r="17" spans="1:7" x14ac:dyDescent="0.25">
      <c r="A17" s="34" t="s">
        <v>30</v>
      </c>
      <c r="B17" s="51">
        <f>AVERAGE(Opex!J18:N18)</f>
        <v>41249.524955553468</v>
      </c>
      <c r="C17" s="51">
        <f>AVERAGE(Capex!J18:N18)</f>
        <v>73992.165503451266</v>
      </c>
      <c r="D17" s="51">
        <f>AVERAGE(RAB!J18:N18)</f>
        <v>1402330.6540835183</v>
      </c>
      <c r="E17" s="51">
        <f>ABS(AVERAGE(Depreciation!J18:N18))</f>
        <v>60662.997970659249</v>
      </c>
      <c r="F17" s="51">
        <f>AVERAGE('Asset cost and Total user cost'!J10:N10)</f>
        <v>111384.27262101178</v>
      </c>
      <c r="G17" s="34"/>
    </row>
    <row r="18" spans="1:7" x14ac:dyDescent="0.25">
      <c r="A18" s="34" t="s">
        <v>39</v>
      </c>
      <c r="B18" s="51">
        <f>AVERAGE(Opex!J19:N19)</f>
        <v>174187.14795621607</v>
      </c>
      <c r="C18" s="51">
        <f>AVERAGE(Capex!J19:N19)</f>
        <v>358822.54611929524</v>
      </c>
      <c r="D18" s="51">
        <f>AVERAGE(RAB!J19:N19)</f>
        <v>6046588.5357885286</v>
      </c>
      <c r="E18" s="51">
        <f>ABS(AVERAGE(Depreciation!J19:N19))</f>
        <v>253915.89538851575</v>
      </c>
      <c r="F18" s="51">
        <f>AVERAGE('Asset cost and Total user cost'!J11:N11)</f>
        <v>472616.58265391539</v>
      </c>
      <c r="G18" s="34"/>
    </row>
    <row r="19" spans="1:7" x14ac:dyDescent="0.25">
      <c r="A19" s="34"/>
      <c r="B19" s="34"/>
      <c r="C19" s="34"/>
      <c r="D19" s="34"/>
      <c r="E19" s="34"/>
      <c r="F19" s="34"/>
      <c r="G19" s="34"/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E22" s="2"/>
    </row>
    <row r="23" spans="1:7" x14ac:dyDescent="0.25">
      <c r="E23" s="2"/>
    </row>
    <row r="24" spans="1:7" x14ac:dyDescent="0.25">
      <c r="E24" s="2"/>
    </row>
    <row r="25" spans="1:7" x14ac:dyDescent="0.25">
      <c r="E25" s="2"/>
    </row>
    <row r="26" spans="1:7" x14ac:dyDescent="0.25">
      <c r="E26" s="2"/>
    </row>
    <row r="27" spans="1:7" x14ac:dyDescent="0.25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"/>
  <sheetViews>
    <sheetView topLeftCell="A22" zoomScale="85" zoomScaleNormal="85" workbookViewId="0">
      <selection activeCell="Q6" sqref="Q6"/>
    </sheetView>
  </sheetViews>
  <sheetFormatPr defaultRowHeight="15" x14ac:dyDescent="0.25"/>
  <cols>
    <col min="21" max="21" width="9.140625" customWidth="1"/>
  </cols>
  <sheetData>
    <row r="1" spans="1:1" ht="14.45" x14ac:dyDescent="0.35">
      <c r="A1" s="12" t="s">
        <v>96</v>
      </c>
    </row>
    <row r="2" spans="1:1" ht="21" x14ac:dyDescent="0.35">
      <c r="A2" s="22" t="s">
        <v>109</v>
      </c>
    </row>
    <row r="20" spans="1:16" s="18" customFormat="1" x14ac:dyDescent="0.25"/>
    <row r="21" spans="1:16" s="18" customFormat="1" x14ac:dyDescent="0.25"/>
    <row r="22" spans="1:16" s="18" customFormat="1" x14ac:dyDescent="0.25"/>
    <row r="23" spans="1:16" s="18" customFormat="1" x14ac:dyDescent="0.25"/>
    <row r="24" spans="1:16" s="18" customFormat="1" x14ac:dyDescent="0.25"/>
    <row r="25" spans="1:16" s="18" customFormat="1" x14ac:dyDescent="0.25"/>
    <row r="26" spans="1:16" s="18" customFormat="1" x14ac:dyDescent="0.25"/>
    <row r="27" spans="1:16" ht="21" x14ac:dyDescent="0.35">
      <c r="A27" s="22" t="s">
        <v>110</v>
      </c>
      <c r="P27" s="22" t="s">
        <v>113</v>
      </c>
    </row>
    <row r="31" spans="1:16" s="18" customFormat="1" x14ac:dyDescent="0.25"/>
    <row r="32" spans="1:16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50" spans="1:16" s="18" customFormat="1" x14ac:dyDescent="0.25"/>
    <row r="51" spans="1:16" s="18" customFormat="1" x14ac:dyDescent="0.25"/>
    <row r="53" spans="1:16" ht="26.25" x14ac:dyDescent="0.4">
      <c r="A53" s="22" t="s">
        <v>111</v>
      </c>
      <c r="J53" s="11"/>
      <c r="P53" s="62" t="s">
        <v>114</v>
      </c>
    </row>
    <row r="59" spans="1:16" s="18" customFormat="1" x14ac:dyDescent="0.25"/>
    <row r="60" spans="1:16" s="18" customFormat="1" x14ac:dyDescent="0.25"/>
    <row r="61" spans="1:16" s="18" customFormat="1" x14ac:dyDescent="0.25"/>
    <row r="62" spans="1:16" s="18" customFormat="1" x14ac:dyDescent="0.25"/>
    <row r="63" spans="1:16" s="18" customFormat="1" x14ac:dyDescent="0.25"/>
    <row r="64" spans="1:16" s="18" customFormat="1" x14ac:dyDescent="0.25"/>
    <row r="65" spans="1:26" s="18" customFormat="1" x14ac:dyDescent="0.25"/>
    <row r="66" spans="1:26" s="18" customFormat="1" x14ac:dyDescent="0.25"/>
    <row r="67" spans="1:26" s="18" customFormat="1" x14ac:dyDescent="0.25"/>
    <row r="74" spans="1:26" s="18" customFormat="1" x14ac:dyDescent="0.25"/>
    <row r="75" spans="1:26" s="18" customFormat="1" x14ac:dyDescent="0.25"/>
    <row r="76" spans="1:26" ht="21" x14ac:dyDescent="0.35">
      <c r="P76" s="22"/>
      <c r="Z76" s="34"/>
    </row>
    <row r="78" spans="1:26" ht="26.25" x14ac:dyDescent="0.4">
      <c r="A78" s="22" t="s">
        <v>112</v>
      </c>
      <c r="B78" s="2"/>
      <c r="K78" s="11"/>
    </row>
    <row r="98" s="18" customFormat="1" x14ac:dyDescent="0.25"/>
    <row r="99" s="18" customFormat="1" x14ac:dyDescent="0.25"/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A41" zoomScale="85" zoomScaleNormal="85" workbookViewId="0">
      <pane xSplit="1" topLeftCell="B1" activePane="topRight" state="frozen"/>
      <selection pane="topRight" activeCell="C56" sqref="C56"/>
    </sheetView>
  </sheetViews>
  <sheetFormatPr defaultColWidth="9.140625" defaultRowHeight="15" x14ac:dyDescent="0.25"/>
  <cols>
    <col min="1" max="1" width="44.42578125" style="2" customWidth="1"/>
    <col min="2" max="2" width="16.7109375" style="18" customWidth="1"/>
    <col min="3" max="5" width="20.7109375" style="2" customWidth="1"/>
    <col min="6" max="11" width="15.7109375" style="2" customWidth="1"/>
    <col min="12" max="14" width="15.7109375" style="18" customWidth="1"/>
    <col min="15" max="15" width="15.7109375" style="2" customWidth="1"/>
    <col min="16" max="23" width="25.42578125" style="2" customWidth="1"/>
    <col min="24" max="24" width="14.7109375" style="2" customWidth="1"/>
    <col min="25" max="25" width="14.5703125" style="2" customWidth="1"/>
    <col min="26" max="26" width="19.85546875" style="2" customWidth="1"/>
    <col min="27" max="28" width="21" style="2" customWidth="1"/>
    <col min="29" max="29" width="12.85546875" style="2" customWidth="1"/>
    <col min="30" max="30" width="16" style="2" customWidth="1"/>
    <col min="31" max="31" width="21.28515625" style="2" customWidth="1"/>
    <col min="32" max="33" width="18.5703125" style="2" customWidth="1"/>
    <col min="34" max="16384" width="9.140625" style="2"/>
  </cols>
  <sheetData>
    <row r="1" spans="1:23" x14ac:dyDescent="0.25">
      <c r="A1" s="35" t="s">
        <v>95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17" customFormat="1" ht="30" x14ac:dyDescent="0.25">
      <c r="A2" s="35" t="s">
        <v>108</v>
      </c>
      <c r="B2" s="35"/>
      <c r="C2" s="53" t="s">
        <v>76</v>
      </c>
      <c r="D2" s="53" t="s">
        <v>34</v>
      </c>
      <c r="E2" s="53" t="s">
        <v>27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s="17" customFormat="1" x14ac:dyDescent="0.25">
      <c r="A3" s="35"/>
      <c r="B3" s="35"/>
      <c r="C3" s="53" t="s">
        <v>105</v>
      </c>
      <c r="D3" s="53" t="s">
        <v>106</v>
      </c>
      <c r="E3" s="53" t="s">
        <v>107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x14ac:dyDescent="0.25">
      <c r="A4" s="49" t="s">
        <v>38</v>
      </c>
      <c r="B4" s="49"/>
      <c r="C4" s="38">
        <f>O13</f>
        <v>71870.615907414729</v>
      </c>
      <c r="D4" s="38">
        <f>O21</f>
        <v>17.754781878687108</v>
      </c>
      <c r="E4" s="38">
        <f>O29</f>
        <v>291.4002996187952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49" t="s">
        <v>21</v>
      </c>
      <c r="B5" s="49"/>
      <c r="C5" s="38">
        <f t="shared" ref="C5:C8" si="0">O14</f>
        <v>60565.384855305681</v>
      </c>
      <c r="D5" s="38">
        <f>O22</f>
        <v>13.993033628033771</v>
      </c>
      <c r="E5" s="38">
        <f>O30</f>
        <v>337.73094869443293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x14ac:dyDescent="0.25">
      <c r="A6" s="49" t="s">
        <v>36</v>
      </c>
      <c r="B6" s="49"/>
      <c r="C6" s="38">
        <f t="shared" si="0"/>
        <v>35608.832360354754</v>
      </c>
      <c r="D6" s="38">
        <f>O23</f>
        <v>7.1228610761574132</v>
      </c>
      <c r="E6" s="38">
        <f>O31</f>
        <v>122.09132482826666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x14ac:dyDescent="0.25">
      <c r="A7" s="49" t="s">
        <v>30</v>
      </c>
      <c r="B7" s="49"/>
      <c r="C7" s="38">
        <f t="shared" si="0"/>
        <v>60560.204021056787</v>
      </c>
      <c r="D7" s="38">
        <f>O24</f>
        <v>12.048482968976657</v>
      </c>
      <c r="E7" s="38">
        <f>O32</f>
        <v>538.97289057667535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x14ac:dyDescent="0.25">
      <c r="A8" s="49" t="s">
        <v>39</v>
      </c>
      <c r="B8" s="49"/>
      <c r="C8" s="38">
        <f t="shared" si="0"/>
        <v>36956.618163718143</v>
      </c>
      <c r="D8" s="38">
        <f>O25</f>
        <v>8.9742360181980843</v>
      </c>
      <c r="E8" s="38">
        <f>O33</f>
        <v>175.94605355972709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x14ac:dyDescent="0.25">
      <c r="A10" s="15" t="s">
        <v>33</v>
      </c>
      <c r="B10" s="1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12" customFormat="1" ht="30" x14ac:dyDescent="0.25">
      <c r="A12" s="54" t="s">
        <v>50</v>
      </c>
      <c r="B12" s="54"/>
      <c r="C12" s="55">
        <v>2006</v>
      </c>
      <c r="D12" s="55">
        <v>2007</v>
      </c>
      <c r="E12" s="55">
        <v>2008</v>
      </c>
      <c r="F12" s="55">
        <v>2009</v>
      </c>
      <c r="G12" s="55">
        <v>2010</v>
      </c>
      <c r="H12" s="55">
        <v>2011</v>
      </c>
      <c r="I12" s="55">
        <v>2012</v>
      </c>
      <c r="J12" s="55">
        <v>2013</v>
      </c>
      <c r="K12" s="55">
        <v>2014</v>
      </c>
      <c r="L12" s="55">
        <v>2015</v>
      </c>
      <c r="M12" s="55">
        <v>2016</v>
      </c>
      <c r="N12" s="55">
        <v>2017</v>
      </c>
      <c r="O12" s="55" t="s">
        <v>24</v>
      </c>
      <c r="P12" s="35"/>
      <c r="Q12" s="35"/>
      <c r="R12" s="35"/>
      <c r="S12" s="35"/>
      <c r="T12" s="35"/>
      <c r="U12" s="35"/>
      <c r="V12" s="35"/>
      <c r="W12" s="35"/>
    </row>
    <row r="13" spans="1:23" x14ac:dyDescent="0.25">
      <c r="A13" s="49" t="s">
        <v>38</v>
      </c>
      <c r="B13" s="49" t="s">
        <v>120</v>
      </c>
      <c r="C13" s="38">
        <f>C53/'Physical data'!C10</f>
        <v>43946.8662399811</v>
      </c>
      <c r="D13" s="38">
        <f>D53/'Physical data'!D10</f>
        <v>46446.718382925894</v>
      </c>
      <c r="E13" s="38">
        <f>E53/'Physical data'!E10</f>
        <v>41814.527185426319</v>
      </c>
      <c r="F13" s="38">
        <f>F53/'Physical data'!F10</f>
        <v>44401.194508930756</v>
      </c>
      <c r="G13" s="38">
        <f>G53/'Physical data'!G10</f>
        <v>45617.087999206749</v>
      </c>
      <c r="H13" s="38">
        <f>H53/'Physical data'!H10</f>
        <v>46488.037545820123</v>
      </c>
      <c r="I13" s="38">
        <f>I53/'Physical data'!I10</f>
        <v>51454.452550220056</v>
      </c>
      <c r="J13" s="38">
        <f>J53/'Physical data'!J10</f>
        <v>51361.407726773374</v>
      </c>
      <c r="K13" s="38">
        <f>K53/'Physical data'!K10</f>
        <v>68185.919582465023</v>
      </c>
      <c r="L13" s="38">
        <f>L53/'Physical data'!L10</f>
        <v>78841.267274769882</v>
      </c>
      <c r="M13" s="38">
        <f>M53/'Physical data'!M10</f>
        <v>80873.221500844069</v>
      </c>
      <c r="N13" s="38">
        <f>N53/'Physical data'!N10</f>
        <v>80091.263452221305</v>
      </c>
      <c r="O13" s="38">
        <f>AVERAGE(J13:N13)</f>
        <v>71870.615907414729</v>
      </c>
      <c r="P13" s="34"/>
      <c r="Q13" s="34"/>
      <c r="R13" s="34"/>
      <c r="S13" s="34"/>
      <c r="T13" s="34"/>
      <c r="U13" s="34"/>
      <c r="V13" s="34"/>
      <c r="W13" s="34"/>
    </row>
    <row r="14" spans="1:23" x14ac:dyDescent="0.25">
      <c r="A14" s="49" t="s">
        <v>21</v>
      </c>
      <c r="B14" s="49" t="s">
        <v>120</v>
      </c>
      <c r="C14" s="38">
        <f>C54/'Physical data'!C11</f>
        <v>43220.630294417351</v>
      </c>
      <c r="D14" s="38">
        <f>D54/'Physical data'!D11</f>
        <v>42034.339934116491</v>
      </c>
      <c r="E14" s="38">
        <f>E54/'Physical data'!E11</f>
        <v>46607.291285640706</v>
      </c>
      <c r="F14" s="38">
        <f>F54/'Physical data'!F11</f>
        <v>47933.605466705325</v>
      </c>
      <c r="G14" s="38">
        <f>G54/'Physical data'!G11</f>
        <v>49812.765922535007</v>
      </c>
      <c r="H14" s="38">
        <f>H54/'Physical data'!H11</f>
        <v>52828.681895402275</v>
      </c>
      <c r="I14" s="38">
        <f>I54/'Physical data'!I11</f>
        <v>56139.626377320768</v>
      </c>
      <c r="J14" s="38">
        <f>J54/'Physical data'!J11</f>
        <v>55582.522425785588</v>
      </c>
      <c r="K14" s="38">
        <f>K54/'Physical data'!K11</f>
        <v>59823.362967781432</v>
      </c>
      <c r="L14" s="38">
        <f>L54/'Physical data'!L11</f>
        <v>63265.514762880412</v>
      </c>
      <c r="M14" s="38">
        <f>M54/'Physical data'!M11</f>
        <v>63252.864033782324</v>
      </c>
      <c r="N14" s="38">
        <f>N54/'Physical data'!N11</f>
        <v>60902.660086298667</v>
      </c>
      <c r="O14" s="38">
        <f t="shared" ref="O14:O17" si="1">AVERAGE(J14:N14)</f>
        <v>60565.384855305681</v>
      </c>
      <c r="P14" s="34"/>
      <c r="Q14" s="34"/>
      <c r="R14" s="34"/>
      <c r="S14" s="34"/>
      <c r="T14" s="34"/>
      <c r="U14" s="34"/>
      <c r="V14" s="34"/>
      <c r="W14" s="34"/>
    </row>
    <row r="15" spans="1:23" x14ac:dyDescent="0.25">
      <c r="A15" s="49" t="s">
        <v>36</v>
      </c>
      <c r="B15" s="49" t="s">
        <v>120</v>
      </c>
      <c r="C15" s="38">
        <f>C55/'Physical data'!C12</f>
        <v>36147.798805206126</v>
      </c>
      <c r="D15" s="38">
        <f>D55/'Physical data'!D12</f>
        <v>30337.24036853611</v>
      </c>
      <c r="E15" s="38">
        <f>E55/'Physical data'!E12</f>
        <v>30280.35489784247</v>
      </c>
      <c r="F15" s="38">
        <f>F55/'Physical data'!F12</f>
        <v>31133.908929078985</v>
      </c>
      <c r="G15" s="38">
        <f>G55/'Physical data'!G12</f>
        <v>32969.892304632791</v>
      </c>
      <c r="H15" s="38">
        <f>H55/'Physical data'!H12</f>
        <v>33201.921372063749</v>
      </c>
      <c r="I15" s="38">
        <f>I55/'Physical data'!I12</f>
        <v>35136.666906567836</v>
      </c>
      <c r="J15" s="38">
        <f>J55/'Physical data'!J12</f>
        <v>33543.436526584192</v>
      </c>
      <c r="K15" s="38">
        <f>K55/'Physical data'!K12</f>
        <v>31494.273748909447</v>
      </c>
      <c r="L15" s="38">
        <f>L55/'Physical data'!L12</f>
        <v>38358.198624574754</v>
      </c>
      <c r="M15" s="38">
        <f>M55/'Physical data'!M12</f>
        <v>37039.592863912934</v>
      </c>
      <c r="N15" s="38">
        <f>N55/'Physical data'!N12</f>
        <v>37608.660037792426</v>
      </c>
      <c r="O15" s="38">
        <f t="shared" si="1"/>
        <v>35608.832360354754</v>
      </c>
      <c r="P15" s="34"/>
      <c r="Q15" s="34"/>
      <c r="R15" s="34"/>
      <c r="S15" s="34"/>
      <c r="T15" s="34"/>
      <c r="U15" s="34"/>
      <c r="V15" s="34"/>
      <c r="W15" s="34"/>
    </row>
    <row r="16" spans="1:23" x14ac:dyDescent="0.25">
      <c r="A16" s="49" t="s">
        <v>30</v>
      </c>
      <c r="B16" s="49" t="s">
        <v>120</v>
      </c>
      <c r="C16" s="38">
        <f>C56/'Physical data'!C13</f>
        <v>46669.097408240777</v>
      </c>
      <c r="D16" s="38">
        <f>D56/'Physical data'!D13</f>
        <v>47105.601916052699</v>
      </c>
      <c r="E16" s="38">
        <f>E56/'Physical data'!E13</f>
        <v>53987.298075331157</v>
      </c>
      <c r="F16" s="38">
        <f>F56/'Physical data'!F13</f>
        <v>54133.338122907538</v>
      </c>
      <c r="G16" s="38">
        <f>G56/'Physical data'!G13</f>
        <v>58661.348957479553</v>
      </c>
      <c r="H16" s="38">
        <f>H56/'Physical data'!H13</f>
        <v>61104.528475732768</v>
      </c>
      <c r="I16" s="38">
        <f>I56/'Physical data'!I13</f>
        <v>62043.895049021783</v>
      </c>
      <c r="J16" s="38">
        <f>J56/'Physical data'!J13</f>
        <v>61815.731512053317</v>
      </c>
      <c r="K16" s="38">
        <f>K56/'Physical data'!K13</f>
        <v>65840.124342959563</v>
      </c>
      <c r="L16" s="38">
        <f>L56/'Physical data'!L13</f>
        <v>57969.646194126377</v>
      </c>
      <c r="M16" s="38">
        <f>M56/'Physical data'!M13</f>
        <v>59443.379231094084</v>
      </c>
      <c r="N16" s="38">
        <f>N56/'Physical data'!N13</f>
        <v>57732.138825050562</v>
      </c>
      <c r="O16" s="38">
        <f t="shared" si="1"/>
        <v>60560.204021056787</v>
      </c>
      <c r="P16" s="34"/>
      <c r="Q16" s="34"/>
      <c r="R16" s="34"/>
      <c r="S16" s="34"/>
      <c r="T16" s="34"/>
      <c r="U16" s="34"/>
      <c r="V16" s="34"/>
      <c r="W16" s="34"/>
    </row>
    <row r="17" spans="1:32" x14ac:dyDescent="0.25">
      <c r="A17" s="49" t="s">
        <v>39</v>
      </c>
      <c r="B17" s="49" t="s">
        <v>120</v>
      </c>
      <c r="C17" s="38">
        <f>C57/'Physical data'!C14</f>
        <v>26237.919554339624</v>
      </c>
      <c r="D17" s="38">
        <f>D57/'Physical data'!D14</f>
        <v>26012.26398474754</v>
      </c>
      <c r="E17" s="38">
        <f>E57/'Physical data'!E14</f>
        <v>26185.841819375411</v>
      </c>
      <c r="F17" s="38">
        <f>F57/'Physical data'!F14</f>
        <v>27463.226367678813</v>
      </c>
      <c r="G17" s="38">
        <f>G57/'Physical data'!G14</f>
        <v>30061.176471936753</v>
      </c>
      <c r="H17" s="38">
        <f>H57/'Physical data'!H14</f>
        <v>28885.960127907492</v>
      </c>
      <c r="I17" s="38">
        <f>I57/'Physical data'!I14</f>
        <v>31949.566676256403</v>
      </c>
      <c r="J17" s="38">
        <f>J57/'Physical data'!J14</f>
        <v>33362.581709363381</v>
      </c>
      <c r="K17" s="38">
        <f>K57/'Physical data'!K14</f>
        <v>37730.338343880969</v>
      </c>
      <c r="L17" s="38">
        <f>L57/'Physical data'!L14</f>
        <v>39903.130213575248</v>
      </c>
      <c r="M17" s="38">
        <f>M57/'Physical data'!M14</f>
        <v>37321.896257648252</v>
      </c>
      <c r="N17" s="38">
        <f>N57/'Physical data'!N14</f>
        <v>36465.144294122889</v>
      </c>
      <c r="O17" s="38">
        <f t="shared" si="1"/>
        <v>36956.618163718143</v>
      </c>
      <c r="P17" s="34"/>
      <c r="Q17" s="34"/>
      <c r="R17" s="34"/>
      <c r="S17" s="34"/>
      <c r="T17" s="34"/>
      <c r="U17" s="34"/>
      <c r="V17" s="34"/>
      <c r="W17" s="34"/>
    </row>
    <row r="18" spans="1:32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3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2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s="12" customFormat="1" ht="30" x14ac:dyDescent="0.25">
      <c r="A20" s="54" t="s">
        <v>57</v>
      </c>
      <c r="B20" s="54"/>
      <c r="C20" s="55">
        <v>2006</v>
      </c>
      <c r="D20" s="55">
        <v>2007</v>
      </c>
      <c r="E20" s="55">
        <v>2008</v>
      </c>
      <c r="F20" s="55">
        <v>2009</v>
      </c>
      <c r="G20" s="55">
        <v>2010</v>
      </c>
      <c r="H20" s="55">
        <v>2011</v>
      </c>
      <c r="I20" s="55">
        <v>2012</v>
      </c>
      <c r="J20" s="55">
        <v>2013</v>
      </c>
      <c r="K20" s="55">
        <v>2014</v>
      </c>
      <c r="L20" s="55">
        <v>2015</v>
      </c>
      <c r="M20" s="55">
        <v>2016</v>
      </c>
      <c r="N20" s="55">
        <v>2017</v>
      </c>
      <c r="O20" s="55" t="s">
        <v>24</v>
      </c>
      <c r="P20" s="35"/>
      <c r="Q20" s="35"/>
      <c r="R20" s="35"/>
      <c r="S20" s="35"/>
      <c r="T20" s="35"/>
      <c r="U20" s="35"/>
      <c r="V20" s="35"/>
      <c r="W20" s="35"/>
    </row>
    <row r="21" spans="1:32" x14ac:dyDescent="0.25">
      <c r="A21" s="49" t="s">
        <v>38</v>
      </c>
      <c r="B21" s="49" t="s">
        <v>121</v>
      </c>
      <c r="C21" s="56">
        <f>C53/'Physical data'!C3</f>
        <v>11.577842454217793</v>
      </c>
      <c r="D21" s="56">
        <f>D53/'Physical data'!D3</f>
        <v>13.20187009866628</v>
      </c>
      <c r="E21" s="56">
        <f>E53/'Physical data'!E3</f>
        <v>13.496123793484452</v>
      </c>
      <c r="F21" s="56">
        <f>F53/'Physical data'!F3</f>
        <v>14.014277833699854</v>
      </c>
      <c r="G21" s="56">
        <f>G53/'Physical data'!G3</f>
        <v>14.117613163473875</v>
      </c>
      <c r="H21" s="56">
        <f>H53/'Physical data'!H3</f>
        <v>14.656344527936456</v>
      </c>
      <c r="I21" s="56">
        <f>I53/'Physical data'!I3</f>
        <v>15.473428574537351</v>
      </c>
      <c r="J21" s="56">
        <f>J53/'Physical data'!J3</f>
        <v>15.833604075354344</v>
      </c>
      <c r="K21" s="56">
        <f>K53/'Physical data'!K3</f>
        <v>16.754722131235315</v>
      </c>
      <c r="L21" s="56">
        <f>L53/'Physical data'!L3</f>
        <v>18.60569835063864</v>
      </c>
      <c r="M21" s="56">
        <f>M53/'Physical data'!M3</f>
        <v>18.56996851787564</v>
      </c>
      <c r="N21" s="68">
        <f>N53/'Physical data'!N3</f>
        <v>19.009916318331609</v>
      </c>
      <c r="O21" s="38">
        <f>AVERAGE(J21:N21)</f>
        <v>17.754781878687108</v>
      </c>
      <c r="P21" s="34"/>
      <c r="Q21" s="34"/>
      <c r="R21" s="34"/>
      <c r="S21" s="34"/>
      <c r="T21" s="34"/>
      <c r="U21" s="34"/>
      <c r="V21" s="34"/>
      <c r="W21" s="34"/>
    </row>
    <row r="22" spans="1:32" x14ac:dyDescent="0.25">
      <c r="A22" s="49" t="s">
        <v>21</v>
      </c>
      <c r="B22" s="49" t="s">
        <v>121</v>
      </c>
      <c r="C22" s="56">
        <f>C54/'Physical data'!C4</f>
        <v>9.3395856109318434</v>
      </c>
      <c r="D22" s="56">
        <f>D54/'Physical data'!D4</f>
        <v>9.4944333036656854</v>
      </c>
      <c r="E22" s="56">
        <f>E54/'Physical data'!E4</f>
        <v>10.573296346833631</v>
      </c>
      <c r="F22" s="56">
        <f>F54/'Physical data'!F4</f>
        <v>11.084033172073946</v>
      </c>
      <c r="G22" s="56">
        <f>G54/'Physical data'!G4</f>
        <v>11.543882563841274</v>
      </c>
      <c r="H22" s="56">
        <f>H54/'Physical data'!H4</f>
        <v>12.147249362859725</v>
      </c>
      <c r="I22" s="56">
        <f>I54/'Physical data'!I4</f>
        <v>12.88186117517899</v>
      </c>
      <c r="J22" s="56">
        <f>J54/'Physical data'!J4</f>
        <v>13.142311595906794</v>
      </c>
      <c r="K22" s="56">
        <f>K54/'Physical data'!K4</f>
        <v>14.464343202511085</v>
      </c>
      <c r="L22" s="56">
        <f>L54/'Physical data'!L4</f>
        <v>14.100803676412211</v>
      </c>
      <c r="M22" s="56">
        <f>M54/'Physical data'!M4</f>
        <v>14.35034959153003</v>
      </c>
      <c r="N22" s="56">
        <f>N54/'Physical data'!N4</f>
        <v>13.907360073808732</v>
      </c>
      <c r="O22" s="38">
        <f t="shared" ref="O22:O25" si="2">AVERAGE(J22:N22)</f>
        <v>13.993033628033771</v>
      </c>
      <c r="P22" s="34"/>
      <c r="Q22" s="34"/>
      <c r="R22" s="34"/>
      <c r="S22" s="34"/>
      <c r="T22" s="34"/>
      <c r="U22" s="34"/>
      <c r="V22" s="34"/>
      <c r="W22" s="34"/>
    </row>
    <row r="23" spans="1:32" x14ac:dyDescent="0.25">
      <c r="A23" s="49" t="s">
        <v>36</v>
      </c>
      <c r="B23" s="49" t="s">
        <v>121</v>
      </c>
      <c r="C23" s="56">
        <f>C55/'Physical data'!C5</f>
        <v>6.4372146068881806</v>
      </c>
      <c r="D23" s="56">
        <f>D55/'Physical data'!D5</f>
        <v>6.2832671352981588</v>
      </c>
      <c r="E23" s="56">
        <f>E55/'Physical data'!E5</f>
        <v>6.6021861080856015</v>
      </c>
      <c r="F23" s="56">
        <f>F55/'Physical data'!F5</f>
        <v>6.7224927150610476</v>
      </c>
      <c r="G23" s="56">
        <f>G55/'Physical data'!G5</f>
        <v>6.6478705939118949</v>
      </c>
      <c r="H23" s="56">
        <f>H55/'Physical data'!H5</f>
        <v>6.6426206147490401</v>
      </c>
      <c r="I23" s="56">
        <f>I55/'Physical data'!I5</f>
        <v>6.6035391414764391</v>
      </c>
      <c r="J23" s="56">
        <f>J55/'Physical data'!J5</f>
        <v>6.543662702969355</v>
      </c>
      <c r="K23" s="56">
        <f>K55/'Physical data'!K5</f>
        <v>6.72217721169062</v>
      </c>
      <c r="L23" s="56">
        <f>L55/'Physical data'!L5</f>
        <v>7.3232084582339416</v>
      </c>
      <c r="M23" s="56">
        <f>M55/'Physical data'!M5</f>
        <v>7.2820894286496554</v>
      </c>
      <c r="N23" s="56">
        <f>N55/'Physical data'!N5</f>
        <v>7.7431675792434955</v>
      </c>
      <c r="O23" s="38">
        <f t="shared" si="2"/>
        <v>7.1228610761574132</v>
      </c>
      <c r="P23" s="34"/>
      <c r="Q23" s="34"/>
      <c r="R23" s="34"/>
      <c r="S23" s="34"/>
      <c r="T23" s="34"/>
      <c r="U23" s="34"/>
      <c r="V23" s="34"/>
      <c r="W23" s="34"/>
    </row>
    <row r="24" spans="1:32" x14ac:dyDescent="0.25">
      <c r="A24" s="49" t="s">
        <v>30</v>
      </c>
      <c r="B24" s="49" t="s">
        <v>121</v>
      </c>
      <c r="C24" s="56">
        <f>C56/'Physical data'!C6</f>
        <v>11.896481516267508</v>
      </c>
      <c r="D24" s="56">
        <f>D56/'Physical data'!D6</f>
        <v>9.879788964405293</v>
      </c>
      <c r="E24" s="56">
        <f>E56/'Physical data'!E6</f>
        <v>10.494316906442018</v>
      </c>
      <c r="F24" s="56">
        <f>F56/'Physical data'!F6</f>
        <v>10.720157492533545</v>
      </c>
      <c r="G24" s="56">
        <f>G56/'Physical data'!G6</f>
        <v>11.860267402664439</v>
      </c>
      <c r="H24" s="56">
        <f>H56/'Physical data'!H6</f>
        <v>12.109139649594747</v>
      </c>
      <c r="I24" s="56">
        <f>I56/'Physical data'!I6</f>
        <v>12.760774826219974</v>
      </c>
      <c r="J24" s="56">
        <f>J56/'Physical data'!J6</f>
        <v>12.226262924038039</v>
      </c>
      <c r="K24" s="56">
        <f>K56/'Physical data'!K6</f>
        <v>12.364769426023932</v>
      </c>
      <c r="L24" s="56">
        <f>L56/'Physical data'!L6</f>
        <v>11.076418223574453</v>
      </c>
      <c r="M24" s="56">
        <f>M56/'Physical data'!M6</f>
        <v>12.85054221756814</v>
      </c>
      <c r="N24" s="56">
        <f>N56/'Physical data'!N6</f>
        <v>11.724422053678715</v>
      </c>
      <c r="O24" s="38">
        <f t="shared" si="2"/>
        <v>12.048482968976657</v>
      </c>
      <c r="P24" s="34"/>
      <c r="Q24" s="34"/>
      <c r="R24" s="34"/>
      <c r="S24" s="34"/>
      <c r="T24" s="34"/>
      <c r="U24" s="34"/>
      <c r="V24" s="34"/>
      <c r="W24" s="34"/>
    </row>
    <row r="25" spans="1:32" x14ac:dyDescent="0.25">
      <c r="A25" s="49" t="s">
        <v>39</v>
      </c>
      <c r="B25" s="49" t="s">
        <v>121</v>
      </c>
      <c r="C25" s="56">
        <f>C57/'Physical data'!C7</f>
        <v>5.8592654710304437</v>
      </c>
      <c r="D25" s="56">
        <f>D57/'Physical data'!D7</f>
        <v>5.8292543387506539</v>
      </c>
      <c r="E25" s="56">
        <f>E57/'Physical data'!E7</f>
        <v>5.9037170647319108</v>
      </c>
      <c r="F25" s="56">
        <f>F57/'Physical data'!F7</f>
        <v>6.3324578677631793</v>
      </c>
      <c r="G25" s="56">
        <f>G57/'Physical data'!G7</f>
        <v>7.0490848054541519</v>
      </c>
      <c r="H25" s="56">
        <f>H57/'Physical data'!H7</f>
        <v>7.022401334353451</v>
      </c>
      <c r="I25" s="56">
        <f>I57/'Physical data'!I7</f>
        <v>7.5077310727495465</v>
      </c>
      <c r="J25" s="56">
        <f>J57/'Physical data'!J7</f>
        <v>8.1646824436416701</v>
      </c>
      <c r="K25" s="56">
        <f>K57/'Physical data'!K7</f>
        <v>9.4604092709741963</v>
      </c>
      <c r="L25" s="56">
        <f>L57/'Physical data'!L7</f>
        <v>8.8494845231719292</v>
      </c>
      <c r="M25" s="56">
        <f>M57/'Physical data'!M7</f>
        <v>9.3046278758679843</v>
      </c>
      <c r="N25" s="56">
        <f>N57/'Physical data'!N7</f>
        <v>9.0919759773346414</v>
      </c>
      <c r="O25" s="38">
        <f t="shared" si="2"/>
        <v>8.9742360181980843</v>
      </c>
      <c r="P25" s="34"/>
      <c r="Q25" s="34"/>
      <c r="R25" s="34"/>
      <c r="S25" s="34"/>
      <c r="T25" s="34"/>
      <c r="U25" s="34"/>
      <c r="V25" s="34"/>
      <c r="W25" s="34"/>
    </row>
    <row r="26" spans="1:32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2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2" s="12" customFormat="1" x14ac:dyDescent="0.25">
      <c r="A28" s="54" t="s">
        <v>100</v>
      </c>
      <c r="B28" s="54"/>
      <c r="C28" s="55">
        <v>2006</v>
      </c>
      <c r="D28" s="55">
        <v>2007</v>
      </c>
      <c r="E28" s="55">
        <v>2008</v>
      </c>
      <c r="F28" s="55">
        <v>2009</v>
      </c>
      <c r="G28" s="55">
        <v>2010</v>
      </c>
      <c r="H28" s="55">
        <v>2011</v>
      </c>
      <c r="I28" s="55">
        <v>2012</v>
      </c>
      <c r="J28" s="55">
        <v>2013</v>
      </c>
      <c r="K28" s="55">
        <v>2014</v>
      </c>
      <c r="L28" s="55">
        <v>2015</v>
      </c>
      <c r="M28" s="55">
        <v>2016</v>
      </c>
      <c r="N28" s="55">
        <v>2017</v>
      </c>
      <c r="O28" s="55" t="s">
        <v>24</v>
      </c>
      <c r="P28" s="35"/>
      <c r="Q28" s="35"/>
      <c r="R28" s="35"/>
      <c r="S28" s="35"/>
      <c r="T28" s="35"/>
      <c r="U28" s="35"/>
      <c r="V28" s="35"/>
      <c r="W28" s="35"/>
    </row>
    <row r="29" spans="1:32" x14ac:dyDescent="0.25">
      <c r="A29" s="49" t="s">
        <v>38</v>
      </c>
      <c r="B29" s="49" t="s">
        <v>122</v>
      </c>
      <c r="C29" s="38">
        <f>C53/'Physical data'!C47</f>
        <v>224.48523847811558</v>
      </c>
      <c r="D29" s="38">
        <f>D53/'Physical data'!D47</f>
        <v>236.95516181267084</v>
      </c>
      <c r="E29" s="38">
        <f>E53/'Physical data'!E47</f>
        <v>226.05545572744174</v>
      </c>
      <c r="F29" s="38">
        <f>F53/'Physical data'!F47</f>
        <v>232.52405307100625</v>
      </c>
      <c r="G29" s="38">
        <f>G53/'Physical data'!G47</f>
        <v>236.38569377765884</v>
      </c>
      <c r="H29" s="38">
        <f>H53/'Physical data'!H47</f>
        <v>243.34833491580102</v>
      </c>
      <c r="I29" s="38">
        <f>I53/'Physical data'!I47</f>
        <v>257.77432247999309</v>
      </c>
      <c r="J29" s="38">
        <f>J53/'Physical data'!J47</f>
        <v>266.77264634319516</v>
      </c>
      <c r="K29" s="38">
        <f>K53/'Physical data'!K47</f>
        <v>274.54197457360823</v>
      </c>
      <c r="L29" s="38">
        <f>L53/'Physical data'!L47</f>
        <v>293.16591817710815</v>
      </c>
      <c r="M29" s="38">
        <f>M53/'Physical data'!M47</f>
        <v>308.14137725608725</v>
      </c>
      <c r="N29" s="38">
        <f>N53/'Physical data'!N47</f>
        <v>314.37958174397698</v>
      </c>
      <c r="O29" s="38">
        <f>AVERAGE(J29:N29)</f>
        <v>291.4002996187952</v>
      </c>
      <c r="P29" s="66"/>
      <c r="Q29" s="34">
        <f>M29/L29-1</f>
        <v>5.1081855531146969E-2</v>
      </c>
      <c r="R29" s="47">
        <f>(N29-C29)/C29</f>
        <v>0.40044656778011239</v>
      </c>
      <c r="S29" s="47">
        <f>(M29-L29)/L29</f>
        <v>5.1081855531146997E-2</v>
      </c>
      <c r="T29" s="47"/>
      <c r="U29" s="34"/>
      <c r="V29" s="34"/>
      <c r="W29" s="34"/>
    </row>
    <row r="30" spans="1:32" x14ac:dyDescent="0.25">
      <c r="A30" s="49" t="s">
        <v>21</v>
      </c>
      <c r="B30" s="49" t="s">
        <v>122</v>
      </c>
      <c r="C30" s="38">
        <f>C54/'Physical data'!C48</f>
        <v>259.63937323794255</v>
      </c>
      <c r="D30" s="38">
        <f>D54/'Physical data'!D48</f>
        <v>263.66333464644305</v>
      </c>
      <c r="E30" s="38">
        <f>E54/'Physical data'!E48</f>
        <v>283.13945332197511</v>
      </c>
      <c r="F30" s="38">
        <f>F54/'Physical data'!F48</f>
        <v>296.56616338797699</v>
      </c>
      <c r="G30" s="38">
        <f>G54/'Physical data'!G48</f>
        <v>307.41885081710598</v>
      </c>
      <c r="H30" s="38">
        <f>H54/'Physical data'!H48</f>
        <v>312.89633827366163</v>
      </c>
      <c r="I30" s="38">
        <f>I54/'Physical data'!I48</f>
        <v>320.78783366059878</v>
      </c>
      <c r="J30" s="38">
        <f>J54/'Physical data'!J48</f>
        <v>313.19679406783052</v>
      </c>
      <c r="K30" s="38">
        <f>K54/'Physical data'!K48</f>
        <v>328.20001724077127</v>
      </c>
      <c r="L30" s="38">
        <f>L54/'Physical data'!L48</f>
        <v>352.19187253100392</v>
      </c>
      <c r="M30" s="38">
        <f>M54/'Physical data'!M48</f>
        <v>351.12492392108089</v>
      </c>
      <c r="N30" s="38">
        <f>N54/'Physical data'!N48</f>
        <v>343.94113571147795</v>
      </c>
      <c r="O30" s="38">
        <f t="shared" ref="O30:O33" si="3">AVERAGE(J30:N30)</f>
        <v>337.73094869443293</v>
      </c>
      <c r="P30" s="66"/>
      <c r="Q30" s="34"/>
      <c r="R30" s="47">
        <f t="shared" ref="R30:R33" si="4">(N30-C30)/C30</f>
        <v>0.32468789853485874</v>
      </c>
      <c r="S30" s="47">
        <f t="shared" ref="S30:T33" si="5">(M30-L30)/L30</f>
        <v>-3.0294526737811257E-3</v>
      </c>
      <c r="T30" s="47"/>
      <c r="U30" s="34"/>
      <c r="V30" s="34"/>
      <c r="W30" s="34"/>
    </row>
    <row r="31" spans="1:32" x14ac:dyDescent="0.25">
      <c r="A31" s="49" t="s">
        <v>36</v>
      </c>
      <c r="B31" s="49" t="s">
        <v>122</v>
      </c>
      <c r="C31" s="38">
        <f>C55/'Physical data'!C49</f>
        <v>117.7508209193338</v>
      </c>
      <c r="D31" s="38">
        <f>D55/'Physical data'!D49</f>
        <v>115.05497770667652</v>
      </c>
      <c r="E31" s="38">
        <f>E55/'Physical data'!E49</f>
        <v>116.82335268397438</v>
      </c>
      <c r="F31" s="38">
        <f>F55/'Physical data'!F49</f>
        <v>123.60577164207608</v>
      </c>
      <c r="G31" s="38">
        <f>G55/'Physical data'!G49</f>
        <v>124.53206146072257</v>
      </c>
      <c r="H31" s="38">
        <f>H55/'Physical data'!H49</f>
        <v>120.21921066444251</v>
      </c>
      <c r="I31" s="38">
        <f>I55/'Physical data'!I49</f>
        <v>116.42414387907888</v>
      </c>
      <c r="J31" s="38">
        <f>J55/'Physical data'!J49</f>
        <v>117.44389519503117</v>
      </c>
      <c r="K31" s="38">
        <f>K55/'Physical data'!K49</f>
        <v>117.34366631534049</v>
      </c>
      <c r="L31" s="38">
        <f>L55/'Physical data'!L49</f>
        <v>124.75168539552433</v>
      </c>
      <c r="M31" s="38">
        <f>M55/'Physical data'!M49</f>
        <v>125.96833101307683</v>
      </c>
      <c r="N31" s="38">
        <f>N55/'Physical data'!N49</f>
        <v>124.94904622236045</v>
      </c>
      <c r="O31" s="38">
        <f t="shared" si="3"/>
        <v>122.09132482826666</v>
      </c>
      <c r="P31" s="66"/>
      <c r="Q31" s="34"/>
      <c r="R31" s="47">
        <f t="shared" si="4"/>
        <v>6.1130998890936407E-2</v>
      </c>
      <c r="S31" s="47">
        <f t="shared" si="5"/>
        <v>9.7525385223865713E-3</v>
      </c>
      <c r="T31" s="47"/>
      <c r="U31" s="34"/>
      <c r="V31" s="34"/>
      <c r="W31" s="34"/>
    </row>
    <row r="32" spans="1:32" x14ac:dyDescent="0.25">
      <c r="A32" s="49" t="s">
        <v>30</v>
      </c>
      <c r="B32" s="49" t="s">
        <v>122</v>
      </c>
      <c r="C32" s="38">
        <f>C56/'Physical data'!C50</f>
        <v>499.80044329138008</v>
      </c>
      <c r="D32" s="38">
        <f>D56/'Physical data'!D50</f>
        <v>496.08825738902618</v>
      </c>
      <c r="E32" s="38">
        <f>E56/'Physical data'!E50</f>
        <v>544.02310721856986</v>
      </c>
      <c r="F32" s="38">
        <f>F56/'Physical data'!F50</f>
        <v>541.64144208267805</v>
      </c>
      <c r="G32" s="38">
        <f>G56/'Physical data'!G50</f>
        <v>571.09519396031396</v>
      </c>
      <c r="H32" s="38">
        <f>H56/'Physical data'!H50</f>
        <v>575.42438291457995</v>
      </c>
      <c r="I32" s="38">
        <f>I56/'Physical data'!I50</f>
        <v>577.0860930646777</v>
      </c>
      <c r="J32" s="38">
        <f>J56/'Physical data'!J50</f>
        <v>562.06996626303521</v>
      </c>
      <c r="K32" s="38">
        <f>K56/'Physical data'!K50</f>
        <v>588.39847542826556</v>
      </c>
      <c r="L32" s="38">
        <f>L56/'Physical data'!L50</f>
        <v>512.99439017785608</v>
      </c>
      <c r="M32" s="38">
        <f>M56/'Physical data'!M50</f>
        <v>524.90175754925622</v>
      </c>
      <c r="N32" s="38">
        <f>N56/'Physical data'!N50</f>
        <v>506.49986346496422</v>
      </c>
      <c r="O32" s="38">
        <f t="shared" si="3"/>
        <v>538.97289057667535</v>
      </c>
      <c r="P32" s="66"/>
      <c r="Q32" s="34"/>
      <c r="R32" s="47">
        <f t="shared" si="4"/>
        <v>1.3404190139300118E-2</v>
      </c>
      <c r="S32" s="47">
        <f t="shared" si="5"/>
        <v>2.3211496264650841E-2</v>
      </c>
      <c r="T32" s="47"/>
      <c r="U32" s="34"/>
      <c r="V32" s="34"/>
      <c r="W32" s="34"/>
    </row>
    <row r="33" spans="1:23" x14ac:dyDescent="0.25">
      <c r="A33" s="49" t="s">
        <v>39</v>
      </c>
      <c r="B33" s="49" t="s">
        <v>122</v>
      </c>
      <c r="C33" s="38">
        <f>C57/'Physical data'!C51</f>
        <v>142.57691885492792</v>
      </c>
      <c r="D33" s="38">
        <f>D57/'Physical data'!D51</f>
        <v>143.02227933536906</v>
      </c>
      <c r="E33" s="38">
        <f>E57/'Physical data'!E51</f>
        <v>142.52705982759667</v>
      </c>
      <c r="F33" s="38">
        <f>F57/'Physical data'!F51</f>
        <v>148.9700419792548</v>
      </c>
      <c r="G33" s="38">
        <f>G57/'Physical data'!G51</f>
        <v>163.58873391750981</v>
      </c>
      <c r="H33" s="38">
        <f>H57/'Physical data'!H51</f>
        <v>159.78315980248988</v>
      </c>
      <c r="I33" s="38">
        <f>I57/'Physical data'!I51</f>
        <v>162.59430924634836</v>
      </c>
      <c r="J33" s="38">
        <f>J57/'Physical data'!J51</f>
        <v>162.33760032672166</v>
      </c>
      <c r="K33" s="38">
        <f>K57/'Physical data'!K51</f>
        <v>176.98480154706868</v>
      </c>
      <c r="L33" s="38">
        <f>L57/'Physical data'!L51</f>
        <v>179.19382265244613</v>
      </c>
      <c r="M33" s="38">
        <f>M57/'Physical data'!M51</f>
        <v>180.5576783905897</v>
      </c>
      <c r="N33" s="38">
        <f>N57/'Physical data'!N51</f>
        <v>180.65636488180937</v>
      </c>
      <c r="O33" s="38">
        <f t="shared" si="3"/>
        <v>175.94605355972709</v>
      </c>
      <c r="P33" s="66"/>
      <c r="Q33" s="34"/>
      <c r="R33" s="47">
        <f t="shared" si="4"/>
        <v>0.26708001780868401</v>
      </c>
      <c r="S33" s="47">
        <f t="shared" si="5"/>
        <v>7.6110644773108348E-3</v>
      </c>
      <c r="T33" s="47"/>
      <c r="U33" s="34"/>
      <c r="V33" s="34"/>
      <c r="W33" s="34"/>
    </row>
    <row r="34" spans="1:23" ht="15" customHeight="1" x14ac:dyDescent="0.25">
      <c r="A34" s="24"/>
      <c r="B34" s="24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67"/>
      <c r="N34" s="57"/>
      <c r="O34" s="57"/>
      <c r="P34" s="34"/>
      <c r="Q34" s="34"/>
      <c r="R34" s="34"/>
      <c r="S34" s="34"/>
      <c r="T34" s="34"/>
      <c r="U34" s="34"/>
      <c r="V34" s="34"/>
      <c r="W34" s="34"/>
    </row>
    <row r="35" spans="1:23" ht="1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s="12" customFormat="1" ht="15" customHeight="1" x14ac:dyDescent="0.25">
      <c r="A36" s="55"/>
      <c r="B36" s="55"/>
      <c r="C36" s="55" t="s">
        <v>25</v>
      </c>
      <c r="D36" s="55" t="s">
        <v>23</v>
      </c>
      <c r="E36" s="55" t="s">
        <v>35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ht="15" customHeight="1" x14ac:dyDescent="0.25">
      <c r="A37" s="49" t="s">
        <v>38</v>
      </c>
      <c r="B37" s="49"/>
      <c r="C37" s="38">
        <f>AVERAGE(Opex!J15:N15)</f>
        <v>83982.686579629051</v>
      </c>
      <c r="D37" s="38">
        <f>ABS(AVERAGE(Depreciation!J15:N15))</f>
        <v>91307.778693402885</v>
      </c>
      <c r="E37" s="38">
        <f>AVERAGE(RAB!J15:N15)*'Asset cost and Total user cost'!$B$2</f>
        <v>74920.773052916295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5" customHeight="1" x14ac:dyDescent="0.25">
      <c r="A38" s="49" t="s">
        <v>21</v>
      </c>
      <c r="B38" s="49"/>
      <c r="C38" s="38">
        <f>AVERAGE(Opex!J16:N16)</f>
        <v>211082.45284456084</v>
      </c>
      <c r="D38" s="38">
        <f>ABS(AVERAGE(Depreciation!J16:N16))</f>
        <v>265040.45889706828</v>
      </c>
      <c r="E38" s="38">
        <f>AVERAGE(RAB!J16:N16)*'Asset cost and Total user cost'!$B$2</f>
        <v>243656.27039477896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5" customHeight="1" x14ac:dyDescent="0.25">
      <c r="A39" s="49" t="s">
        <v>36</v>
      </c>
      <c r="B39" s="49"/>
      <c r="C39" s="38">
        <f>AVERAGE(Opex!J17:N17)</f>
        <v>88955.81391687438</v>
      </c>
      <c r="D39" s="38">
        <f>ABS(AVERAGE(Depreciation!J17:N17))</f>
        <v>151440.13706476221</v>
      </c>
      <c r="E39" s="38">
        <f>AVERAGE(RAB!J17:N17)*'Asset cost and Total user cost'!$B$2</f>
        <v>102430.47516784891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5" customHeight="1" x14ac:dyDescent="0.25">
      <c r="A40" s="49" t="s">
        <v>30</v>
      </c>
      <c r="B40" s="49"/>
      <c r="C40" s="38">
        <f>AVERAGE(Opex!J18:N18)</f>
        <v>41249.524955553468</v>
      </c>
      <c r="D40" s="38">
        <f>ABS(AVERAGE(Depreciation!J18:N18))</f>
        <v>60662.997970659249</v>
      </c>
      <c r="E40" s="38">
        <f>AVERAGE(RAB!J18:N18)*'Asset cost and Total user cost'!$B$2</f>
        <v>50721.274650352512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5" customHeight="1" x14ac:dyDescent="0.25">
      <c r="A41" s="49" t="s">
        <v>39</v>
      </c>
      <c r="B41" s="49"/>
      <c r="C41" s="38">
        <f>AVERAGE(Opex!J19:N19)</f>
        <v>174187.14795621607</v>
      </c>
      <c r="D41" s="38">
        <f>ABS(AVERAGE(Depreciation!J19:N19))</f>
        <v>253915.89538851575</v>
      </c>
      <c r="E41" s="38">
        <f>AVERAGE(RAB!J19:N19)*'Asset cost and Total user cost'!$B$2</f>
        <v>218700.68726539961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5" customHeight="1" x14ac:dyDescent="0.25">
      <c r="A43" s="34"/>
      <c r="B43" s="34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4"/>
      <c r="P43" s="34"/>
      <c r="Q43" s="34"/>
      <c r="R43" s="34"/>
      <c r="S43" s="34"/>
      <c r="T43" s="34"/>
      <c r="U43" s="34"/>
      <c r="V43" s="34"/>
      <c r="W43" s="34"/>
    </row>
    <row r="44" spans="1:23" s="12" customFormat="1" ht="15" customHeight="1" x14ac:dyDescent="0.25">
      <c r="A44" s="54" t="s">
        <v>51</v>
      </c>
      <c r="B44" s="54"/>
      <c r="C44" s="55">
        <v>2006</v>
      </c>
      <c r="D44" s="55">
        <v>2007</v>
      </c>
      <c r="E44" s="55">
        <v>2008</v>
      </c>
      <c r="F44" s="55">
        <v>2009</v>
      </c>
      <c r="G44" s="55">
        <v>2010</v>
      </c>
      <c r="H44" s="55">
        <v>2011</v>
      </c>
      <c r="I44" s="55">
        <v>2012</v>
      </c>
      <c r="J44" s="55">
        <v>2013</v>
      </c>
      <c r="K44" s="55">
        <v>2014</v>
      </c>
      <c r="L44" s="55">
        <v>2015</v>
      </c>
      <c r="M44" s="55">
        <v>2016</v>
      </c>
      <c r="N44" s="55">
        <v>2017</v>
      </c>
      <c r="O44" s="55" t="s">
        <v>24</v>
      </c>
      <c r="P44" s="35"/>
      <c r="Q44" s="35"/>
      <c r="R44" s="35"/>
      <c r="S44" s="35"/>
      <c r="T44" s="35"/>
      <c r="U44" s="35"/>
      <c r="V44" s="35"/>
      <c r="W44" s="35"/>
    </row>
    <row r="45" spans="1:23" x14ac:dyDescent="0.25">
      <c r="A45" s="49" t="s">
        <v>38</v>
      </c>
      <c r="B45" s="49" t="s">
        <v>104</v>
      </c>
      <c r="C45" s="38">
        <f>C53/'Physical data'!C32</f>
        <v>31218.041451199086</v>
      </c>
      <c r="D45" s="38">
        <f>D53/'Physical data'!D32</f>
        <v>33466.224183947757</v>
      </c>
      <c r="E45" s="38">
        <f>E53/'Physical data'!E32</f>
        <v>31995.790474707221</v>
      </c>
      <c r="F45" s="38">
        <f>F53/'Physical data'!F32</f>
        <v>34410.348429853475</v>
      </c>
      <c r="G45" s="38">
        <f>G53/'Physical data'!G32</f>
        <v>35531.483058895014</v>
      </c>
      <c r="H45" s="38">
        <f>H53/'Physical data'!H32</f>
        <v>36960.004706555475</v>
      </c>
      <c r="I45" s="38">
        <f>I53/'Physical data'!I32</f>
        <v>39377.171664786227</v>
      </c>
      <c r="J45" s="38">
        <f>J53/'Physical data'!J32</f>
        <v>40916.681631607702</v>
      </c>
      <c r="K45" s="38">
        <f>K53/'Physical data'!K32</f>
        <v>42291.302424858688</v>
      </c>
      <c r="L45" s="38">
        <f>L53/'Physical data'!L32</f>
        <v>45341.421272634929</v>
      </c>
      <c r="M45" s="38">
        <f>M53/'Physical data'!M32</f>
        <v>47894.243301087408</v>
      </c>
      <c r="N45" s="38">
        <f>N53/'Physical data'!N32</f>
        <v>50025.541750804121</v>
      </c>
      <c r="O45" s="38">
        <f t="shared" ref="O45:O49" si="6">AVERAGE(I45:M45)</f>
        <v>43164.164058994989</v>
      </c>
      <c r="P45" s="34"/>
      <c r="Q45" s="47">
        <f>(M45-C45)/C45</f>
        <v>0.5341847558232321</v>
      </c>
      <c r="R45" s="47">
        <f>(N45-C45)/C45</f>
        <v>0.60245612553899142</v>
      </c>
      <c r="S45" s="34"/>
      <c r="T45" s="34"/>
      <c r="U45" s="34"/>
      <c r="V45" s="34"/>
      <c r="W45" s="34"/>
    </row>
    <row r="46" spans="1:23" x14ac:dyDescent="0.25">
      <c r="A46" s="49" t="s">
        <v>21</v>
      </c>
      <c r="B46" s="49" t="s">
        <v>104</v>
      </c>
      <c r="C46" s="38">
        <f>C54/'Physical data'!C33</f>
        <v>40744.918781633343</v>
      </c>
      <c r="D46" s="38">
        <f>D54/'Physical data'!D33</f>
        <v>41485.029056093721</v>
      </c>
      <c r="E46" s="38">
        <f>E54/'Physical data'!E33</f>
        <v>43545.538094165153</v>
      </c>
      <c r="F46" s="38">
        <f>F54/'Physical data'!F33</f>
        <v>44966.404134632896</v>
      </c>
      <c r="G46" s="38">
        <f>G54/'Physical data'!G33</f>
        <v>45797.803168162427</v>
      </c>
      <c r="H46" s="38">
        <f>H54/'Physical data'!H33</f>
        <v>45904.152591144251</v>
      </c>
      <c r="I46" s="38">
        <f>I54/'Physical data'!I33</f>
        <v>47831.822557014006</v>
      </c>
      <c r="J46" s="38">
        <f>J54/'Physical data'!J33</f>
        <v>45297.236473508499</v>
      </c>
      <c r="K46" s="38">
        <f>K54/'Physical data'!K33</f>
        <v>46620.354224285569</v>
      </c>
      <c r="L46" s="38">
        <f>L54/'Physical data'!L33</f>
        <v>50735.525400047918</v>
      </c>
      <c r="M46" s="38">
        <f>M54/'Physical data'!M33</f>
        <v>51420.639459213693</v>
      </c>
      <c r="N46" s="38">
        <f>N54/'Physical data'!N33</f>
        <v>51919.503085139055</v>
      </c>
      <c r="O46" s="38">
        <f t="shared" si="6"/>
        <v>48381.115622813944</v>
      </c>
      <c r="P46" s="34"/>
      <c r="Q46" s="47">
        <f t="shared" ref="Q46:Q49" si="7">(M46-C46)/C46</f>
        <v>0.26201354664112531</v>
      </c>
      <c r="R46" s="47">
        <f t="shared" ref="R46:R49" si="8">(N46-C46)/C46</f>
        <v>0.27425712549322584</v>
      </c>
      <c r="S46" s="34"/>
      <c r="T46" s="34"/>
      <c r="U46" s="34"/>
      <c r="V46" s="34"/>
      <c r="W46" s="34"/>
    </row>
    <row r="47" spans="1:23" x14ac:dyDescent="0.25">
      <c r="A47" s="49" t="s">
        <v>36</v>
      </c>
      <c r="B47" s="49" t="s">
        <v>104</v>
      </c>
      <c r="C47" s="38">
        <f>C55/'Physical data'!C34</f>
        <v>44252.83863118817</v>
      </c>
      <c r="D47" s="38">
        <f>D55/'Physical data'!D34</f>
        <v>43930.712113306799</v>
      </c>
      <c r="E47" s="38">
        <f>E55/'Physical data'!E34</f>
        <v>45246.739083756707</v>
      </c>
      <c r="F47" s="38">
        <f>F55/'Physical data'!F34</f>
        <v>48497.654905732692</v>
      </c>
      <c r="G47" s="38">
        <f>G55/'Physical data'!G34</f>
        <v>49534.510855919907</v>
      </c>
      <c r="H47" s="38">
        <f>H55/'Physical data'!H34</f>
        <v>48556.89070616832</v>
      </c>
      <c r="I47" s="38">
        <f>I55/'Physical data'!I34</f>
        <v>47750.189788896787</v>
      </c>
      <c r="J47" s="38">
        <f>J55/'Physical data'!J34</f>
        <v>48837.474727921952</v>
      </c>
      <c r="K47" s="38">
        <f>K55/'Physical data'!K34</f>
        <v>49151.766160210391</v>
      </c>
      <c r="L47" s="38">
        <f>L55/'Physical data'!L34</f>
        <v>53092.500336430414</v>
      </c>
      <c r="M47" s="38">
        <f>M55/'Physical data'!M34</f>
        <v>54652.017294657802</v>
      </c>
      <c r="N47" s="38">
        <f>N55/'Physical data'!N34</f>
        <v>55275.712396848801</v>
      </c>
      <c r="O47" s="38">
        <f t="shared" si="6"/>
        <v>50696.789661623465</v>
      </c>
      <c r="P47" s="34"/>
      <c r="Q47" s="47">
        <f t="shared" si="7"/>
        <v>0.23499461243917991</v>
      </c>
      <c r="R47" s="47">
        <f t="shared" si="8"/>
        <v>0.24908851288676467</v>
      </c>
      <c r="S47" s="34"/>
      <c r="T47" s="34"/>
      <c r="U47" s="34"/>
      <c r="V47" s="34"/>
      <c r="W47" s="34"/>
    </row>
    <row r="48" spans="1:23" x14ac:dyDescent="0.25">
      <c r="A48" s="49" t="s">
        <v>30</v>
      </c>
      <c r="B48" s="49" t="s">
        <v>104</v>
      </c>
      <c r="C48" s="38">
        <f>C56/'Physical data'!C35</f>
        <v>34979.265826232331</v>
      </c>
      <c r="D48" s="38">
        <f>D56/'Physical data'!D35</f>
        <v>34989.593233953718</v>
      </c>
      <c r="E48" s="38">
        <f>E56/'Physical data'!E35</f>
        <v>39112.39124914135</v>
      </c>
      <c r="F48" s="38">
        <f>F56/'Physical data'!F35</f>
        <v>40844.920694780871</v>
      </c>
      <c r="G48" s="38">
        <f>G56/'Physical data'!G35</f>
        <v>44391.979614915974</v>
      </c>
      <c r="H48" s="38">
        <f>H56/'Physical data'!H35</f>
        <v>45438.973714182212</v>
      </c>
      <c r="I48" s="38">
        <f>I56/'Physical data'!I35</f>
        <v>45989.795213826968</v>
      </c>
      <c r="J48" s="38">
        <f>J56/'Physical data'!J35</f>
        <v>44903.472925563023</v>
      </c>
      <c r="K48" s="38">
        <f>K56/'Physical data'!K35</f>
        <v>47146.77549417362</v>
      </c>
      <c r="L48" s="38">
        <f>L56/'Physical data'!L35</f>
        <v>40746.325192736134</v>
      </c>
      <c r="M48" s="38">
        <f>M56/'Physical data'!M35</f>
        <v>42025.870295687499</v>
      </c>
      <c r="N48" s="38">
        <f>N56/'Physical data'!N35</f>
        <v>40883.195983427941</v>
      </c>
      <c r="O48" s="38">
        <f t="shared" si="6"/>
        <v>44162.447824397452</v>
      </c>
      <c r="P48" s="34"/>
      <c r="Q48" s="47">
        <f t="shared" si="7"/>
        <v>0.20145089678156256</v>
      </c>
      <c r="R48" s="47">
        <f t="shared" si="8"/>
        <v>0.16878370708306917</v>
      </c>
      <c r="S48" s="34"/>
      <c r="T48" s="34"/>
      <c r="U48" s="34"/>
      <c r="V48" s="34"/>
      <c r="W48" s="34"/>
    </row>
    <row r="49" spans="1:23" x14ac:dyDescent="0.25">
      <c r="A49" s="49" t="s">
        <v>39</v>
      </c>
      <c r="B49" s="49" t="s">
        <v>104</v>
      </c>
      <c r="C49" s="38">
        <f>C57/'Physical data'!C36</f>
        <v>38149.822104344094</v>
      </c>
      <c r="D49" s="38">
        <f>D57/'Physical data'!D36</f>
        <v>38624.383655658487</v>
      </c>
      <c r="E49" s="38">
        <f>E57/'Physical data'!E36</f>
        <v>38891.373287112743</v>
      </c>
      <c r="F49" s="38">
        <f>F57/'Physical data'!F36</f>
        <v>41008.386261182502</v>
      </c>
      <c r="G49" s="38">
        <f>G57/'Physical data'!G36</f>
        <v>44798.586403441528</v>
      </c>
      <c r="H49" s="38">
        <f>H57/'Physical data'!H36</f>
        <v>44188.11545917231</v>
      </c>
      <c r="I49" s="38">
        <f>I57/'Physical data'!I36</f>
        <v>45292.811259406517</v>
      </c>
      <c r="J49" s="38">
        <f>J57/'Physical data'!J36</f>
        <v>45022.969252376795</v>
      </c>
      <c r="K49" s="38">
        <f>K57/'Physical data'!K36</f>
        <v>49608.068131533815</v>
      </c>
      <c r="L49" s="38">
        <f>L57/'Physical data'!L36</f>
        <v>50549.984111829028</v>
      </c>
      <c r="M49" s="38">
        <f>M57/'Physical data'!M36</f>
        <v>51521.135517773029</v>
      </c>
      <c r="N49" s="38">
        <f>N57/'Physical data'!N36</f>
        <v>52140.410285451653</v>
      </c>
      <c r="O49" s="38">
        <f t="shared" si="6"/>
        <v>48398.993654583835</v>
      </c>
      <c r="P49" s="34"/>
      <c r="Q49" s="47">
        <f t="shared" si="7"/>
        <v>0.35049477758656056</v>
      </c>
      <c r="R49" s="47">
        <f t="shared" si="8"/>
        <v>0.36672748152905438</v>
      </c>
      <c r="S49" s="34"/>
      <c r="T49" s="34"/>
      <c r="U49" s="34"/>
      <c r="V49" s="34"/>
      <c r="W49" s="34"/>
    </row>
    <row r="50" spans="1:23" x14ac:dyDescent="0.25">
      <c r="A50" s="34"/>
      <c r="B50" s="34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34"/>
      <c r="P50" s="34"/>
      <c r="Q50" s="34"/>
      <c r="R50" s="34"/>
      <c r="S50" s="34"/>
      <c r="T50" s="34"/>
      <c r="U50" s="34"/>
      <c r="V50" s="34"/>
      <c r="W50" s="34"/>
    </row>
    <row r="51" spans="1:23" x14ac:dyDescent="0.25">
      <c r="A51" s="34"/>
      <c r="B51" s="34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34"/>
      <c r="P51" s="34"/>
      <c r="Q51" s="34"/>
      <c r="R51" s="34"/>
      <c r="S51" s="34"/>
      <c r="T51" s="34"/>
      <c r="U51" s="34"/>
      <c r="V51" s="34"/>
      <c r="W51" s="34"/>
    </row>
    <row r="52" spans="1:23" x14ac:dyDescent="0.25">
      <c r="A52" s="54" t="s">
        <v>45</v>
      </c>
      <c r="B52" s="54"/>
      <c r="C52" s="55">
        <v>2006</v>
      </c>
      <c r="D52" s="55">
        <v>2007</v>
      </c>
      <c r="E52" s="55">
        <v>2008</v>
      </c>
      <c r="F52" s="55">
        <v>2009</v>
      </c>
      <c r="G52" s="55">
        <v>2010</v>
      </c>
      <c r="H52" s="55">
        <v>2011</v>
      </c>
      <c r="I52" s="55">
        <v>2012</v>
      </c>
      <c r="J52" s="55">
        <v>2013</v>
      </c>
      <c r="K52" s="55">
        <v>2014</v>
      </c>
      <c r="L52" s="55">
        <v>2015</v>
      </c>
      <c r="M52" s="55">
        <v>2016</v>
      </c>
      <c r="N52" s="55">
        <v>2017</v>
      </c>
      <c r="O52" s="55" t="s">
        <v>24</v>
      </c>
      <c r="P52" s="34"/>
      <c r="Q52" s="34"/>
      <c r="R52" s="34"/>
      <c r="S52" s="34"/>
      <c r="T52" s="34"/>
      <c r="U52" s="34"/>
      <c r="V52" s="34"/>
      <c r="W52" s="34"/>
    </row>
    <row r="53" spans="1:23" x14ac:dyDescent="0.25">
      <c r="A53" s="49" t="s">
        <v>38</v>
      </c>
      <c r="B53" s="52" t="s">
        <v>103</v>
      </c>
      <c r="C53" s="56">
        <f>'Asset cost and Total user cost'!C15</f>
        <v>174837858.65105706</v>
      </c>
      <c r="D53" s="56">
        <f>'Asset cost and Total user cost'!D15</f>
        <v>184689013.95100278</v>
      </c>
      <c r="E53" s="56">
        <f>'Asset cost and Total user cost'!E15</f>
        <v>176574177.02326202</v>
      </c>
      <c r="F53" s="56">
        <f>'Asset cost and Total user cost'!F15</f>
        <v>189383167.93258324</v>
      </c>
      <c r="G53" s="56">
        <f>'Asset cost and Total user cost'!G15</f>
        <v>195482458.86914787</v>
      </c>
      <c r="H53" s="56">
        <f>'Asset cost and Total user cost'!H15</f>
        <v>203452592.14803001</v>
      </c>
      <c r="I53" s="56">
        <f>'Asset cost and Total user cost'!I15</f>
        <v>217600967.64445359</v>
      </c>
      <c r="J53" s="56">
        <f>'Asset cost and Total user cost'!J15</f>
        <v>226160779.2997852</v>
      </c>
      <c r="K53" s="56">
        <f>'Asset cost and Total user cost'!K15</f>
        <v>233845656.7856513</v>
      </c>
      <c r="L53" s="56">
        <f>'Asset cost and Total user cost'!L15</f>
        <v>250345811.00224158</v>
      </c>
      <c r="M53" s="56">
        <f>'Asset cost and Total user cost'!M15</f>
        <v>264584515.08611894</v>
      </c>
      <c r="N53" s="56">
        <f>'Asset cost and Total user cost'!N15</f>
        <v>276119429.45594412</v>
      </c>
      <c r="O53" s="38">
        <f>AVERAGE(J53:N53)</f>
        <v>250211238.32594824</v>
      </c>
      <c r="P53" s="34"/>
      <c r="Q53" s="34"/>
      <c r="R53" s="34"/>
      <c r="S53" s="34"/>
      <c r="T53" s="34"/>
      <c r="U53" s="34"/>
      <c r="V53" s="34"/>
      <c r="W53" s="34"/>
    </row>
    <row r="54" spans="1:23" x14ac:dyDescent="0.25">
      <c r="A54" s="49" t="s">
        <v>21</v>
      </c>
      <c r="B54" s="52" t="s">
        <v>103</v>
      </c>
      <c r="C54" s="56">
        <f>'Asset cost and Total user cost'!C16</f>
        <v>476748145.68013543</v>
      </c>
      <c r="D54" s="56">
        <f>'Asset cost and Total user cost'!D16</f>
        <v>493373153.55831134</v>
      </c>
      <c r="E54" s="56">
        <f>'Asset cost and Total user cost'!E16</f>
        <v>541218783.8647598</v>
      </c>
      <c r="F54" s="56">
        <f>'Asset cost and Total user cost'!F16</f>
        <v>578497285.83246565</v>
      </c>
      <c r="G54" s="56">
        <f>'Asset cost and Total user cost'!G16</f>
        <v>610077115.78340852</v>
      </c>
      <c r="H54" s="56">
        <f>'Asset cost and Total user cost'!H16</f>
        <v>630649609.95817614</v>
      </c>
      <c r="I54" s="56">
        <f>'Asset cost and Total user cost'!I16</f>
        <v>655410765.40522873</v>
      </c>
      <c r="J54" s="56">
        <f>'Asset cost and Total user cost'!J16</f>
        <v>648361994.26356387</v>
      </c>
      <c r="K54" s="56">
        <f>'Asset cost and Total user cost'!K16</f>
        <v>688699182.77825856</v>
      </c>
      <c r="L54" s="56">
        <f>'Asset cost and Total user cost'!L16</f>
        <v>748577309.51500702</v>
      </c>
      <c r="M54" s="56">
        <f>'Asset cost and Total user cost'!M16</f>
        <v>758737245.54042768</v>
      </c>
      <c r="N54" s="56">
        <f>'Asset cost and Total user cost'!N16</f>
        <v>754520178.58478332</v>
      </c>
      <c r="O54" s="38">
        <f t="shared" ref="O54:O57" si="9">AVERAGE(J54:N54)</f>
        <v>719779182.13640809</v>
      </c>
      <c r="P54" s="34"/>
      <c r="Q54" s="34"/>
      <c r="R54" s="34"/>
      <c r="S54" s="34"/>
      <c r="T54" s="34"/>
      <c r="U54" s="34"/>
      <c r="V54" s="34"/>
      <c r="W54" s="34"/>
    </row>
    <row r="55" spans="1:23" x14ac:dyDescent="0.25">
      <c r="A55" s="49" t="s">
        <v>36</v>
      </c>
      <c r="B55" s="52" t="s">
        <v>103</v>
      </c>
      <c r="C55" s="56">
        <f>'Asset cost and Total user cost'!C17</f>
        <v>290873908.32279986</v>
      </c>
      <c r="D55" s="56">
        <f>'Asset cost and Total user cost'!D17</f>
        <v>288756570.72076559</v>
      </c>
      <c r="E55" s="56">
        <f>'Asset cost and Total user cost'!E17</f>
        <v>297406815.99753284</v>
      </c>
      <c r="F55" s="56">
        <f>'Asset cost and Total user cost'!F17</f>
        <v>318775085.69538099</v>
      </c>
      <c r="G55" s="56">
        <f>'Asset cost and Total user cost'!G17</f>
        <v>325590339.85596156</v>
      </c>
      <c r="H55" s="56">
        <f>'Asset cost and Total user cost'!H17</f>
        <v>319164442.61164439</v>
      </c>
      <c r="I55" s="56">
        <f>'Asset cost and Total user cost'!I17</f>
        <v>313861997.4824186</v>
      </c>
      <c r="J55" s="56">
        <f>'Asset cost and Total user cost'!J17</f>
        <v>321008721.38663101</v>
      </c>
      <c r="K55" s="56">
        <f>'Asset cost and Total user cost'!K17</f>
        <v>323074558.9710629</v>
      </c>
      <c r="L55" s="56">
        <f>'Asset cost and Total user cost'!L17</f>
        <v>348987623.21142441</v>
      </c>
      <c r="M55" s="56">
        <f>'Asset cost and Total user cost'!M17</f>
        <v>358454097.07917029</v>
      </c>
      <c r="N55" s="56">
        <f>'Asset cost and Total user cost'!N17</f>
        <v>362607130.09913892</v>
      </c>
      <c r="O55" s="38">
        <f t="shared" si="9"/>
        <v>342826426.14948547</v>
      </c>
      <c r="P55" s="34"/>
      <c r="Q55" s="34"/>
      <c r="R55" s="34"/>
      <c r="S55" s="34"/>
      <c r="T55" s="34"/>
      <c r="U55" s="34"/>
      <c r="V55" s="34"/>
      <c r="W55" s="34"/>
    </row>
    <row r="56" spans="1:23" x14ac:dyDescent="0.25">
      <c r="A56" s="49" t="s">
        <v>30</v>
      </c>
      <c r="B56" s="52" t="s">
        <v>103</v>
      </c>
      <c r="C56" s="56">
        <f>'Asset cost and Total user cost'!C18</f>
        <v>125271244.70348586</v>
      </c>
      <c r="D56" s="56">
        <f>'Asset cost and Total user cost'!D18</f>
        <v>126742803.57135056</v>
      </c>
      <c r="E56" s="56">
        <f>'Asset cost and Total user cost'!E18</f>
        <v>141676814.82176471</v>
      </c>
      <c r="F56" s="56">
        <f>'Asset cost and Total user cost'!F18</f>
        <v>143786374.3218371</v>
      </c>
      <c r="G56" s="56">
        <f>'Asset cost and Total user cost'!G18</f>
        <v>154541798.633407</v>
      </c>
      <c r="H56" s="56">
        <f>'Asset cost and Total user cost'!H18</f>
        <v>158731966.87575272</v>
      </c>
      <c r="I56" s="56">
        <f>'Asset cost and Total user cost'!I18</f>
        <v>160656151.62046176</v>
      </c>
      <c r="J56" s="56">
        <f>'Asset cost and Total user cost'!J18</f>
        <v>157305397.31810313</v>
      </c>
      <c r="K56" s="56">
        <f>'Asset cost and Total user cost'!K18</f>
        <v>165192871.97648555</v>
      </c>
      <c r="L56" s="56">
        <f>'Asset cost and Total user cost'!L18</f>
        <v>145207679.08935377</v>
      </c>
      <c r="M56" s="56">
        <f>'Asset cost and Total user cost'!M18</f>
        <v>149767593.97274154</v>
      </c>
      <c r="N56" s="56">
        <f>'Asset cost and Total user cost'!N18</f>
        <v>145695445.52614215</v>
      </c>
      <c r="O56" s="38">
        <f t="shared" si="9"/>
        <v>152633797.57656521</v>
      </c>
      <c r="P56" s="34"/>
      <c r="Q56" s="34"/>
      <c r="R56" s="34"/>
      <c r="S56" s="34"/>
      <c r="T56" s="34"/>
      <c r="U56" s="34"/>
      <c r="V56" s="34"/>
      <c r="W56" s="34"/>
    </row>
    <row r="57" spans="1:23" x14ac:dyDescent="0.25">
      <c r="A57" s="49" t="s">
        <v>39</v>
      </c>
      <c r="B57" s="52" t="s">
        <v>103</v>
      </c>
      <c r="C57" s="56">
        <f>'Asset cost and Total user cost'!C19</f>
        <v>477530135.88898116</v>
      </c>
      <c r="D57" s="56">
        <f>'Asset cost and Total user cost'!D19</f>
        <v>483828110.11630428</v>
      </c>
      <c r="E57" s="56">
        <f>'Asset cost and Total user cost'!E19</f>
        <v>487056657.84038264</v>
      </c>
      <c r="F57" s="56">
        <f>'Asset cost and Total user cost'!F19</f>
        <v>513562333.07559383</v>
      </c>
      <c r="G57" s="56">
        <f>'Asset cost and Total user cost'!G19</f>
        <v>568156235.31960464</v>
      </c>
      <c r="H57" s="56">
        <f>'Asset cost and Total user cost'!H19</f>
        <v>560387626.48140538</v>
      </c>
      <c r="I57" s="56">
        <f>'Asset cost and Total user cost'!I19</f>
        <v>575092200.17261529</v>
      </c>
      <c r="J57" s="56">
        <f>'Asset cost and Total user cost'!J19</f>
        <v>580508921.74292278</v>
      </c>
      <c r="K57" s="56">
        <f>'Asset cost and Total user cost'!K19</f>
        <v>641415751.84597647</v>
      </c>
      <c r="L57" s="56">
        <f>'Asset cost and Total user cost'!L19</f>
        <v>658401648.52399158</v>
      </c>
      <c r="M57" s="56">
        <f>'Asset cost and Total user cost'!M19</f>
        <v>671794132.63766849</v>
      </c>
      <c r="N57" s="56">
        <f>'Asset cost and Total user cost'!N19</f>
        <v>681898198.30009806</v>
      </c>
      <c r="O57" s="38">
        <f t="shared" si="9"/>
        <v>646803730.6101315</v>
      </c>
      <c r="P57" s="34"/>
      <c r="Q57" s="34"/>
      <c r="R57" s="34"/>
      <c r="S57" s="34"/>
      <c r="T57" s="34"/>
      <c r="U57" s="34"/>
      <c r="V57" s="34"/>
      <c r="W57" s="34"/>
    </row>
    <row r="58" spans="1:23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F7" sqref="F7"/>
    </sheetView>
  </sheetViews>
  <sheetFormatPr defaultColWidth="9.140625" defaultRowHeight="15" x14ac:dyDescent="0.25"/>
  <cols>
    <col min="1" max="1" width="46.42578125" style="2" bestFit="1" customWidth="1"/>
    <col min="2" max="11" width="14" style="2" customWidth="1"/>
    <col min="12" max="12" width="12.28515625" style="2" customWidth="1"/>
    <col min="13" max="14" width="14.140625" style="18" customWidth="1"/>
    <col min="15" max="16384" width="9.140625" style="2"/>
  </cols>
  <sheetData>
    <row r="1" spans="1:17" x14ac:dyDescent="0.25">
      <c r="A1" s="35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4" t="s">
        <v>32</v>
      </c>
      <c r="B2" s="50">
        <v>3.6169268997047622E-2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25">
      <c r="A5" s="15" t="s">
        <v>54</v>
      </c>
      <c r="B5" s="35" t="str">
        <f>IF(Depreciation!A14=RAB!A14,"valid","invalid")</f>
        <v>valid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5">
      <c r="A6" s="35" t="str">
        <f>Depreciation!A14</f>
        <v>Real $2017</v>
      </c>
      <c r="B6" s="35"/>
      <c r="C6" s="34">
        <v>2006</v>
      </c>
      <c r="D6" s="34">
        <v>2007</v>
      </c>
      <c r="E6" s="34">
        <v>2008</v>
      </c>
      <c r="F6" s="34">
        <v>2009</v>
      </c>
      <c r="G6" s="34">
        <v>2010</v>
      </c>
      <c r="H6" s="34">
        <v>2011</v>
      </c>
      <c r="I6" s="34">
        <v>2012</v>
      </c>
      <c r="J6" s="34">
        <v>2013</v>
      </c>
      <c r="K6" s="34">
        <v>2014</v>
      </c>
      <c r="L6" s="34">
        <v>2015</v>
      </c>
      <c r="M6" s="34">
        <v>2016</v>
      </c>
      <c r="N6" s="34">
        <v>2017</v>
      </c>
      <c r="O6" s="34"/>
      <c r="P6" s="34"/>
      <c r="Q6" s="34"/>
    </row>
    <row r="7" spans="1:17" x14ac:dyDescent="0.25">
      <c r="A7" s="49" t="s">
        <v>38</v>
      </c>
      <c r="B7" s="49" t="s">
        <v>101</v>
      </c>
      <c r="C7" s="38">
        <f>RAB!C15*'Asset cost and Total user cost'!$B$2-Depreciation!C15</f>
        <v>110051.28227874204</v>
      </c>
      <c r="D7" s="38">
        <f>RAB!D15*'Asset cost and Total user cost'!$B$2-Depreciation!D15</f>
        <v>116173.39039442077</v>
      </c>
      <c r="E7" s="38">
        <f>RAB!E15*'Asset cost and Total user cost'!$B$2-Depreciation!E15</f>
        <v>114366.05473818906</v>
      </c>
      <c r="F7" s="38">
        <f>RAB!F15*'Asset cost and Total user cost'!$B$2-Depreciation!F15</f>
        <v>122835.31836548369</v>
      </c>
      <c r="G7" s="38">
        <f>RAB!G15*'Asset cost and Total user cost'!$B$2-Depreciation!G15</f>
        <v>127049.15346087638</v>
      </c>
      <c r="H7" s="38">
        <f>RAB!H15*'Asset cost and Total user cost'!$B$2-Depreciation!H15</f>
        <v>128985.3372460692</v>
      </c>
      <c r="I7" s="38">
        <f>RAB!I15*'Asset cost and Total user cost'!$B$2-Depreciation!I15</f>
        <v>136071.24419755978</v>
      </c>
      <c r="J7" s="38">
        <f>RAB!J15*'Asset cost and Total user cost'!$B$2-Depreciation!J15</f>
        <v>148650.22341743228</v>
      </c>
      <c r="K7" s="38">
        <f>RAB!K15*'Asset cost and Total user cost'!$B$2-Depreciation!K15</f>
        <v>154519.98935626197</v>
      </c>
      <c r="L7" s="38">
        <f>RAB!L15*'Asset cost and Total user cost'!$B$2-Depreciation!L15</f>
        <v>166632.72015259805</v>
      </c>
      <c r="M7" s="38">
        <f>RAB!M15*'Asset cost and Total user cost'!$B$2-Depreciation!M15</f>
        <v>176571.33143390494</v>
      </c>
      <c r="N7" s="38">
        <f>RAB!N15*'Asset cost and Total user cost'!$B$2-Depreciation!N15</f>
        <v>184768.49437139864</v>
      </c>
      <c r="O7" s="38"/>
      <c r="P7" s="34"/>
      <c r="Q7" s="34"/>
    </row>
    <row r="8" spans="1:17" x14ac:dyDescent="0.25">
      <c r="A8" s="49" t="s">
        <v>21</v>
      </c>
      <c r="B8" s="49" t="s">
        <v>101</v>
      </c>
      <c r="C8" s="38">
        <f>RAB!C16*'Asset cost and Total user cost'!$B$2-Depreciation!C16</f>
        <v>317853.75307870342</v>
      </c>
      <c r="D8" s="38">
        <f>RAB!D16*'Asset cost and Total user cost'!$B$2-Depreciation!D16</f>
        <v>327339.59120265313</v>
      </c>
      <c r="E8" s="38">
        <f>RAB!E16*'Asset cost and Total user cost'!$B$2-Depreciation!E16</f>
        <v>359906.15535746468</v>
      </c>
      <c r="F8" s="38">
        <f>RAB!F16*'Asset cost and Total user cost'!$B$2-Depreciation!F16</f>
        <v>405256.68410086387</v>
      </c>
      <c r="G8" s="38">
        <f>RAB!G16*'Asset cost and Total user cost'!$B$2-Depreciation!G16</f>
        <v>429502.20380037557</v>
      </c>
      <c r="H8" s="38">
        <f>RAB!H16*'Asset cost and Total user cost'!$B$2-Depreciation!H16</f>
        <v>455929.7864287644</v>
      </c>
      <c r="I8" s="38">
        <f>RAB!I16*'Asset cost and Total user cost'!$B$2-Depreciation!I16</f>
        <v>475259.99987416656</v>
      </c>
      <c r="J8" s="38">
        <f>RAB!J16*'Asset cost and Total user cost'!$B$2-Depreciation!J16</f>
        <v>464410.73358759331</v>
      </c>
      <c r="K8" s="38">
        <f>RAB!K16*'Asset cost and Total user cost'!$B$2-Depreciation!K16</f>
        <v>495070.19875282026</v>
      </c>
      <c r="L8" s="38">
        <f>RAB!L16*'Asset cost and Total user cost'!$B$2-Depreciation!L16</f>
        <v>526416.35839635902</v>
      </c>
      <c r="M8" s="38">
        <f>RAB!M16*'Asset cost and Total user cost'!$B$2-Depreciation!M16</f>
        <v>533646.85716404393</v>
      </c>
      <c r="N8" s="38">
        <f>RAB!N16*'Asset cost and Total user cost'!$B$2-Depreciation!N16</f>
        <v>523939.49855841964</v>
      </c>
      <c r="O8" s="38"/>
      <c r="P8" s="34"/>
      <c r="Q8" s="34"/>
    </row>
    <row r="9" spans="1:17" x14ac:dyDescent="0.25">
      <c r="A9" s="49" t="s">
        <v>36</v>
      </c>
      <c r="B9" s="49" t="s">
        <v>101</v>
      </c>
      <c r="C9" s="38">
        <f>RAB!C17*'Asset cost and Total user cost'!$B$2-Depreciation!C17</f>
        <v>207854.55065961211</v>
      </c>
      <c r="D9" s="38">
        <f>RAB!D17*'Asset cost and Total user cost'!$B$2-Depreciation!D17</f>
        <v>208828.63170290075</v>
      </c>
      <c r="E9" s="38">
        <f>RAB!E17*'Asset cost and Total user cost'!$B$2-Depreciation!E17</f>
        <v>223431.74733445246</v>
      </c>
      <c r="F9" s="38">
        <f>RAB!F17*'Asset cost and Total user cost'!$B$2-Depreciation!F17</f>
        <v>224946.67101253313</v>
      </c>
      <c r="G9" s="38">
        <f>RAB!G17*'Asset cost and Total user cost'!$B$2-Depreciation!G17</f>
        <v>229906.90681758203</v>
      </c>
      <c r="H9" s="38">
        <f>RAB!H17*'Asset cost and Total user cost'!$B$2-Depreciation!H17</f>
        <v>231926.69038470142</v>
      </c>
      <c r="I9" s="38">
        <f>RAB!I17*'Asset cost and Total user cost'!$B$2-Depreciation!I17</f>
        <v>232154.92801648675</v>
      </c>
      <c r="J9" s="38">
        <f>RAB!J17*'Asset cost and Total user cost'!$B$2-Depreciation!J17</f>
        <v>237176.18774026557</v>
      </c>
      <c r="K9" s="38">
        <f>RAB!K17*'Asset cost and Total user cost'!$B$2-Depreciation!K17</f>
        <v>233896.56435051118</v>
      </c>
      <c r="L9" s="38">
        <f>RAB!L17*'Asset cost and Total user cost'!$B$2-Depreciation!L17</f>
        <v>259808.09406213259</v>
      </c>
      <c r="M9" s="38">
        <f>RAB!M17*'Asset cost and Total user cost'!$B$2-Depreciation!M17</f>
        <v>265670.33053477609</v>
      </c>
      <c r="N9" s="38">
        <f>RAB!N17*'Asset cost and Total user cost'!$B$2-Depreciation!N17</f>
        <v>272801.88447537011</v>
      </c>
      <c r="O9" s="38"/>
      <c r="P9" s="34"/>
      <c r="Q9" s="34"/>
    </row>
    <row r="10" spans="1:17" x14ac:dyDescent="0.25">
      <c r="A10" s="49" t="s">
        <v>30</v>
      </c>
      <c r="B10" s="49" t="s">
        <v>101</v>
      </c>
      <c r="C10" s="38">
        <f>RAB!C18*'Asset cost and Total user cost'!$B$2-Depreciation!C18</f>
        <v>77881.507462435751</v>
      </c>
      <c r="D10" s="38">
        <f>RAB!D18*'Asset cost and Total user cost'!$B$2-Depreciation!D18</f>
        <v>77997.91268913346</v>
      </c>
      <c r="E10" s="38">
        <f>RAB!E18*'Asset cost and Total user cost'!$B$2-Depreciation!E18</f>
        <v>83382.140022662585</v>
      </c>
      <c r="F10" s="38">
        <f>RAB!F18*'Asset cost and Total user cost'!$B$2-Depreciation!F18</f>
        <v>87199.360727681255</v>
      </c>
      <c r="G10" s="38">
        <f>RAB!G18*'Asset cost and Total user cost'!$B$2-Depreciation!G18</f>
        <v>97743.465157267012</v>
      </c>
      <c r="H10" s="38">
        <f>RAB!H18*'Asset cost and Total user cost'!$B$2-Depreciation!H18</f>
        <v>104871.23938555663</v>
      </c>
      <c r="I10" s="38">
        <f>RAB!I18*'Asset cost and Total user cost'!$B$2-Depreciation!I18</f>
        <v>107949.89917557196</v>
      </c>
      <c r="J10" s="38">
        <f>RAB!J18*'Asset cost and Total user cost'!$B$2-Depreciation!J18</f>
        <v>107875.25070731883</v>
      </c>
      <c r="K10" s="38">
        <f>RAB!K18*'Asset cost and Total user cost'!$B$2-Depreciation!K18</f>
        <v>116418.67541160007</v>
      </c>
      <c r="L10" s="38">
        <f>RAB!L18*'Asset cost and Total user cost'!$B$2-Depreciation!L18</f>
        <v>108711.32860138941</v>
      </c>
      <c r="M10" s="38">
        <f>RAB!M18*'Asset cost and Total user cost'!$B$2-Depreciation!M18</f>
        <v>110880.68335091384</v>
      </c>
      <c r="N10" s="38">
        <f>RAB!N18*'Asset cost and Total user cost'!$B$2-Depreciation!N18</f>
        <v>113035.42503383668</v>
      </c>
      <c r="O10" s="38"/>
      <c r="P10" s="34"/>
      <c r="Q10" s="34"/>
    </row>
    <row r="11" spans="1:17" x14ac:dyDescent="0.25">
      <c r="A11" s="49" t="s">
        <v>39</v>
      </c>
      <c r="B11" s="49" t="s">
        <v>101</v>
      </c>
      <c r="C11" s="38">
        <f>RAB!C19*'Asset cost and Total user cost'!$B$2-Depreciation!C19</f>
        <v>316028.5487768093</v>
      </c>
      <c r="D11" s="38">
        <f>RAB!D19*'Asset cost and Total user cost'!$B$2-Depreciation!D19</f>
        <v>324493.36415787472</v>
      </c>
      <c r="E11" s="38">
        <f>RAB!E19*'Asset cost and Total user cost'!$B$2-Depreciation!E19</f>
        <v>336445.08657214476</v>
      </c>
      <c r="F11" s="38">
        <f>RAB!F19*'Asset cost and Total user cost'!$B$2-Depreciation!F19</f>
        <v>362955.2551535159</v>
      </c>
      <c r="G11" s="38">
        <f>RAB!G19*'Asset cost and Total user cost'!$B$2-Depreciation!G19</f>
        <v>397878.35621037881</v>
      </c>
      <c r="H11" s="38">
        <f>RAB!H19*'Asset cost and Total user cost'!$B$2-Depreciation!H19</f>
        <v>401006.64608924848</v>
      </c>
      <c r="I11" s="38">
        <f>RAB!I19*'Asset cost and Total user cost'!$B$2-Depreciation!I19</f>
        <v>404235.17612451897</v>
      </c>
      <c r="J11" s="38">
        <f>RAB!J19*'Asset cost and Total user cost'!$B$2-Depreciation!J19</f>
        <v>423294.16684096196</v>
      </c>
      <c r="K11" s="38">
        <f>RAB!K19*'Asset cost and Total user cost'!$B$2-Depreciation!K19</f>
        <v>453543.42551009858</v>
      </c>
      <c r="L11" s="38">
        <f>RAB!L19*'Asset cost and Total user cost'!$B$2-Depreciation!L19</f>
        <v>481493.33336170262</v>
      </c>
      <c r="M11" s="38">
        <f>RAB!M19*'Asset cost and Total user cost'!$B$2-Depreciation!M19</f>
        <v>496472.95154159842</v>
      </c>
      <c r="N11" s="38">
        <f>RAB!N19*'Asset cost and Total user cost'!$B$2-Depreciation!N19</f>
        <v>508279.03601521539</v>
      </c>
      <c r="O11" s="38"/>
      <c r="P11" s="34"/>
      <c r="Q11" s="34"/>
    </row>
    <row r="12" spans="1:17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25">
      <c r="A13" s="15" t="s">
        <v>45</v>
      </c>
      <c r="B13" s="15"/>
      <c r="C13" s="35" t="str">
        <f>IF(A6=A14,"valid","invalid")</f>
        <v>valid</v>
      </c>
      <c r="D13" s="51"/>
      <c r="E13" s="51"/>
      <c r="F13" s="51"/>
      <c r="G13" s="51"/>
      <c r="H13" s="51"/>
      <c r="I13" s="51"/>
      <c r="J13" s="51"/>
      <c r="K13" s="51"/>
      <c r="L13" s="34"/>
      <c r="M13" s="34"/>
      <c r="N13" s="34"/>
      <c r="O13" s="34"/>
      <c r="P13" s="34"/>
      <c r="Q13" s="34"/>
    </row>
    <row r="14" spans="1:17" x14ac:dyDescent="0.25">
      <c r="A14" s="35" t="str">
        <f>Opex!A14</f>
        <v>Real $2017</v>
      </c>
      <c r="B14" s="35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>
        <v>2017</v>
      </c>
      <c r="O14" s="34"/>
      <c r="P14" s="34"/>
      <c r="Q14" s="34"/>
    </row>
    <row r="15" spans="1:17" x14ac:dyDescent="0.25">
      <c r="A15" s="49" t="s">
        <v>38</v>
      </c>
      <c r="B15" s="52" t="s">
        <v>103</v>
      </c>
      <c r="C15" s="38">
        <f>(C7+Opex!C15)*1000</f>
        <v>174837858.65105706</v>
      </c>
      <c r="D15" s="38">
        <f>(D7+Opex!D15)*1000</f>
        <v>184689013.95100278</v>
      </c>
      <c r="E15" s="38">
        <f>(E7+Opex!E15)*1000</f>
        <v>176574177.02326202</v>
      </c>
      <c r="F15" s="38">
        <f>(F7+Opex!F15)*1000</f>
        <v>189383167.93258324</v>
      </c>
      <c r="G15" s="38">
        <f>(G7+Opex!G15)*1000</f>
        <v>195482458.86914787</v>
      </c>
      <c r="H15" s="38">
        <f>(H7+Opex!H15)*1000</f>
        <v>203452592.14803001</v>
      </c>
      <c r="I15" s="38">
        <f>(I7+Opex!I15)*1000</f>
        <v>217600967.64445359</v>
      </c>
      <c r="J15" s="38">
        <f>(J7+Opex!J15)*1000</f>
        <v>226160779.2997852</v>
      </c>
      <c r="K15" s="38">
        <f>(K7+Opex!K15)*1000</f>
        <v>233845656.7856513</v>
      </c>
      <c r="L15" s="38">
        <f>(L7+Opex!L15)*1000</f>
        <v>250345811.00224158</v>
      </c>
      <c r="M15" s="38">
        <f>(M7+Opex!M15)*1000</f>
        <v>264584515.08611894</v>
      </c>
      <c r="N15" s="38">
        <f>(N7+Opex!N15)*1000</f>
        <v>276119429.45594412</v>
      </c>
      <c r="O15" s="34"/>
      <c r="P15" s="34"/>
      <c r="Q15" s="34"/>
    </row>
    <row r="16" spans="1:17" x14ac:dyDescent="0.25">
      <c r="A16" s="49" t="s">
        <v>21</v>
      </c>
      <c r="B16" s="52" t="s">
        <v>103</v>
      </c>
      <c r="C16" s="38">
        <f>(C8+Opex!C16)*1000</f>
        <v>476748145.68013543</v>
      </c>
      <c r="D16" s="38">
        <f>(D8+Opex!D16)*1000</f>
        <v>493373153.55831134</v>
      </c>
      <c r="E16" s="38">
        <f>(E8+Opex!E16)*1000</f>
        <v>541218783.8647598</v>
      </c>
      <c r="F16" s="38">
        <f>(F8+Opex!F16)*1000</f>
        <v>578497285.83246565</v>
      </c>
      <c r="G16" s="38">
        <f>(G8+Opex!G16)*1000</f>
        <v>610077115.78340852</v>
      </c>
      <c r="H16" s="38">
        <f>(H8+Opex!H16)*1000</f>
        <v>630649609.95817614</v>
      </c>
      <c r="I16" s="38">
        <f>(I8+Opex!I16)*1000</f>
        <v>655410765.40522873</v>
      </c>
      <c r="J16" s="38">
        <f>(J8+Opex!J16)*1000</f>
        <v>648361994.26356387</v>
      </c>
      <c r="K16" s="38">
        <f>(K8+Opex!K16)*1000</f>
        <v>688699182.77825856</v>
      </c>
      <c r="L16" s="38">
        <f>(L8+Opex!L16)*1000</f>
        <v>748577309.51500702</v>
      </c>
      <c r="M16" s="38">
        <f>(M8+Opex!M16)*1000</f>
        <v>758737245.54042768</v>
      </c>
      <c r="N16" s="38">
        <f>(N8+Opex!N16)*1000</f>
        <v>754520178.58478332</v>
      </c>
      <c r="O16" s="34"/>
      <c r="P16" s="34"/>
      <c r="Q16" s="34"/>
    </row>
    <row r="17" spans="1:17" x14ac:dyDescent="0.25">
      <c r="A17" s="49" t="s">
        <v>36</v>
      </c>
      <c r="B17" s="52" t="s">
        <v>103</v>
      </c>
      <c r="C17" s="38">
        <f>(C9+Opex!C17)*1000</f>
        <v>290873908.32279986</v>
      </c>
      <c r="D17" s="38">
        <f>(D9+Opex!D17)*1000</f>
        <v>288756570.72076559</v>
      </c>
      <c r="E17" s="38">
        <f>(E9+Opex!E17)*1000</f>
        <v>297406815.99753284</v>
      </c>
      <c r="F17" s="38">
        <f>(F9+Opex!F17)*1000</f>
        <v>318775085.69538099</v>
      </c>
      <c r="G17" s="38">
        <f>(G9+Opex!G17)*1000</f>
        <v>325590339.85596156</v>
      </c>
      <c r="H17" s="38">
        <f>(H9+Opex!H17)*1000</f>
        <v>319164442.61164439</v>
      </c>
      <c r="I17" s="38">
        <f>(I9+Opex!I17)*1000</f>
        <v>313861997.4824186</v>
      </c>
      <c r="J17" s="38">
        <f>(J9+Opex!J17)*1000</f>
        <v>321008721.38663101</v>
      </c>
      <c r="K17" s="38">
        <f>(K9+Opex!K17)*1000</f>
        <v>323074558.9710629</v>
      </c>
      <c r="L17" s="38">
        <f>(L9+Opex!L17)*1000</f>
        <v>348987623.21142441</v>
      </c>
      <c r="M17" s="38">
        <f>(M9+Opex!M17)*1000</f>
        <v>358454097.07917029</v>
      </c>
      <c r="N17" s="38">
        <f>(N9+Opex!N17)*1000</f>
        <v>362607130.09913892</v>
      </c>
      <c r="O17" s="34"/>
      <c r="P17" s="34"/>
      <c r="Q17" s="34"/>
    </row>
    <row r="18" spans="1:17" x14ac:dyDescent="0.25">
      <c r="A18" s="49" t="s">
        <v>30</v>
      </c>
      <c r="B18" s="52" t="s">
        <v>103</v>
      </c>
      <c r="C18" s="38">
        <f>(C10+Opex!C18)*1000</f>
        <v>125271244.70348586</v>
      </c>
      <c r="D18" s="38">
        <f>(D10+Opex!D18)*1000</f>
        <v>126742803.57135056</v>
      </c>
      <c r="E18" s="38">
        <f>(E10+Opex!E18)*1000</f>
        <v>141676814.82176471</v>
      </c>
      <c r="F18" s="38">
        <f>(F10+Opex!F18)*1000</f>
        <v>143786374.3218371</v>
      </c>
      <c r="G18" s="38">
        <f>(G10+Opex!G18)*1000</f>
        <v>154541798.633407</v>
      </c>
      <c r="H18" s="38">
        <f>(H10+Opex!H18)*1000</f>
        <v>158731966.87575272</v>
      </c>
      <c r="I18" s="38">
        <f>(I10+Opex!I18)*1000</f>
        <v>160656151.62046176</v>
      </c>
      <c r="J18" s="38">
        <f>(J10+Opex!J18)*1000</f>
        <v>157305397.31810313</v>
      </c>
      <c r="K18" s="38">
        <f>(K10+Opex!K18)*1000</f>
        <v>165192871.97648555</v>
      </c>
      <c r="L18" s="38">
        <f>(L10+Opex!L18)*1000</f>
        <v>145207679.08935377</v>
      </c>
      <c r="M18" s="38">
        <f>(M10+Opex!M18)*1000</f>
        <v>149767593.97274154</v>
      </c>
      <c r="N18" s="38">
        <f>(N10+Opex!N18)*1000</f>
        <v>145695445.52614215</v>
      </c>
      <c r="O18" s="34"/>
      <c r="P18" s="34"/>
      <c r="Q18" s="34"/>
    </row>
    <row r="19" spans="1:17" x14ac:dyDescent="0.25">
      <c r="A19" s="49" t="s">
        <v>39</v>
      </c>
      <c r="B19" s="52" t="s">
        <v>103</v>
      </c>
      <c r="C19" s="38">
        <f>(C11+Opex!C19)*1000</f>
        <v>477530135.88898116</v>
      </c>
      <c r="D19" s="38">
        <f>(D11+Opex!D19)*1000</f>
        <v>483828110.11630428</v>
      </c>
      <c r="E19" s="38">
        <f>(E11+Opex!E19)*1000</f>
        <v>487056657.84038264</v>
      </c>
      <c r="F19" s="38">
        <f>(F11+Opex!F19)*1000</f>
        <v>513562333.07559383</v>
      </c>
      <c r="G19" s="38">
        <f>(G11+Opex!G19)*1000</f>
        <v>568156235.31960464</v>
      </c>
      <c r="H19" s="38">
        <f>(H11+Opex!H19)*1000</f>
        <v>560387626.48140538</v>
      </c>
      <c r="I19" s="38">
        <f>(I11+Opex!I19)*1000</f>
        <v>575092200.17261529</v>
      </c>
      <c r="J19" s="38">
        <f>(J11+Opex!J19)*1000</f>
        <v>580508921.74292278</v>
      </c>
      <c r="K19" s="38">
        <f>(K11+Opex!K19)*1000</f>
        <v>641415751.84597647</v>
      </c>
      <c r="L19" s="38">
        <f>(L11+Opex!L19)*1000</f>
        <v>658401648.52399158</v>
      </c>
      <c r="M19" s="38">
        <f>(M11+Opex!M19)*1000</f>
        <v>671794132.63766849</v>
      </c>
      <c r="N19" s="38">
        <f>(N11+Opex!N19)*1000</f>
        <v>681898198.30009806</v>
      </c>
      <c r="O19" s="34"/>
      <c r="P19" s="34"/>
      <c r="Q19" s="34"/>
    </row>
    <row r="20" spans="1:17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5">
      <c r="A21" s="24"/>
      <c r="B21" s="34"/>
      <c r="C21" s="47"/>
      <c r="D21" s="47"/>
      <c r="E21" s="47"/>
      <c r="F21" s="47"/>
      <c r="G21" s="47"/>
      <c r="H21" s="47"/>
      <c r="I21" s="47"/>
      <c r="J21" s="47"/>
      <c r="K21" s="47"/>
      <c r="L21" s="34"/>
      <c r="M21" s="34"/>
      <c r="N21" s="34"/>
      <c r="O21" s="34"/>
      <c r="P21" s="34"/>
      <c r="Q21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cost'!C19:L19</xm:f>
              <xm:sqref>O19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cost'!C18:L18</xm:f>
              <xm:sqref>O18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cost'!C17:L17</xm:f>
              <xm:sqref>O17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cost'!C16:L16</xm:f>
              <xm:sqref>O16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cost'!C15:L15</xm:f>
              <xm:sqref>O15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U22"/>
  <sheetViews>
    <sheetView tabSelected="1" workbookViewId="0">
      <selection activeCell="I12" sqref="I12"/>
    </sheetView>
  </sheetViews>
  <sheetFormatPr defaultColWidth="9.140625" defaultRowHeight="15" x14ac:dyDescent="0.25"/>
  <cols>
    <col min="1" max="1" width="23.5703125" style="2" customWidth="1"/>
    <col min="2" max="12" width="12.28515625" style="2" customWidth="1"/>
    <col min="13" max="14" width="12.28515625" style="18" customWidth="1"/>
    <col min="15" max="16384" width="9.140625" style="2"/>
  </cols>
  <sheetData>
    <row r="1" spans="1:73" x14ac:dyDescent="0.25">
      <c r="A1" s="35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73" x14ac:dyDescent="0.25">
      <c r="A2" s="34"/>
      <c r="B2" s="35" t="str">
        <f>"Real $"&amp;Real_year&amp;""</f>
        <v>Real $2017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>
        <v>2017</v>
      </c>
      <c r="O2" s="34"/>
      <c r="P2" s="34"/>
      <c r="Q2" s="34"/>
      <c r="R2" s="34"/>
      <c r="S2" s="34"/>
      <c r="T2" s="34"/>
      <c r="U2" s="34"/>
    </row>
    <row r="3" spans="1:73" x14ac:dyDescent="0.25">
      <c r="A3" s="34" t="s">
        <v>60</v>
      </c>
      <c r="B3" s="34"/>
      <c r="C3" s="48">
        <f>CPI!F12</f>
        <v>1.344124700239808</v>
      </c>
      <c r="D3" s="48">
        <f>CPI!G12</f>
        <v>1.2929642445213378</v>
      </c>
      <c r="E3" s="48">
        <f>CPI!H12</f>
        <v>1.2695356738391845</v>
      </c>
      <c r="F3" s="48">
        <f>CPI!I12</f>
        <v>1.2092772384034518</v>
      </c>
      <c r="G3" s="48">
        <f>CPI!J12</f>
        <v>1.1950959488272921</v>
      </c>
      <c r="H3" s="48">
        <f>CPI!K12</f>
        <v>1.1616580310880829</v>
      </c>
      <c r="I3" s="48">
        <f>CPI!L12</f>
        <v>1.123246492985972</v>
      </c>
      <c r="J3" s="48">
        <f>CPI!M12</f>
        <v>1.1011787819253438</v>
      </c>
      <c r="K3" s="48">
        <f>CPI!N12</f>
        <v>1.0778846153846153</v>
      </c>
      <c r="L3" s="48">
        <f>CPI!O12</f>
        <v>1.0535714285714284</v>
      </c>
      <c r="M3" s="48">
        <f>CPI!P12</f>
        <v>1.037962962962963</v>
      </c>
      <c r="N3" s="48">
        <f>CPI!Q12</f>
        <v>1.0246800731261425</v>
      </c>
      <c r="O3" s="34"/>
      <c r="P3" s="34"/>
      <c r="Q3" s="34"/>
      <c r="R3" s="34"/>
      <c r="S3" s="34"/>
      <c r="T3" s="34"/>
      <c r="U3" s="34"/>
    </row>
    <row r="4" spans="1:73" x14ac:dyDescent="0.25">
      <c r="A4" s="34" t="s">
        <v>59</v>
      </c>
      <c r="B4" s="34"/>
      <c r="C4" s="48">
        <f>CPI!F11</f>
        <v>1.337708830548926</v>
      </c>
      <c r="D4" s="48">
        <f>CPI!G11</f>
        <v>1.29445727482679</v>
      </c>
      <c r="E4" s="48">
        <f>CPI!H11</f>
        <v>1.2581369248035914</v>
      </c>
      <c r="F4" s="48">
        <f>CPI!I11</f>
        <v>1.2132034632034632</v>
      </c>
      <c r="G4" s="48">
        <f>CPI!J11</f>
        <v>1.1887592788971368</v>
      </c>
      <c r="H4" s="48">
        <f>CPI!K11</f>
        <v>1.1568627450980391</v>
      </c>
      <c r="I4" s="48">
        <f>CPI!L11</f>
        <v>1.123246492985972</v>
      </c>
      <c r="J4" s="48">
        <f>CPI!M11</f>
        <v>1.0990196078431371</v>
      </c>
      <c r="K4" s="48">
        <f>CPI!N11</f>
        <v>1.0696564885496183</v>
      </c>
      <c r="L4" s="48">
        <f>CPI!O11</f>
        <v>1.0515947467166979</v>
      </c>
      <c r="M4" s="48">
        <f>CPI!P11</f>
        <v>1.0341328413284132</v>
      </c>
      <c r="N4" s="48">
        <f>CPI!Q11</f>
        <v>1.019090909090909</v>
      </c>
      <c r="O4" s="34"/>
      <c r="P4" s="34"/>
      <c r="Q4" s="34"/>
      <c r="R4" s="34"/>
      <c r="S4" s="34"/>
      <c r="T4" s="34"/>
      <c r="U4" s="34"/>
    </row>
    <row r="5" spans="1:73" x14ac:dyDescent="0.25">
      <c r="A5" s="34"/>
      <c r="B5" s="24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4"/>
      <c r="P5" s="34"/>
      <c r="Q5" s="34"/>
      <c r="R5" s="34"/>
      <c r="S5" s="34"/>
      <c r="T5" s="34"/>
      <c r="U5" s="34"/>
    </row>
    <row r="6" spans="1:73" x14ac:dyDescent="0.25">
      <c r="A6" s="35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73" x14ac:dyDescent="0.25">
      <c r="A7" s="35" t="s">
        <v>64</v>
      </c>
      <c r="B7" s="35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2016</v>
      </c>
      <c r="N7" s="34">
        <v>2017</v>
      </c>
      <c r="O7" s="34"/>
      <c r="P7" s="34"/>
      <c r="Q7" s="34"/>
      <c r="R7" s="34"/>
      <c r="S7" s="34"/>
      <c r="T7" s="34"/>
      <c r="U7" s="34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73" x14ac:dyDescent="0.25">
      <c r="A8" s="49" t="s">
        <v>38</v>
      </c>
      <c r="B8" s="49" t="s">
        <v>65</v>
      </c>
      <c r="C8" s="38">
        <v>48431</v>
      </c>
      <c r="D8" s="38">
        <v>52930</v>
      </c>
      <c r="E8" s="38">
        <v>49444.635999999999</v>
      </c>
      <c r="F8" s="38">
        <v>54853</v>
      </c>
      <c r="G8" s="38">
        <v>57567</v>
      </c>
      <c r="H8" s="38">
        <v>64370</v>
      </c>
      <c r="I8" s="38">
        <v>72584</v>
      </c>
      <c r="J8" s="38">
        <v>70527</v>
      </c>
      <c r="K8" s="38">
        <v>74159.945999999996</v>
      </c>
      <c r="L8" s="38">
        <v>79605.847320000015</v>
      </c>
      <c r="M8" s="38">
        <v>85108.198999999993</v>
      </c>
      <c r="N8" s="38">
        <v>89639.633000000002</v>
      </c>
      <c r="O8" s="34"/>
      <c r="P8" s="34"/>
      <c r="Q8" s="34"/>
      <c r="R8" s="34"/>
      <c r="S8" s="34"/>
      <c r="T8" s="34"/>
      <c r="U8" s="34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BN8" s="18"/>
      <c r="BO8" s="18"/>
      <c r="BP8" s="18"/>
      <c r="BQ8" s="18"/>
      <c r="BR8" s="18"/>
      <c r="BS8" s="18"/>
      <c r="BT8" s="18"/>
      <c r="BU8" s="18"/>
    </row>
    <row r="9" spans="1:73" x14ac:dyDescent="0.25">
      <c r="A9" s="49" t="s">
        <v>21</v>
      </c>
      <c r="B9" s="49" t="s">
        <v>65</v>
      </c>
      <c r="C9" s="38">
        <v>118781</v>
      </c>
      <c r="D9" s="38">
        <v>128265</v>
      </c>
      <c r="E9" s="38">
        <v>144112</v>
      </c>
      <c r="F9" s="38">
        <v>142796</v>
      </c>
      <c r="G9" s="38">
        <v>151902</v>
      </c>
      <c r="H9" s="38">
        <v>151029</v>
      </c>
      <c r="I9" s="38">
        <v>160384</v>
      </c>
      <c r="J9" s="38">
        <v>167377.59669000003</v>
      </c>
      <c r="K9" s="38">
        <v>181019.7816758781</v>
      </c>
      <c r="L9" s="38">
        <v>211260.9936596599</v>
      </c>
      <c r="M9" s="38">
        <v>217661</v>
      </c>
      <c r="N9" s="38">
        <v>226261.149</v>
      </c>
      <c r="O9" s="34"/>
      <c r="P9" s="34"/>
      <c r="Q9" s="34"/>
      <c r="R9" s="34"/>
      <c r="S9" s="34"/>
      <c r="T9" s="34"/>
      <c r="U9" s="34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73" x14ac:dyDescent="0.25">
      <c r="A10" s="49" t="s">
        <v>36</v>
      </c>
      <c r="B10" s="49" t="s">
        <v>65</v>
      </c>
      <c r="C10" s="38">
        <v>61764.624702139656</v>
      </c>
      <c r="D10" s="38">
        <v>61817.594227019435</v>
      </c>
      <c r="E10" s="38">
        <v>58269.389500000005</v>
      </c>
      <c r="F10" s="38">
        <v>77590.490999999995</v>
      </c>
      <c r="G10" s="38">
        <v>80063.390000000014</v>
      </c>
      <c r="H10" s="38">
        <v>75097.619000000006</v>
      </c>
      <c r="I10" s="38">
        <v>72741.886999999988</v>
      </c>
      <c r="J10" s="38">
        <v>76129.812000000005</v>
      </c>
      <c r="K10" s="38">
        <v>82734.26797981601</v>
      </c>
      <c r="L10" s="38">
        <v>84644.97681966683</v>
      </c>
      <c r="M10" s="38">
        <v>89390.247875063069</v>
      </c>
      <c r="N10" s="38">
        <v>87642.229003035784</v>
      </c>
      <c r="O10" s="34"/>
      <c r="P10" s="34"/>
      <c r="Q10" s="34"/>
      <c r="R10" s="34"/>
      <c r="S10" s="34"/>
      <c r="T10" s="34"/>
      <c r="U10" s="3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73" x14ac:dyDescent="0.25">
      <c r="A11" s="49" t="s">
        <v>30</v>
      </c>
      <c r="B11" s="49" t="s">
        <v>65</v>
      </c>
      <c r="C11" s="38">
        <v>35426.048000000003</v>
      </c>
      <c r="D11" s="38">
        <v>37656.624000000003</v>
      </c>
      <c r="E11" s="38">
        <v>46334.126000000004</v>
      </c>
      <c r="F11" s="38">
        <v>46642.640999999996</v>
      </c>
      <c r="G11" s="38">
        <v>47779.507999999994</v>
      </c>
      <c r="H11" s="38">
        <v>46557.578000000001</v>
      </c>
      <c r="I11" s="38">
        <v>46923.140000000007</v>
      </c>
      <c r="J11" s="38">
        <v>44976.582999999999</v>
      </c>
      <c r="K11" s="38">
        <v>45598</v>
      </c>
      <c r="L11" s="38">
        <v>34705.717769999996</v>
      </c>
      <c r="M11" s="38">
        <v>37603.399744925264</v>
      </c>
      <c r="N11" s="38">
        <v>32048.191384064245</v>
      </c>
      <c r="O11" s="34"/>
      <c r="P11" s="34"/>
      <c r="Q11" s="34"/>
      <c r="R11" s="34"/>
      <c r="S11" s="34"/>
      <c r="T11" s="34"/>
      <c r="U11" s="34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73" x14ac:dyDescent="0.25">
      <c r="A12" s="49" t="s">
        <v>39</v>
      </c>
      <c r="B12" s="49" t="s">
        <v>65</v>
      </c>
      <c r="C12" s="38">
        <v>120730</v>
      </c>
      <c r="D12" s="38">
        <v>123090</v>
      </c>
      <c r="E12" s="38">
        <v>119710</v>
      </c>
      <c r="F12" s="38">
        <v>124140</v>
      </c>
      <c r="G12" s="38">
        <v>143240</v>
      </c>
      <c r="H12" s="38">
        <v>137770</v>
      </c>
      <c r="I12" s="38">
        <v>152110</v>
      </c>
      <c r="J12" s="38">
        <v>143050</v>
      </c>
      <c r="K12" s="38">
        <v>175638</v>
      </c>
      <c r="L12" s="38">
        <v>168228.603</v>
      </c>
      <c r="M12" s="38">
        <v>169534.48734000002</v>
      </c>
      <c r="N12" s="38">
        <v>170366.70697000079</v>
      </c>
      <c r="O12" s="34"/>
      <c r="P12" s="34"/>
      <c r="Q12" s="34"/>
      <c r="R12" s="34"/>
      <c r="S12" s="34"/>
      <c r="T12" s="34"/>
      <c r="U12" s="3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7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73" x14ac:dyDescent="0.25">
      <c r="A14" s="35" t="str">
        <f>CONCATENATE(B2)</f>
        <v>Real $2017</v>
      </c>
      <c r="B14" s="35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>
        <v>2017</v>
      </c>
      <c r="O14" s="34"/>
      <c r="P14" s="34"/>
      <c r="Q14" s="34"/>
      <c r="R14" s="34"/>
      <c r="S14" s="34"/>
      <c r="T14" s="34"/>
      <c r="U14" s="34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73" x14ac:dyDescent="0.25">
      <c r="A15" s="49" t="s">
        <v>38</v>
      </c>
      <c r="B15" s="49" t="s">
        <v>101</v>
      </c>
      <c r="C15" s="38">
        <f t="shared" ref="C15:N15" si="0">C8*C$4</f>
        <v>64786.57637231503</v>
      </c>
      <c r="D15" s="38">
        <f t="shared" si="0"/>
        <v>68515.623556581995</v>
      </c>
      <c r="E15" s="38">
        <f t="shared" si="0"/>
        <v>62208.122285072946</v>
      </c>
      <c r="F15" s="38">
        <f t="shared" si="0"/>
        <v>66547.849567099562</v>
      </c>
      <c r="G15" s="38">
        <f t="shared" si="0"/>
        <v>68433.305408271481</v>
      </c>
      <c r="H15" s="38">
        <f t="shared" si="0"/>
        <v>74467.254901960783</v>
      </c>
      <c r="I15" s="38">
        <f t="shared" si="0"/>
        <v>81529.723446893797</v>
      </c>
      <c r="J15" s="38">
        <f t="shared" si="0"/>
        <v>77510.555882352928</v>
      </c>
      <c r="K15" s="38">
        <f t="shared" si="0"/>
        <v>79325.667429389301</v>
      </c>
      <c r="L15" s="38">
        <f t="shared" si="0"/>
        <v>83713.090849643544</v>
      </c>
      <c r="M15" s="38">
        <f>M8*M$4</f>
        <v>88013.183652214007</v>
      </c>
      <c r="N15" s="38">
        <f t="shared" si="0"/>
        <v>91350.935084545446</v>
      </c>
      <c r="O15" s="34"/>
      <c r="P15" s="34"/>
      <c r="Q15" s="34"/>
      <c r="R15" s="34"/>
      <c r="S15" s="34"/>
      <c r="T15" s="34"/>
      <c r="U15" s="34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73" x14ac:dyDescent="0.25">
      <c r="A16" s="49" t="s">
        <v>21</v>
      </c>
      <c r="B16" s="49" t="s">
        <v>101</v>
      </c>
      <c r="C16" s="38">
        <f t="shared" ref="C16:N16" si="1">C9*C$4</f>
        <v>158894.39260143199</v>
      </c>
      <c r="D16" s="38">
        <f t="shared" si="1"/>
        <v>166033.56235565821</v>
      </c>
      <c r="E16" s="38">
        <f t="shared" si="1"/>
        <v>181312.62850729516</v>
      </c>
      <c r="F16" s="38">
        <f t="shared" si="1"/>
        <v>173240.60173160172</v>
      </c>
      <c r="G16" s="38">
        <f t="shared" si="1"/>
        <v>180574.91198303289</v>
      </c>
      <c r="H16" s="38">
        <f t="shared" si="1"/>
        <v>174719.82352941175</v>
      </c>
      <c r="I16" s="38">
        <f t="shared" si="1"/>
        <v>180150.76553106215</v>
      </c>
      <c r="J16" s="38">
        <f t="shared" si="1"/>
        <v>183951.26067597061</v>
      </c>
      <c r="K16" s="38">
        <f t="shared" si="1"/>
        <v>193628.98402543829</v>
      </c>
      <c r="L16" s="38">
        <f t="shared" si="1"/>
        <v>222160.95111864799</v>
      </c>
      <c r="M16" s="38">
        <f t="shared" ref="M16" si="2">M9*M$4</f>
        <v>225090.38837638375</v>
      </c>
      <c r="N16" s="38">
        <f t="shared" si="1"/>
        <v>230580.68002636364</v>
      </c>
      <c r="O16" s="34"/>
      <c r="P16" s="34"/>
      <c r="Q16" s="34"/>
      <c r="R16" s="34"/>
      <c r="S16" s="34"/>
      <c r="T16" s="34"/>
      <c r="U16" s="34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5">
      <c r="A17" s="49" t="s">
        <v>36</v>
      </c>
      <c r="B17" s="49" t="s">
        <v>101</v>
      </c>
      <c r="C17" s="38">
        <f t="shared" ref="C17:N17" si="3">C10*C$3</f>
        <v>83019.357663187708</v>
      </c>
      <c r="D17" s="38">
        <f t="shared" si="3"/>
        <v>79927.939017864803</v>
      </c>
      <c r="E17" s="38">
        <f t="shared" si="3"/>
        <v>73975.068663080412</v>
      </c>
      <c r="F17" s="38">
        <f t="shared" si="3"/>
        <v>93828.41468284787</v>
      </c>
      <c r="G17" s="38">
        <f t="shared" si="3"/>
        <v>95683.433038379546</v>
      </c>
      <c r="H17" s="38">
        <f t="shared" si="3"/>
        <v>87237.752226943005</v>
      </c>
      <c r="I17" s="38">
        <f t="shared" si="3"/>
        <v>81707.069465931854</v>
      </c>
      <c r="J17" s="38">
        <f t="shared" si="3"/>
        <v>83832.533646365424</v>
      </c>
      <c r="K17" s="38">
        <f t="shared" si="3"/>
        <v>89177.994620551675</v>
      </c>
      <c r="L17" s="38">
        <f t="shared" si="3"/>
        <v>89179.529149291819</v>
      </c>
      <c r="M17" s="38">
        <f t="shared" ref="M17" si="4">M10*M$3</f>
        <v>92783.766544394166</v>
      </c>
      <c r="N17" s="38">
        <f t="shared" si="3"/>
        <v>89805.245623768831</v>
      </c>
      <c r="O17" s="34"/>
      <c r="P17" s="34"/>
      <c r="Q17" s="34"/>
      <c r="R17" s="34"/>
      <c r="S17" s="34"/>
      <c r="T17" s="34"/>
      <c r="U17" s="34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5">
      <c r="A18" s="49" t="s">
        <v>30</v>
      </c>
      <c r="B18" s="49" t="s">
        <v>101</v>
      </c>
      <c r="C18" s="38">
        <f t="shared" ref="C18:N18" si="5">C11*C$4</f>
        <v>47389.737241050119</v>
      </c>
      <c r="D18" s="38">
        <f t="shared" si="5"/>
        <v>48744.8908822171</v>
      </c>
      <c r="E18" s="38">
        <f t="shared" si="5"/>
        <v>58294.674799102133</v>
      </c>
      <c r="F18" s="38">
        <f t="shared" si="5"/>
        <v>56587.01359415584</v>
      </c>
      <c r="G18" s="38">
        <f t="shared" si="5"/>
        <v>56798.333476139975</v>
      </c>
      <c r="H18" s="38">
        <f t="shared" si="5"/>
        <v>53860.727490196077</v>
      </c>
      <c r="I18" s="38">
        <f t="shared" si="5"/>
        <v>52706.252444889789</v>
      </c>
      <c r="J18" s="38">
        <f t="shared" si="5"/>
        <v>49430.146610784308</v>
      </c>
      <c r="K18" s="38">
        <f t="shared" si="5"/>
        <v>48774.196564885497</v>
      </c>
      <c r="L18" s="38">
        <f t="shared" si="5"/>
        <v>36496.350487964351</v>
      </c>
      <c r="M18" s="38">
        <f t="shared" ref="M18" si="6">M11*M$4</f>
        <v>38886.910621827694</v>
      </c>
      <c r="N18" s="38">
        <f t="shared" si="5"/>
        <v>32660.02049230547</v>
      </c>
      <c r="O18" s="34"/>
      <c r="P18" s="34"/>
      <c r="Q18" s="34"/>
      <c r="R18" s="34"/>
      <c r="S18" s="34"/>
      <c r="T18" s="34"/>
      <c r="U18" s="34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5">
      <c r="A19" s="49" t="s">
        <v>39</v>
      </c>
      <c r="B19" s="49" t="s">
        <v>101</v>
      </c>
      <c r="C19" s="38">
        <f t="shared" ref="C19:N19" si="7">C12*C$4</f>
        <v>161501.58711217184</v>
      </c>
      <c r="D19" s="38">
        <f t="shared" si="7"/>
        <v>159334.74595842959</v>
      </c>
      <c r="E19" s="38">
        <f t="shared" si="7"/>
        <v>150611.57126823792</v>
      </c>
      <c r="F19" s="38">
        <f t="shared" si="7"/>
        <v>150607.07792207791</v>
      </c>
      <c r="G19" s="38">
        <f t="shared" si="7"/>
        <v>170277.87910922588</v>
      </c>
      <c r="H19" s="38">
        <f t="shared" si="7"/>
        <v>159380.98039215684</v>
      </c>
      <c r="I19" s="38">
        <f t="shared" si="7"/>
        <v>170857.02404809621</v>
      </c>
      <c r="J19" s="38">
        <f t="shared" si="7"/>
        <v>157214.75490196075</v>
      </c>
      <c r="K19" s="38">
        <f t="shared" si="7"/>
        <v>187872.32633587785</v>
      </c>
      <c r="L19" s="38">
        <f t="shared" si="7"/>
        <v>176908.31516228893</v>
      </c>
      <c r="M19" s="38">
        <f t="shared" ref="M19" si="8">M12*M$4</f>
        <v>175321.18109607013</v>
      </c>
      <c r="N19" s="38">
        <f t="shared" si="7"/>
        <v>173619.16228488262</v>
      </c>
      <c r="O19" s="34"/>
      <c r="P19" s="34"/>
      <c r="Q19" s="34"/>
      <c r="R19" s="34"/>
      <c r="S19" s="34"/>
      <c r="T19" s="34"/>
      <c r="U19" s="34"/>
    </row>
    <row r="20" spans="1:3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39" x14ac:dyDescent="0.25">
      <c r="A21" s="24"/>
      <c r="B21" s="34"/>
      <c r="C21" s="47"/>
      <c r="D21" s="47"/>
      <c r="E21" s="47"/>
      <c r="F21" s="47"/>
      <c r="G21" s="47"/>
      <c r="H21" s="47"/>
      <c r="I21" s="47"/>
      <c r="J21" s="47"/>
      <c r="K21" s="47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3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Opex!C12:L12</xm:f>
              <xm:sqref>O12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Opex!C11:L11</xm:f>
              <xm:sqref>O11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Opex!C10:L10</xm:f>
              <xm:sqref>O10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Opex!C9:L9</xm:f>
              <xm:sqref>O9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Opex!C8:L8</xm:f>
              <xm:sqref>O8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6"/>
  <sheetViews>
    <sheetView workbookViewId="0">
      <selection activeCell="H20" sqref="H20"/>
    </sheetView>
  </sheetViews>
  <sheetFormatPr defaultColWidth="9.140625" defaultRowHeight="15" x14ac:dyDescent="0.25"/>
  <cols>
    <col min="1" max="1" width="45.85546875" style="2" customWidth="1"/>
    <col min="2" max="2" width="11.7109375" style="2" customWidth="1"/>
    <col min="3" max="12" width="12" style="2" customWidth="1"/>
    <col min="13" max="14" width="14.140625" style="18" customWidth="1"/>
    <col min="15" max="16384" width="9.140625" style="2"/>
  </cols>
  <sheetData>
    <row r="1" spans="1:19" x14ac:dyDescent="0.25">
      <c r="A1" s="35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x14ac:dyDescent="0.25">
      <c r="A2" s="35" t="s">
        <v>44</v>
      </c>
      <c r="B2" s="35" t="str">
        <f>"Real $"&amp;Real_year&amp;""</f>
        <v>Real $2017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>
        <v>2017</v>
      </c>
    </row>
    <row r="3" spans="1:19" x14ac:dyDescent="0.25">
      <c r="A3" s="34" t="s">
        <v>60</v>
      </c>
      <c r="B3" s="34"/>
      <c r="C3" s="48">
        <f>CPI!F12</f>
        <v>1.344124700239808</v>
      </c>
      <c r="D3" s="48">
        <f>CPI!G12</f>
        <v>1.2929642445213378</v>
      </c>
      <c r="E3" s="48">
        <f>CPI!H12</f>
        <v>1.2695356738391845</v>
      </c>
      <c r="F3" s="48">
        <f>CPI!I12</f>
        <v>1.2092772384034518</v>
      </c>
      <c r="G3" s="48">
        <f>CPI!J12</f>
        <v>1.1950959488272921</v>
      </c>
      <c r="H3" s="48">
        <f>CPI!K12</f>
        <v>1.1616580310880829</v>
      </c>
      <c r="I3" s="48">
        <f>CPI!L12</f>
        <v>1.123246492985972</v>
      </c>
      <c r="J3" s="48">
        <f>CPI!M12</f>
        <v>1.1011787819253438</v>
      </c>
      <c r="K3" s="48">
        <f>CPI!N12</f>
        <v>1.0778846153846153</v>
      </c>
      <c r="L3" s="48">
        <f>CPI!O12</f>
        <v>1.0535714285714284</v>
      </c>
      <c r="M3" s="48">
        <f>CPI!P12</f>
        <v>1.037962962962963</v>
      </c>
      <c r="N3" s="48">
        <f>CPI!Q12</f>
        <v>1.0246800731261425</v>
      </c>
    </row>
    <row r="4" spans="1:19" x14ac:dyDescent="0.25">
      <c r="A4" s="34" t="s">
        <v>59</v>
      </c>
      <c r="B4" s="34"/>
      <c r="C4" s="48">
        <f>CPI!F11</f>
        <v>1.337708830548926</v>
      </c>
      <c r="D4" s="48">
        <f>CPI!G11</f>
        <v>1.29445727482679</v>
      </c>
      <c r="E4" s="48">
        <f>CPI!H11</f>
        <v>1.2581369248035914</v>
      </c>
      <c r="F4" s="48">
        <f>CPI!I11</f>
        <v>1.2132034632034632</v>
      </c>
      <c r="G4" s="48">
        <f>CPI!J11</f>
        <v>1.1887592788971368</v>
      </c>
      <c r="H4" s="48">
        <f>CPI!K11</f>
        <v>1.1568627450980391</v>
      </c>
      <c r="I4" s="48">
        <f>CPI!L11</f>
        <v>1.123246492985972</v>
      </c>
      <c r="J4" s="48">
        <f>CPI!M11</f>
        <v>1.0990196078431371</v>
      </c>
      <c r="K4" s="48">
        <f>CPI!N11</f>
        <v>1.0696564885496183</v>
      </c>
      <c r="L4" s="48">
        <f>CPI!O11</f>
        <v>1.0515947467166979</v>
      </c>
      <c r="M4" s="48">
        <f>CPI!P11</f>
        <v>1.0341328413284132</v>
      </c>
      <c r="N4" s="48">
        <f>CPI!Q11</f>
        <v>1.019090909090909</v>
      </c>
    </row>
    <row r="5" spans="1:19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9" x14ac:dyDescent="0.25">
      <c r="A6" s="35" t="s">
        <v>31</v>
      </c>
      <c r="B6" s="3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9" x14ac:dyDescent="0.25">
      <c r="A7" s="35" t="s">
        <v>64</v>
      </c>
      <c r="B7" s="36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2016</v>
      </c>
      <c r="N7" s="34">
        <v>2017</v>
      </c>
      <c r="O7" s="34"/>
    </row>
    <row r="8" spans="1:19" x14ac:dyDescent="0.25">
      <c r="A8" s="49" t="s">
        <v>38</v>
      </c>
      <c r="B8" s="49" t="s">
        <v>18</v>
      </c>
      <c r="C8" s="38">
        <v>1008498.0744489165</v>
      </c>
      <c r="D8" s="38">
        <v>1072410.1977797956</v>
      </c>
      <c r="E8" s="38">
        <v>1180457.0630350162</v>
      </c>
      <c r="F8" s="38">
        <v>1278429.4831257048</v>
      </c>
      <c r="G8" s="38">
        <v>1294892.6529556361</v>
      </c>
      <c r="H8" s="38">
        <v>1331479.0051210094</v>
      </c>
      <c r="I8" s="38">
        <v>1504540.6896702116</v>
      </c>
      <c r="J8" s="38">
        <v>1712893.4299247104</v>
      </c>
      <c r="K8" s="38">
        <v>1890087.8232150995</v>
      </c>
      <c r="L8" s="38">
        <v>2013147.9935692761</v>
      </c>
      <c r="M8" s="38">
        <v>2066967.4263843338</v>
      </c>
      <c r="N8" s="38">
        <v>2157003.2621017266</v>
      </c>
      <c r="O8" s="34"/>
      <c r="S8" s="19"/>
    </row>
    <row r="9" spans="1:19" x14ac:dyDescent="0.25">
      <c r="A9" s="49" t="s">
        <v>21</v>
      </c>
      <c r="B9" s="49" t="s">
        <v>18</v>
      </c>
      <c r="C9" s="38">
        <v>2906163.8020416386</v>
      </c>
      <c r="D9" s="38">
        <v>3110944.766611123</v>
      </c>
      <c r="E9" s="38">
        <v>3568307.0443376545</v>
      </c>
      <c r="F9" s="38">
        <v>4186908.5814354168</v>
      </c>
      <c r="G9" s="38">
        <v>4681557.1948703378</v>
      </c>
      <c r="H9" s="38">
        <v>5093089.0531193521</v>
      </c>
      <c r="I9" s="38">
        <v>5477581.7371609155</v>
      </c>
      <c r="J9" s="38">
        <v>5819506.0639425004</v>
      </c>
      <c r="K9" s="38">
        <v>6301890.3431227049</v>
      </c>
      <c r="L9" s="38">
        <v>6604013.1766181048</v>
      </c>
      <c r="M9" s="38">
        <v>6605068.5105675301</v>
      </c>
      <c r="N9" s="38">
        <v>6644060.9068036843</v>
      </c>
      <c r="O9" s="34"/>
      <c r="S9" s="19"/>
    </row>
    <row r="10" spans="1:19" x14ac:dyDescent="0.25">
      <c r="A10" s="49" t="s">
        <v>36</v>
      </c>
      <c r="B10" s="49" t="s">
        <v>18</v>
      </c>
      <c r="C10" s="38">
        <v>1889957.733</v>
      </c>
      <c r="D10" s="38">
        <v>1929607.6654999999</v>
      </c>
      <c r="E10" s="38">
        <v>2007291.2560000001</v>
      </c>
      <c r="F10" s="38">
        <v>2181178.4835000001</v>
      </c>
      <c r="G10" s="38">
        <v>2198049.1735</v>
      </c>
      <c r="H10" s="38">
        <v>2232904.4265000001</v>
      </c>
      <c r="I10" s="38">
        <v>2292941.9665000001</v>
      </c>
      <c r="J10" s="38">
        <v>2370849.6140000001</v>
      </c>
      <c r="K10" s="38">
        <v>2476349.311010506</v>
      </c>
      <c r="L10" s="38">
        <v>2790207.8150309501</v>
      </c>
      <c r="M10" s="38">
        <v>2857110.3028806783</v>
      </c>
      <c r="N10" s="38">
        <v>2903023.4716057549</v>
      </c>
      <c r="O10" s="34"/>
      <c r="S10" s="19"/>
    </row>
    <row r="11" spans="1:19" x14ac:dyDescent="0.25">
      <c r="A11" s="49" t="s">
        <v>30</v>
      </c>
      <c r="B11" s="49" t="s">
        <v>18</v>
      </c>
      <c r="C11" s="38">
        <v>666396.5</v>
      </c>
      <c r="D11" s="38">
        <v>728278.5</v>
      </c>
      <c r="E11" s="38">
        <v>787887</v>
      </c>
      <c r="F11" s="38">
        <v>845035</v>
      </c>
      <c r="G11" s="38">
        <v>895293</v>
      </c>
      <c r="H11" s="38">
        <v>1006943.5</v>
      </c>
      <c r="I11" s="38">
        <v>1139787</v>
      </c>
      <c r="J11" s="38">
        <v>1204832</v>
      </c>
      <c r="K11" s="38">
        <v>1310583.1592409625</v>
      </c>
      <c r="L11" s="38">
        <v>1386261.7283497157</v>
      </c>
      <c r="M11" s="38">
        <v>1382762.1991195932</v>
      </c>
      <c r="N11" s="38">
        <v>1371712.8989775274</v>
      </c>
      <c r="O11" s="34"/>
      <c r="S11" s="19"/>
    </row>
    <row r="12" spans="1:19" x14ac:dyDescent="0.25">
      <c r="A12" s="49" t="s">
        <v>39</v>
      </c>
      <c r="B12" s="49" t="s">
        <v>18</v>
      </c>
      <c r="C12" s="38">
        <v>3166374.415412093</v>
      </c>
      <c r="D12" s="38">
        <v>3313367.6045614304</v>
      </c>
      <c r="E12" s="38">
        <v>3566600.1045614304</v>
      </c>
      <c r="F12" s="38">
        <v>3976405.905427468</v>
      </c>
      <c r="G12" s="38">
        <v>4305989.6381644513</v>
      </c>
      <c r="H12" s="38">
        <v>4559614.3380024452</v>
      </c>
      <c r="I12" s="38">
        <v>4853368.9664179208</v>
      </c>
      <c r="J12" s="38">
        <v>5135315.116477563</v>
      </c>
      <c r="K12" s="38">
        <v>5576508.2256924072</v>
      </c>
      <c r="L12" s="38">
        <v>5908508.5172999017</v>
      </c>
      <c r="M12" s="38">
        <v>6033054.789736486</v>
      </c>
      <c r="N12" s="38">
        <v>6056226.9784158589</v>
      </c>
      <c r="O12" s="34"/>
      <c r="S12" s="19"/>
    </row>
    <row r="13" spans="1:19" x14ac:dyDescent="0.25">
      <c r="A13" s="34"/>
      <c r="B13" s="34"/>
      <c r="C13" s="3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50"/>
    </row>
    <row r="14" spans="1:19" x14ac:dyDescent="0.25">
      <c r="A14" s="35" t="str">
        <f>CONCATENATE(B2)</f>
        <v>Real $2017</v>
      </c>
      <c r="B14" s="34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>
        <v>2017</v>
      </c>
      <c r="O14" s="34"/>
    </row>
    <row r="15" spans="1:19" x14ac:dyDescent="0.25">
      <c r="A15" s="49" t="s">
        <v>38</v>
      </c>
      <c r="B15" s="49" t="s">
        <v>101</v>
      </c>
      <c r="C15" s="38">
        <f>C8*C$4</f>
        <v>1349076.7797819038</v>
      </c>
      <c r="D15" s="38">
        <f t="shared" ref="D15:L15" si="0">D8*D$4</f>
        <v>1388189.1821144931</v>
      </c>
      <c r="E15" s="38">
        <f t="shared" si="0"/>
        <v>1485176.6191495545</v>
      </c>
      <c r="F15" s="38">
        <f t="shared" si="0"/>
        <v>1550995.0763895186</v>
      </c>
      <c r="G15" s="38">
        <f t="shared" si="0"/>
        <v>1539315.6563767425</v>
      </c>
      <c r="H15" s="38">
        <f t="shared" si="0"/>
        <v>1540338.456904697</v>
      </c>
      <c r="I15" s="38">
        <f t="shared" si="0"/>
        <v>1689970.0532267608</v>
      </c>
      <c r="J15" s="38">
        <f t="shared" si="0"/>
        <v>1882503.4656329413</v>
      </c>
      <c r="K15" s="38">
        <f t="shared" si="0"/>
        <v>2021744.7040306551</v>
      </c>
      <c r="L15" s="38">
        <f t="shared" si="0"/>
        <v>2117015.8544007116</v>
      </c>
      <c r="M15" s="38">
        <f>M8*M$4</f>
        <v>2137518.8975801086</v>
      </c>
      <c r="N15" s="38">
        <f>N8*N$4</f>
        <v>2198182.4152873051</v>
      </c>
      <c r="O15" s="34"/>
    </row>
    <row r="16" spans="1:19" x14ac:dyDescent="0.25">
      <c r="A16" s="49" t="s">
        <v>21</v>
      </c>
      <c r="B16" s="49" t="s">
        <v>101</v>
      </c>
      <c r="C16" s="38">
        <f>C9*C$4</f>
        <v>3887600.9810127406</v>
      </c>
      <c r="D16" s="38">
        <f t="shared" ref="D16:L16" si="1">D9*D$4</f>
        <v>4026985.0847240984</v>
      </c>
      <c r="E16" s="38">
        <f t="shared" si="1"/>
        <v>4489418.8515179688</v>
      </c>
      <c r="F16" s="38">
        <f t="shared" si="1"/>
        <v>5079571.9911137465</v>
      </c>
      <c r="G16" s="38">
        <f t="shared" si="1"/>
        <v>5565244.5550897652</v>
      </c>
      <c r="H16" s="38">
        <f t="shared" si="1"/>
        <v>5892004.9830204267</v>
      </c>
      <c r="I16" s="38">
        <f t="shared" si="1"/>
        <v>6152674.4763100063</v>
      </c>
      <c r="J16" s="38">
        <f t="shared" si="1"/>
        <v>6395751.272234845</v>
      </c>
      <c r="K16" s="38">
        <f t="shared" si="1"/>
        <v>6740857.895649381</v>
      </c>
      <c r="L16" s="38">
        <f t="shared" si="1"/>
        <v>6944745.5637794519</v>
      </c>
      <c r="M16" s="38">
        <f>M9*M$4</f>
        <v>6830518.2660020301</v>
      </c>
      <c r="N16" s="38">
        <f>N9*N$4</f>
        <v>6770902.069569936</v>
      </c>
      <c r="O16" s="34"/>
    </row>
    <row r="17" spans="1:15" x14ac:dyDescent="0.25">
      <c r="A17" s="49" t="s">
        <v>36</v>
      </c>
      <c r="B17" s="49" t="s">
        <v>101</v>
      </c>
      <c r="C17" s="38">
        <f>C10*C$3</f>
        <v>2540338.8713345323</v>
      </c>
      <c r="D17" s="38">
        <f t="shared" ref="D17:L17" si="2">D10*D$3</f>
        <v>2494913.7174457898</v>
      </c>
      <c r="E17" s="38">
        <f t="shared" si="2"/>
        <v>2548327.8572774632</v>
      </c>
      <c r="F17" s="38">
        <f t="shared" si="2"/>
        <v>2637649.4929919089</v>
      </c>
      <c r="G17" s="38">
        <f t="shared" si="2"/>
        <v>2626879.6625730279</v>
      </c>
      <c r="H17" s="38">
        <f t="shared" si="2"/>
        <v>2593871.3596958551</v>
      </c>
      <c r="I17" s="38">
        <f t="shared" si="2"/>
        <v>2575539.022491483</v>
      </c>
      <c r="J17" s="38">
        <f t="shared" si="2"/>
        <v>2610729.2900726916</v>
      </c>
      <c r="K17" s="38">
        <f t="shared" si="2"/>
        <v>2669218.8246565163</v>
      </c>
      <c r="L17" s="38">
        <f t="shared" si="2"/>
        <v>2939683.2336933217</v>
      </c>
      <c r="M17" s="38">
        <f>M10*M$3</f>
        <v>2965574.6754900375</v>
      </c>
      <c r="N17" s="38">
        <f>N10*N$3</f>
        <v>2974670.3031718931</v>
      </c>
      <c r="O17" s="34"/>
    </row>
    <row r="18" spans="1:15" x14ac:dyDescent="0.25">
      <c r="A18" s="49" t="s">
        <v>30</v>
      </c>
      <c r="B18" s="49" t="s">
        <v>101</v>
      </c>
      <c r="C18" s="38">
        <f>C11*C$4</f>
        <v>891444.48269689735</v>
      </c>
      <c r="D18" s="38">
        <f t="shared" ref="D18:L18" si="3">D11*D$4</f>
        <v>942725.40242494235</v>
      </c>
      <c r="E18" s="38">
        <f t="shared" si="3"/>
        <v>991269.72727272718</v>
      </c>
      <c r="F18" s="38">
        <f t="shared" si="3"/>
        <v>1025199.3885281385</v>
      </c>
      <c r="G18" s="38">
        <f t="shared" si="3"/>
        <v>1064287.8610816544</v>
      </c>
      <c r="H18" s="38">
        <f t="shared" si="3"/>
        <v>1164895.4215686272</v>
      </c>
      <c r="I18" s="38">
        <f t="shared" si="3"/>
        <v>1280261.7505010022</v>
      </c>
      <c r="J18" s="38">
        <f t="shared" si="3"/>
        <v>1324133.9921568625</v>
      </c>
      <c r="K18" s="38">
        <f t="shared" si="3"/>
        <v>1401873.780065953</v>
      </c>
      <c r="L18" s="38">
        <f t="shared" si="3"/>
        <v>1457785.5511069712</v>
      </c>
      <c r="M18" s="38">
        <f>M11*M$4</f>
        <v>1429959.8018570701</v>
      </c>
      <c r="N18" s="38">
        <f>N11*N$4</f>
        <v>1397900.1452307347</v>
      </c>
      <c r="O18" s="34"/>
    </row>
    <row r="19" spans="1:15" x14ac:dyDescent="0.25">
      <c r="A19" s="49" t="s">
        <v>39</v>
      </c>
      <c r="B19" s="49" t="s">
        <v>101</v>
      </c>
      <c r="C19" s="38">
        <f>C12*C$4</f>
        <v>4235687.0163209504</v>
      </c>
      <c r="D19" s="38">
        <f t="shared" ref="D19:L19" si="4">D12*D$4</f>
        <v>4289012.7998999581</v>
      </c>
      <c r="E19" s="38">
        <f t="shared" si="4"/>
        <v>4487271.287557086</v>
      </c>
      <c r="F19" s="38">
        <f t="shared" si="4"/>
        <v>4824189.4155673068</v>
      </c>
      <c r="G19" s="38">
        <f t="shared" si="4"/>
        <v>5118785.1372029167</v>
      </c>
      <c r="H19" s="38">
        <f t="shared" si="4"/>
        <v>5274847.9596498869</v>
      </c>
      <c r="I19" s="38">
        <f t="shared" si="4"/>
        <v>5451529.6706958814</v>
      </c>
      <c r="J19" s="38">
        <f t="shared" si="4"/>
        <v>5643812.0054621054</v>
      </c>
      <c r="K19" s="38">
        <f t="shared" si="4"/>
        <v>5964948.2070622025</v>
      </c>
      <c r="L19" s="38">
        <f t="shared" si="4"/>
        <v>6213356.517723443</v>
      </c>
      <c r="M19" s="38">
        <f>M12*M$4</f>
        <v>6238980.0916001853</v>
      </c>
      <c r="N19" s="38">
        <f>N12*N$4</f>
        <v>6171845.857094707</v>
      </c>
      <c r="O19" s="34"/>
    </row>
    <row r="20" spans="1:1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25">
      <c r="A21" s="24"/>
      <c r="B21" s="34"/>
      <c r="C21" s="3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4"/>
    </row>
    <row r="22" spans="1:15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5" spans="1:15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5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RAB!C12:L12</xm:f>
              <xm:sqref>O12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RAB!C11:L11</xm:f>
              <xm:sqref>O11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RAB!C10:L10</xm:f>
              <xm:sqref>O10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RAB!C9:L9</xm:f>
              <xm:sqref>O9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RAB!C8:L8</xm:f>
              <xm:sqref>O8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C10" sqref="C10"/>
    </sheetView>
  </sheetViews>
  <sheetFormatPr defaultRowHeight="15" x14ac:dyDescent="0.25"/>
  <cols>
    <col min="1" max="1" width="45.140625" customWidth="1"/>
    <col min="2" max="2" width="11.140625" style="16" customWidth="1"/>
    <col min="3" max="9" width="12.28515625" style="16" customWidth="1"/>
    <col min="10" max="12" width="12.28515625" customWidth="1"/>
    <col min="13" max="14" width="12.28515625" style="18" customWidth="1"/>
  </cols>
  <sheetData>
    <row r="1" spans="1:16" s="2" customFormat="1" x14ac:dyDescent="0.25">
      <c r="A1" s="35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34"/>
      <c r="L1" s="34"/>
      <c r="M1" s="34"/>
      <c r="N1" s="34"/>
      <c r="O1" s="34"/>
      <c r="P1" s="34"/>
    </row>
    <row r="2" spans="1:16" s="2" customFormat="1" x14ac:dyDescent="0.25">
      <c r="A2" s="34"/>
      <c r="B2" s="35" t="str">
        <f>"Real $"&amp;Real_year&amp;""</f>
        <v>Real $2017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>
        <v>2017</v>
      </c>
      <c r="P2" s="34"/>
    </row>
    <row r="3" spans="1:16" s="2" customFormat="1" x14ac:dyDescent="0.25">
      <c r="A3" s="34" t="s">
        <v>60</v>
      </c>
      <c r="B3" s="34"/>
      <c r="C3" s="48">
        <f>CPI!F12</f>
        <v>1.344124700239808</v>
      </c>
      <c r="D3" s="48">
        <f>CPI!G12</f>
        <v>1.2929642445213378</v>
      </c>
      <c r="E3" s="48">
        <f>CPI!H12</f>
        <v>1.2695356738391845</v>
      </c>
      <c r="F3" s="48">
        <f>CPI!I12</f>
        <v>1.2092772384034518</v>
      </c>
      <c r="G3" s="48">
        <f>CPI!J12</f>
        <v>1.1950959488272921</v>
      </c>
      <c r="H3" s="48">
        <f>CPI!K12</f>
        <v>1.1616580310880829</v>
      </c>
      <c r="I3" s="48">
        <f>CPI!L12</f>
        <v>1.123246492985972</v>
      </c>
      <c r="J3" s="48">
        <f>CPI!M12</f>
        <v>1.1011787819253438</v>
      </c>
      <c r="K3" s="48">
        <f>CPI!N12</f>
        <v>1.0778846153846153</v>
      </c>
      <c r="L3" s="48">
        <f>CPI!O12</f>
        <v>1.0535714285714284</v>
      </c>
      <c r="M3" s="48">
        <f>CPI!P12</f>
        <v>1.037962962962963</v>
      </c>
      <c r="N3" s="48">
        <f>CPI!Q12</f>
        <v>1.0246800731261425</v>
      </c>
      <c r="P3" s="34"/>
    </row>
    <row r="4" spans="1:16" s="2" customFormat="1" x14ac:dyDescent="0.25">
      <c r="A4" s="34" t="s">
        <v>59</v>
      </c>
      <c r="B4" s="34"/>
      <c r="C4" s="48">
        <f>CPI!F11</f>
        <v>1.337708830548926</v>
      </c>
      <c r="D4" s="48">
        <f>CPI!G11</f>
        <v>1.29445727482679</v>
      </c>
      <c r="E4" s="48">
        <f>CPI!H11</f>
        <v>1.2581369248035914</v>
      </c>
      <c r="F4" s="48">
        <f>CPI!I11</f>
        <v>1.2132034632034632</v>
      </c>
      <c r="G4" s="48">
        <f>CPI!J11</f>
        <v>1.1887592788971368</v>
      </c>
      <c r="H4" s="48">
        <f>CPI!K11</f>
        <v>1.1568627450980391</v>
      </c>
      <c r="I4" s="48">
        <f>CPI!L11</f>
        <v>1.123246492985972</v>
      </c>
      <c r="J4" s="48">
        <f>CPI!M11</f>
        <v>1.0990196078431371</v>
      </c>
      <c r="K4" s="48">
        <f>CPI!N11</f>
        <v>1.0696564885496183</v>
      </c>
      <c r="L4" s="48">
        <f>CPI!O11</f>
        <v>1.0515947467166979</v>
      </c>
      <c r="M4" s="48">
        <f>CPI!P11</f>
        <v>1.0341328413284132</v>
      </c>
      <c r="N4" s="48">
        <f>CPI!Q11</f>
        <v>1.019090909090909</v>
      </c>
      <c r="P4" s="34"/>
    </row>
    <row r="5" spans="1:16" s="2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5" t="s">
        <v>63</v>
      </c>
      <c r="B6" s="58"/>
      <c r="C6" s="58"/>
      <c r="D6" s="58"/>
      <c r="E6" s="58"/>
      <c r="F6" s="58"/>
      <c r="G6" s="58"/>
      <c r="H6" s="58"/>
      <c r="I6" s="58"/>
      <c r="J6" s="58"/>
      <c r="K6" s="34"/>
      <c r="L6" s="34"/>
      <c r="M6" s="34"/>
      <c r="N6" s="34"/>
      <c r="O6" s="34"/>
      <c r="P6" s="34"/>
    </row>
    <row r="7" spans="1:16" x14ac:dyDescent="0.25">
      <c r="A7" s="35" t="s">
        <v>64</v>
      </c>
      <c r="B7" s="58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2016</v>
      </c>
      <c r="N7" s="34">
        <v>2017</v>
      </c>
      <c r="O7" s="34"/>
      <c r="P7" s="34"/>
    </row>
    <row r="8" spans="1:16" x14ac:dyDescent="0.25">
      <c r="A8" s="49" t="s">
        <v>38</v>
      </c>
      <c r="B8" s="49" t="s">
        <v>18</v>
      </c>
      <c r="C8" s="38">
        <v>-45791.849417636906</v>
      </c>
      <c r="D8" s="38">
        <v>-50958.501088076984</v>
      </c>
      <c r="E8" s="38">
        <v>-48204.850280116312</v>
      </c>
      <c r="F8" s="38">
        <v>-55008.877124563965</v>
      </c>
      <c r="G8" s="38">
        <v>-60040.104570401381</v>
      </c>
      <c r="H8" s="38">
        <v>-63337.177692221783</v>
      </c>
      <c r="I8" s="38">
        <v>-66722.89939335885</v>
      </c>
      <c r="J8" s="38">
        <v>-73303.01352783374</v>
      </c>
      <c r="K8" s="38">
        <v>-76094.486579693286</v>
      </c>
      <c r="L8" s="38">
        <v>-85643.071653748921</v>
      </c>
      <c r="M8" s="38">
        <v>-95982.674057186538</v>
      </c>
      <c r="N8" s="38">
        <v>-103289.94435068821</v>
      </c>
      <c r="O8" s="34"/>
      <c r="P8" s="34"/>
    </row>
    <row r="9" spans="1:16" x14ac:dyDescent="0.25">
      <c r="A9" s="49" t="s">
        <v>21</v>
      </c>
      <c r="B9" s="49" t="s">
        <v>18</v>
      </c>
      <c r="C9" s="38">
        <v>-132496.74622431587</v>
      </c>
      <c r="D9" s="38">
        <v>-140357.26629175912</v>
      </c>
      <c r="E9" s="38">
        <v>-156999.72982458232</v>
      </c>
      <c r="F9" s="38">
        <v>-182601.09296048834</v>
      </c>
      <c r="G9" s="38">
        <v>-191974.42283243482</v>
      </c>
      <c r="H9" s="38">
        <v>-209895.4904502311</v>
      </c>
      <c r="I9" s="38">
        <v>-224992.70041557745</v>
      </c>
      <c r="J9" s="38">
        <v>-212080.91622801078</v>
      </c>
      <c r="K9" s="38">
        <v>-234896.24841606364</v>
      </c>
      <c r="L9" s="38">
        <v>-261726.28652177399</v>
      </c>
      <c r="M9" s="38">
        <v>-277132.67885741114</v>
      </c>
      <c r="N9" s="38">
        <v>-273813.57027352898</v>
      </c>
      <c r="O9" s="34"/>
      <c r="P9" s="34"/>
    </row>
    <row r="10" spans="1:16" x14ac:dyDescent="0.25">
      <c r="A10" s="49" t="s">
        <v>36</v>
      </c>
      <c r="B10" s="49" t="s">
        <v>18</v>
      </c>
      <c r="C10" s="38">
        <v>-86280.945999999996</v>
      </c>
      <c r="D10" s="38">
        <v>-91719.03</v>
      </c>
      <c r="E10" s="38">
        <v>-103392.598</v>
      </c>
      <c r="F10" s="38">
        <v>-107125.821</v>
      </c>
      <c r="G10" s="38">
        <v>-112873.439</v>
      </c>
      <c r="H10" s="38">
        <v>-118888.912</v>
      </c>
      <c r="I10" s="38">
        <v>-123748.05100000001</v>
      </c>
      <c r="J10" s="38">
        <v>-129632.00900000001</v>
      </c>
      <c r="K10" s="38">
        <v>-127428.17617868638</v>
      </c>
      <c r="L10" s="38">
        <v>-145677.73598860696</v>
      </c>
      <c r="M10" s="38">
        <v>-152613.9833679182</v>
      </c>
      <c r="N10" s="38">
        <v>-161231.0402391114</v>
      </c>
      <c r="O10" s="34"/>
      <c r="P10" s="34"/>
    </row>
    <row r="11" spans="1:16" x14ac:dyDescent="0.25">
      <c r="A11" s="49" t="s">
        <v>30</v>
      </c>
      <c r="B11" s="49" t="s">
        <v>18</v>
      </c>
      <c r="C11" s="38">
        <v>-34117</v>
      </c>
      <c r="D11" s="38">
        <v>-33914</v>
      </c>
      <c r="E11" s="38">
        <v>-37777</v>
      </c>
      <c r="F11" s="38">
        <v>-41311</v>
      </c>
      <c r="G11" s="38">
        <v>-49841</v>
      </c>
      <c r="H11" s="38">
        <v>-54231</v>
      </c>
      <c r="I11" s="38">
        <v>-54880</v>
      </c>
      <c r="J11" s="38">
        <v>-54578</v>
      </c>
      <c r="K11" s="38">
        <v>-61434.606590000003</v>
      </c>
      <c r="L11" s="38">
        <v>-53237.514772859882</v>
      </c>
      <c r="M11" s="38">
        <v>-57207.430475358902</v>
      </c>
      <c r="N11" s="38">
        <v>-61304.04863066168</v>
      </c>
      <c r="O11" s="34"/>
      <c r="P11" s="34"/>
    </row>
    <row r="12" spans="1:16" x14ac:dyDescent="0.25">
      <c r="A12" s="49" t="s">
        <v>39</v>
      </c>
      <c r="B12" s="49" t="s">
        <v>18</v>
      </c>
      <c r="C12" s="38">
        <v>-121720.69285763716</v>
      </c>
      <c r="D12" s="38">
        <v>-130837</v>
      </c>
      <c r="E12" s="38">
        <v>-138414</v>
      </c>
      <c r="F12" s="38">
        <v>-155347.27373057668</v>
      </c>
      <c r="G12" s="38">
        <v>-178956.02871101134</v>
      </c>
      <c r="H12" s="38">
        <v>-181714.94605466677</v>
      </c>
      <c r="I12" s="38">
        <v>-184338.2857749275</v>
      </c>
      <c r="J12" s="38">
        <v>-199415.56154466461</v>
      </c>
      <c r="K12" s="38">
        <v>-222310.25735920473</v>
      </c>
      <c r="L12" s="38">
        <v>-244163.23008389489</v>
      </c>
      <c r="M12" s="38">
        <v>-261875.0623888979</v>
      </c>
      <c r="N12" s="38">
        <v>-279708.00294541242</v>
      </c>
      <c r="O12" s="34"/>
      <c r="P12" s="34"/>
    </row>
    <row r="13" spans="1:16" x14ac:dyDescent="0.25">
      <c r="A13" s="34"/>
      <c r="B13" s="58"/>
      <c r="C13" s="58"/>
      <c r="D13" s="58"/>
      <c r="E13" s="58"/>
      <c r="F13" s="58"/>
      <c r="G13" s="58"/>
      <c r="H13" s="58"/>
      <c r="I13" s="58"/>
      <c r="J13" s="34"/>
      <c r="K13" s="34"/>
      <c r="L13" s="34"/>
      <c r="M13" s="34"/>
      <c r="N13" s="34"/>
      <c r="O13" s="34"/>
      <c r="P13" s="34"/>
    </row>
    <row r="14" spans="1:16" x14ac:dyDescent="0.25">
      <c r="A14" s="35" t="str">
        <f>CONCATENATE(B2)</f>
        <v>Real $2017</v>
      </c>
      <c r="B14" s="59"/>
      <c r="C14" s="58"/>
      <c r="D14" s="58"/>
      <c r="E14" s="58"/>
      <c r="F14" s="58"/>
      <c r="G14" s="58"/>
      <c r="H14" s="58"/>
      <c r="I14" s="58"/>
      <c r="J14" s="34"/>
      <c r="K14" s="34"/>
      <c r="L14" s="34"/>
      <c r="M14" s="34"/>
      <c r="N14" s="34"/>
      <c r="O14" s="34"/>
      <c r="P14" s="34"/>
    </row>
    <row r="15" spans="1:16" x14ac:dyDescent="0.25">
      <c r="A15" s="49" t="s">
        <v>38</v>
      </c>
      <c r="B15" s="49" t="s">
        <v>101</v>
      </c>
      <c r="C15" s="38">
        <f>C8*C$4</f>
        <v>-61256.161333139586</v>
      </c>
      <c r="D15" s="38">
        <f t="shared" ref="D15:N15" si="0">D8*D$4</f>
        <v>-65963.60244773014</v>
      </c>
      <c r="E15" s="38">
        <f t="shared" si="0"/>
        <v>-60648.302092043079</v>
      </c>
      <c r="F15" s="38">
        <f t="shared" si="0"/>
        <v>-66736.96023445476</v>
      </c>
      <c r="G15" s="38">
        <f t="shared" si="0"/>
        <v>-71373.231414019043</v>
      </c>
      <c r="H15" s="38">
        <f t="shared" si="0"/>
        <v>-73272.421251785971</v>
      </c>
      <c r="I15" s="38">
        <f t="shared" si="0"/>
        <v>-74946.262745446162</v>
      </c>
      <c r="J15" s="38">
        <f t="shared" si="0"/>
        <v>-80561.44918108001</v>
      </c>
      <c r="K15" s="38">
        <f t="shared" si="0"/>
        <v>-81394.961312820771</v>
      </c>
      <c r="L15" s="38">
        <f t="shared" si="0"/>
        <v>-90061.804243764112</v>
      </c>
      <c r="M15" s="38">
        <f t="shared" si="0"/>
        <v>-99258.835441057294</v>
      </c>
      <c r="N15" s="38">
        <f t="shared" si="0"/>
        <v>-105261.84328829225</v>
      </c>
      <c r="O15" s="34"/>
      <c r="P15" s="34"/>
    </row>
    <row r="16" spans="1:16" x14ac:dyDescent="0.25">
      <c r="A16" s="49" t="s">
        <v>21</v>
      </c>
      <c r="B16" s="49" t="s">
        <v>101</v>
      </c>
      <c r="C16" s="38">
        <f>C9*C$4</f>
        <v>-177242.06744326741</v>
      </c>
      <c r="D16" s="38">
        <f t="shared" ref="D16:N16" si="1">D9*D$4</f>
        <v>-181686.48442616858</v>
      </c>
      <c r="E16" s="38">
        <f t="shared" si="1"/>
        <v>-197527.15727649469</v>
      </c>
      <c r="F16" s="38">
        <f t="shared" si="1"/>
        <v>-221532.27836440198</v>
      </c>
      <c r="G16" s="38">
        <f t="shared" si="1"/>
        <v>-228211.37645297925</v>
      </c>
      <c r="H16" s="38">
        <f t="shared" si="1"/>
        <v>-242820.27326595358</v>
      </c>
      <c r="I16" s="38">
        <f t="shared" si="1"/>
        <v>-252722.26168924081</v>
      </c>
      <c r="J16" s="38">
        <f t="shared" si="1"/>
        <v>-233081.08538392163</v>
      </c>
      <c r="K16" s="38">
        <f t="shared" si="1"/>
        <v>-251258.29625420546</v>
      </c>
      <c r="L16" s="38">
        <f t="shared" si="1"/>
        <v>-275229.98798396683</v>
      </c>
      <c r="M16" s="38">
        <f t="shared" si="1"/>
        <v>-286592.00461176923</v>
      </c>
      <c r="N16" s="38">
        <f t="shared" si="1"/>
        <v>-279040.92025147815</v>
      </c>
      <c r="O16" s="34"/>
      <c r="P16" s="34"/>
    </row>
    <row r="17" spans="1:16" x14ac:dyDescent="0.25">
      <c r="A17" s="49" t="s">
        <v>36</v>
      </c>
      <c r="B17" s="49" t="s">
        <v>101</v>
      </c>
      <c r="C17" s="38">
        <f>C10*C$3</f>
        <v>-115972.35067865705</v>
      </c>
      <c r="D17" s="38">
        <f t="shared" ref="D17:N17" si="2">D10*D$3</f>
        <v>-118589.42633217992</v>
      </c>
      <c r="E17" s="38">
        <f t="shared" si="2"/>
        <v>-131260.59157191392</v>
      </c>
      <c r="F17" s="38">
        <f t="shared" si="2"/>
        <v>-129544.8169805825</v>
      </c>
      <c r="G17" s="38">
        <f t="shared" si="2"/>
        <v>-134894.58967910448</v>
      </c>
      <c r="H17" s="38">
        <f t="shared" si="2"/>
        <v>-138108.25943212435</v>
      </c>
      <c r="I17" s="38">
        <f t="shared" si="2"/>
        <v>-138999.56429959921</v>
      </c>
      <c r="J17" s="38">
        <f t="shared" si="2"/>
        <v>-142748.01776915521</v>
      </c>
      <c r="K17" s="38">
        <f t="shared" si="2"/>
        <v>-137352.87066952637</v>
      </c>
      <c r="L17" s="38">
        <f t="shared" si="2"/>
        <v>-153481.90041656801</v>
      </c>
      <c r="M17" s="38">
        <f t="shared" si="2"/>
        <v>-158407.66236614474</v>
      </c>
      <c r="N17" s="38">
        <f t="shared" si="2"/>
        <v>-165210.2341024167</v>
      </c>
      <c r="O17" s="34"/>
      <c r="P17" s="34"/>
    </row>
    <row r="18" spans="1:16" x14ac:dyDescent="0.25">
      <c r="A18" s="49" t="s">
        <v>30</v>
      </c>
      <c r="B18" s="49" t="s">
        <v>101</v>
      </c>
      <c r="C18" s="38">
        <f>C11*C$4</f>
        <v>-45638.612171837711</v>
      </c>
      <c r="D18" s="38">
        <f t="shared" ref="D18:N18" si="3">D11*D$4</f>
        <v>-43900.224018475754</v>
      </c>
      <c r="E18" s="38">
        <f t="shared" si="3"/>
        <v>-47528.638608305271</v>
      </c>
      <c r="F18" s="38">
        <f t="shared" si="3"/>
        <v>-50118.648268398269</v>
      </c>
      <c r="G18" s="38">
        <f t="shared" si="3"/>
        <v>-59248.951219512201</v>
      </c>
      <c r="H18" s="38">
        <f t="shared" si="3"/>
        <v>-62737.823529411762</v>
      </c>
      <c r="I18" s="38">
        <f t="shared" si="3"/>
        <v>-61643.767535070147</v>
      </c>
      <c r="J18" s="38">
        <f t="shared" si="3"/>
        <v>-59982.292156862735</v>
      </c>
      <c r="K18" s="38">
        <f t="shared" si="3"/>
        <v>-65713.925560486634</v>
      </c>
      <c r="L18" s="38">
        <f t="shared" si="3"/>
        <v>-55984.290863392052</v>
      </c>
      <c r="M18" s="38">
        <f t="shared" si="3"/>
        <v>-59160.082622580558</v>
      </c>
      <c r="N18" s="38">
        <f t="shared" si="3"/>
        <v>-62474.398649974311</v>
      </c>
      <c r="O18" s="34"/>
      <c r="P18" s="34"/>
    </row>
    <row r="19" spans="1:16" x14ac:dyDescent="0.25">
      <c r="A19" s="49" t="s">
        <v>39</v>
      </c>
      <c r="B19" s="49" t="s">
        <v>101</v>
      </c>
      <c r="C19" s="38">
        <f>C12*C$4</f>
        <v>-162826.8456961948</v>
      </c>
      <c r="D19" s="38">
        <f t="shared" ref="D19:N19" si="4">D12*D$4</f>
        <v>-169362.90646651271</v>
      </c>
      <c r="E19" s="38">
        <f t="shared" si="4"/>
        <v>-174143.76430976429</v>
      </c>
      <c r="F19" s="38">
        <f t="shared" si="4"/>
        <v>-188467.85048915201</v>
      </c>
      <c r="G19" s="38">
        <f t="shared" si="4"/>
        <v>-212735.63964479716</v>
      </c>
      <c r="H19" s="38">
        <f t="shared" si="4"/>
        <v>-210219.25131814388</v>
      </c>
      <c r="I19" s="38">
        <f t="shared" si="4"/>
        <v>-207057.3330197332</v>
      </c>
      <c r="J19" s="38">
        <f t="shared" si="4"/>
        <v>-219161.61224663627</v>
      </c>
      <c r="K19" s="38">
        <f t="shared" si="4"/>
        <v>-237795.60925540887</v>
      </c>
      <c r="L19" s="38">
        <f t="shared" si="4"/>
        <v>-256760.77009760428</v>
      </c>
      <c r="M19" s="38">
        <f t="shared" si="4"/>
        <v>-270813.60234128649</v>
      </c>
      <c r="N19" s="38">
        <f t="shared" si="4"/>
        <v>-285047.883001643</v>
      </c>
      <c r="O19" s="34"/>
      <c r="P19" s="34"/>
    </row>
    <row r="20" spans="1:16" x14ac:dyDescent="0.25">
      <c r="A20" s="34"/>
      <c r="B20" s="58"/>
      <c r="C20" s="58"/>
      <c r="D20" s="58"/>
      <c r="E20" s="58"/>
      <c r="F20" s="58"/>
      <c r="G20" s="58"/>
      <c r="H20" s="58"/>
      <c r="I20" s="58"/>
      <c r="J20" s="34"/>
      <c r="K20" s="34"/>
      <c r="L20" s="34"/>
      <c r="M20" s="34"/>
      <c r="N20" s="34"/>
      <c r="O20" s="34"/>
      <c r="P20" s="34"/>
    </row>
    <row r="21" spans="1:16" x14ac:dyDescent="0.25">
      <c r="A21" s="34"/>
      <c r="B21" s="58"/>
      <c r="C21" s="5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4"/>
      <c r="P21" s="34"/>
    </row>
    <row r="22" spans="1:16" x14ac:dyDescent="0.25">
      <c r="A22" s="34"/>
      <c r="B22" s="58"/>
      <c r="C22" s="58"/>
      <c r="D22" s="58"/>
      <c r="E22" s="58"/>
      <c r="F22" s="58"/>
      <c r="G22" s="58"/>
      <c r="H22" s="58"/>
      <c r="I22" s="58"/>
      <c r="J22" s="34"/>
      <c r="K22" s="34"/>
      <c r="L22" s="34"/>
      <c r="M22" s="34"/>
      <c r="N22" s="34"/>
      <c r="O22" s="34"/>
      <c r="P22" s="34"/>
    </row>
    <row r="23" spans="1:16" x14ac:dyDescent="0.25">
      <c r="A23" s="34"/>
      <c r="B23" s="58"/>
      <c r="C23" s="58"/>
      <c r="D23" s="58"/>
      <c r="E23" s="58"/>
      <c r="F23" s="58"/>
      <c r="G23" s="58"/>
      <c r="H23" s="58"/>
      <c r="I23" s="58"/>
      <c r="J23" s="34"/>
      <c r="K23" s="34"/>
      <c r="L23" s="34"/>
      <c r="M23" s="34"/>
      <c r="N23" s="34"/>
      <c r="O23" s="34"/>
      <c r="P23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Depreciation!C12:L12</xm:f>
              <xm:sqref>O12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Depreciation!C11:L11</xm:f>
              <xm:sqref>O11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Depreciation!C10:L10</xm:f>
              <xm:sqref>O10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Depreciation!C9:L9</xm:f>
              <xm:sqref>O9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Depreciation!C8:L8</xm:f>
              <xm:sqref>O8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2"/>
  <sheetViews>
    <sheetView workbookViewId="0">
      <selection activeCell="C8" sqref="C8"/>
    </sheetView>
  </sheetViews>
  <sheetFormatPr defaultRowHeight="15" x14ac:dyDescent="0.25"/>
  <cols>
    <col min="1" max="1" width="46.42578125" customWidth="1"/>
    <col min="2" max="12" width="12.85546875" customWidth="1"/>
    <col min="14" max="14" width="11.140625" bestFit="1" customWidth="1"/>
  </cols>
  <sheetData>
    <row r="1" spans="1:23" ht="14.45" x14ac:dyDescent="0.35">
      <c r="A1" s="35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3" ht="14.45" x14ac:dyDescent="0.35">
      <c r="A2" s="34"/>
      <c r="B2" s="35" t="str">
        <f>"Real $"&amp;Real_year&amp;""</f>
        <v>Real $2017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>
        <v>2017</v>
      </c>
      <c r="O2" s="34"/>
      <c r="P2" s="2"/>
      <c r="Q2" s="2"/>
      <c r="R2" s="2"/>
      <c r="S2" s="2"/>
      <c r="T2" s="2"/>
      <c r="U2" s="2"/>
      <c r="V2" s="2"/>
      <c r="W2" s="2"/>
    </row>
    <row r="3" spans="1:23" x14ac:dyDescent="0.25">
      <c r="A3" s="34" t="s">
        <v>60</v>
      </c>
      <c r="B3" s="34"/>
      <c r="C3" s="48">
        <f>CPI!F12</f>
        <v>1.344124700239808</v>
      </c>
      <c r="D3" s="48">
        <f>CPI!G12</f>
        <v>1.2929642445213378</v>
      </c>
      <c r="E3" s="48">
        <f>CPI!H12</f>
        <v>1.2695356738391845</v>
      </c>
      <c r="F3" s="48">
        <f>CPI!I12</f>
        <v>1.2092772384034518</v>
      </c>
      <c r="G3" s="48">
        <f>CPI!J12</f>
        <v>1.1950959488272921</v>
      </c>
      <c r="H3" s="48">
        <f>CPI!K12</f>
        <v>1.1616580310880829</v>
      </c>
      <c r="I3" s="48">
        <f>CPI!L12</f>
        <v>1.123246492985972</v>
      </c>
      <c r="J3" s="48">
        <f>CPI!M12</f>
        <v>1.1011787819253438</v>
      </c>
      <c r="K3" s="48">
        <f>CPI!N12</f>
        <v>1.0778846153846153</v>
      </c>
      <c r="L3" s="48">
        <f>CPI!O12</f>
        <v>1.0535714285714284</v>
      </c>
      <c r="M3" s="48">
        <f>CPI!P12</f>
        <v>1.037962962962963</v>
      </c>
      <c r="N3" s="48">
        <f>CPI!Q12</f>
        <v>1.0246800731261425</v>
      </c>
      <c r="O3" s="34"/>
    </row>
    <row r="4" spans="1:23" x14ac:dyDescent="0.25">
      <c r="A4" s="34" t="s">
        <v>59</v>
      </c>
      <c r="B4" s="34"/>
      <c r="C4" s="48">
        <f>CPI!F11</f>
        <v>1.337708830548926</v>
      </c>
      <c r="D4" s="48">
        <f>CPI!G11</f>
        <v>1.29445727482679</v>
      </c>
      <c r="E4" s="48">
        <f>CPI!H11</f>
        <v>1.2581369248035914</v>
      </c>
      <c r="F4" s="48">
        <f>CPI!I11</f>
        <v>1.2132034632034632</v>
      </c>
      <c r="G4" s="48">
        <f>CPI!J11</f>
        <v>1.1887592788971368</v>
      </c>
      <c r="H4" s="48">
        <f>CPI!K11</f>
        <v>1.1568627450980391</v>
      </c>
      <c r="I4" s="48">
        <f>CPI!L11</f>
        <v>1.123246492985972</v>
      </c>
      <c r="J4" s="48">
        <f>CPI!M11</f>
        <v>1.0990196078431371</v>
      </c>
      <c r="K4" s="48">
        <f>CPI!N11</f>
        <v>1.0696564885496183</v>
      </c>
      <c r="L4" s="48">
        <f>CPI!O11</f>
        <v>1.0515947467166979</v>
      </c>
      <c r="M4" s="48">
        <f>CPI!P11</f>
        <v>1.0341328413284132</v>
      </c>
      <c r="N4" s="48">
        <f>CPI!Q11</f>
        <v>1.019090909090909</v>
      </c>
      <c r="O4" s="34"/>
    </row>
    <row r="5" spans="1:23" s="2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3" s="2" customFormat="1" x14ac:dyDescent="0.25">
      <c r="A6" s="35" t="s">
        <v>20</v>
      </c>
      <c r="B6" s="35" t="s">
        <v>43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3" x14ac:dyDescent="0.25">
      <c r="A7" s="35" t="s">
        <v>66</v>
      </c>
      <c r="B7" s="35"/>
      <c r="C7" s="34">
        <f t="shared" ref="C7:L7" si="0">C2</f>
        <v>2006</v>
      </c>
      <c r="D7" s="34">
        <f t="shared" si="0"/>
        <v>2007</v>
      </c>
      <c r="E7" s="34">
        <f t="shared" si="0"/>
        <v>2008</v>
      </c>
      <c r="F7" s="34">
        <f t="shared" si="0"/>
        <v>2009</v>
      </c>
      <c r="G7" s="34">
        <f t="shared" si="0"/>
        <v>2010</v>
      </c>
      <c r="H7" s="34">
        <f t="shared" si="0"/>
        <v>2011</v>
      </c>
      <c r="I7" s="34">
        <f t="shared" si="0"/>
        <v>2012</v>
      </c>
      <c r="J7" s="34">
        <f t="shared" si="0"/>
        <v>2013</v>
      </c>
      <c r="K7" s="34">
        <f t="shared" si="0"/>
        <v>2014</v>
      </c>
      <c r="L7" s="34">
        <f t="shared" si="0"/>
        <v>2015</v>
      </c>
      <c r="M7" s="34">
        <f t="shared" ref="M7" si="1">M2</f>
        <v>2016</v>
      </c>
      <c r="N7" s="34">
        <v>2017</v>
      </c>
      <c r="O7" s="34"/>
    </row>
    <row r="8" spans="1:23" x14ac:dyDescent="0.25">
      <c r="A8" s="49" t="s">
        <v>38</v>
      </c>
      <c r="B8" s="49" t="s">
        <v>65</v>
      </c>
      <c r="C8" s="38">
        <v>89258.11425374214</v>
      </c>
      <c r="D8" s="38">
        <v>80842.987365847715</v>
      </c>
      <c r="E8" s="38">
        <v>162293.47653741398</v>
      </c>
      <c r="F8" s="38">
        <v>59106.056239456964</v>
      </c>
      <c r="G8" s="38">
        <v>20345.625267704796</v>
      </c>
      <c r="H8" s="38">
        <v>97061.100193905717</v>
      </c>
      <c r="I8" s="38">
        <v>315713.09947788186</v>
      </c>
      <c r="J8" s="38">
        <v>178283.85468255344</v>
      </c>
      <c r="K8" s="38">
        <v>232198.0008218725</v>
      </c>
      <c r="L8" s="38">
        <v>96869.77632107136</v>
      </c>
      <c r="M8" s="38">
        <v>142117.46961331938</v>
      </c>
      <c r="N8" s="38">
        <v>169671.86470311059</v>
      </c>
      <c r="O8" s="34"/>
    </row>
    <row r="9" spans="1:23" x14ac:dyDescent="0.25">
      <c r="A9" s="49" t="s">
        <v>21</v>
      </c>
      <c r="B9" s="49" t="s">
        <v>65</v>
      </c>
      <c r="C9" s="38">
        <v>269318.53261280397</v>
      </c>
      <c r="D9" s="38">
        <v>256570.90166529323</v>
      </c>
      <c r="E9" s="38">
        <v>678189.56935022678</v>
      </c>
      <c r="F9" s="38">
        <v>671491.83669466269</v>
      </c>
      <c r="G9" s="38">
        <v>473251.6947943017</v>
      </c>
      <c r="H9" s="38">
        <v>463875.87787008594</v>
      </c>
      <c r="I9" s="38">
        <v>503875.60955456615</v>
      </c>
      <c r="J9" s="38">
        <v>504179.01052687335</v>
      </c>
      <c r="K9" s="38">
        <v>593347.80624161765</v>
      </c>
      <c r="L9" s="38">
        <v>245700.20910001502</v>
      </c>
      <c r="M9" s="38">
        <v>124656.92009012518</v>
      </c>
      <c r="N9" s="38">
        <v>165717.78678948872</v>
      </c>
      <c r="O9" s="34"/>
    </row>
    <row r="10" spans="1:23" x14ac:dyDescent="0.25">
      <c r="A10" s="49" t="s">
        <v>36</v>
      </c>
      <c r="B10" s="49" t="s">
        <v>65</v>
      </c>
      <c r="C10" s="38">
        <v>60055.487000000001</v>
      </c>
      <c r="D10" s="38">
        <v>81707.709000000003</v>
      </c>
      <c r="E10" s="38">
        <v>109142.72199999999</v>
      </c>
      <c r="F10" s="38">
        <v>41643.434000000001</v>
      </c>
      <c r="G10" s="38">
        <v>86552.108999999997</v>
      </c>
      <c r="H10" s="38">
        <v>110822.41800000001</v>
      </c>
      <c r="I10" s="38">
        <v>124792.08900000001</v>
      </c>
      <c r="J10" s="38">
        <v>166090.78399999999</v>
      </c>
      <c r="K10" s="38">
        <v>176329.54932170166</v>
      </c>
      <c r="L10" s="38">
        <v>192954.250261384</v>
      </c>
      <c r="M10" s="38">
        <v>133160.81765741587</v>
      </c>
      <c r="N10" s="38">
        <v>125721.37942957168</v>
      </c>
      <c r="O10" s="34"/>
    </row>
    <row r="11" spans="1:23" x14ac:dyDescent="0.25">
      <c r="A11" s="49" t="s">
        <v>30</v>
      </c>
      <c r="B11" s="49" t="s">
        <v>65</v>
      </c>
      <c r="C11" s="38">
        <v>67649</v>
      </c>
      <c r="D11" s="38">
        <v>97870</v>
      </c>
      <c r="E11" s="38">
        <v>59619</v>
      </c>
      <c r="F11" s="38">
        <v>82109</v>
      </c>
      <c r="G11" s="38">
        <v>49873</v>
      </c>
      <c r="H11" s="38">
        <v>222178</v>
      </c>
      <c r="I11" s="38">
        <v>105301</v>
      </c>
      <c r="J11" s="38">
        <v>87448</v>
      </c>
      <c r="K11" s="38">
        <v>174694.62803962029</v>
      </c>
      <c r="L11" s="38">
        <v>31333.159254127593</v>
      </c>
      <c r="M11" s="38">
        <v>24922.723995073349</v>
      </c>
      <c r="N11" s="38">
        <v>27737.785856726568</v>
      </c>
      <c r="O11" s="34"/>
    </row>
    <row r="12" spans="1:23" x14ac:dyDescent="0.25">
      <c r="A12" s="49" t="s">
        <v>39</v>
      </c>
      <c r="B12" s="49" t="s">
        <v>65</v>
      </c>
      <c r="C12" s="38">
        <v>162036</v>
      </c>
      <c r="D12" s="38">
        <v>225936</v>
      </c>
      <c r="E12" s="38">
        <v>337001</v>
      </c>
      <c r="F12" s="38">
        <v>549433.30268145294</v>
      </c>
      <c r="G12" s="38">
        <v>240632.34056820587</v>
      </c>
      <c r="H12" s="38">
        <v>370580.90669528913</v>
      </c>
      <c r="I12" s="38">
        <v>377519.62609399756</v>
      </c>
      <c r="J12" s="38">
        <v>386404.8127500806</v>
      </c>
      <c r="K12" s="38">
        <v>599025.85733420495</v>
      </c>
      <c r="L12" s="38">
        <v>299576.62671298435</v>
      </c>
      <c r="M12" s="38">
        <v>262567.9137873014</v>
      </c>
      <c r="N12" s="38">
        <v>139468.48002247565</v>
      </c>
      <c r="O12" s="34"/>
    </row>
    <row r="13" spans="1:2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3" x14ac:dyDescent="0.25">
      <c r="A14" s="35" t="str">
        <f>CONCATENATE(B2)</f>
        <v>Real $2017</v>
      </c>
      <c r="B14" s="35"/>
      <c r="C14" s="34">
        <f t="shared" ref="C14:L14" si="2">C2</f>
        <v>2006</v>
      </c>
      <c r="D14" s="34">
        <f t="shared" si="2"/>
        <v>2007</v>
      </c>
      <c r="E14" s="34">
        <f t="shared" si="2"/>
        <v>2008</v>
      </c>
      <c r="F14" s="34">
        <f t="shared" si="2"/>
        <v>2009</v>
      </c>
      <c r="G14" s="34">
        <f t="shared" si="2"/>
        <v>2010</v>
      </c>
      <c r="H14" s="34">
        <f t="shared" si="2"/>
        <v>2011</v>
      </c>
      <c r="I14" s="34">
        <f t="shared" si="2"/>
        <v>2012</v>
      </c>
      <c r="J14" s="34">
        <f t="shared" si="2"/>
        <v>2013</v>
      </c>
      <c r="K14" s="34">
        <f t="shared" si="2"/>
        <v>2014</v>
      </c>
      <c r="L14" s="34">
        <f t="shared" si="2"/>
        <v>2015</v>
      </c>
      <c r="M14" s="34">
        <f t="shared" ref="M14" si="3">M2</f>
        <v>2016</v>
      </c>
      <c r="N14" s="34">
        <v>2017</v>
      </c>
      <c r="O14" s="34"/>
    </row>
    <row r="15" spans="1:23" x14ac:dyDescent="0.25">
      <c r="A15" s="49" t="s">
        <v>38</v>
      </c>
      <c r="B15" s="49" t="s">
        <v>101</v>
      </c>
      <c r="C15" s="38">
        <f t="shared" ref="C15:N15" si="4">C8*C$4</f>
        <v>119401.36763537582</v>
      </c>
      <c r="D15" s="38">
        <f t="shared" si="4"/>
        <v>104647.79311445185</v>
      </c>
      <c r="E15" s="38">
        <f t="shared" si="4"/>
        <v>204187.41548646585</v>
      </c>
      <c r="F15" s="38">
        <f t="shared" si="4"/>
        <v>71707.672126007848</v>
      </c>
      <c r="G15" s="38">
        <f t="shared" si="4"/>
        <v>24186.05082194812</v>
      </c>
      <c r="H15" s="38">
        <f t="shared" si="4"/>
        <v>112286.37081255758</v>
      </c>
      <c r="I15" s="38">
        <f t="shared" si="4"/>
        <v>354623.63177826209</v>
      </c>
      <c r="J15" s="38">
        <f t="shared" si="4"/>
        <v>195937.45205798274</v>
      </c>
      <c r="K15" s="38">
        <f t="shared" si="4"/>
        <v>248372.09820736552</v>
      </c>
      <c r="L15" s="38">
        <f t="shared" si="4"/>
        <v>101867.74789486022</v>
      </c>
      <c r="M15" s="38">
        <f t="shared" ref="M15" si="5">M8*M$4</f>
        <v>146968.3426536264</v>
      </c>
      <c r="N15" s="38">
        <f t="shared" si="4"/>
        <v>172911.05484744269</v>
      </c>
      <c r="O15" s="34"/>
    </row>
    <row r="16" spans="1:23" x14ac:dyDescent="0.25">
      <c r="A16" s="49" t="s">
        <v>21</v>
      </c>
      <c r="B16" s="49" t="s">
        <v>101</v>
      </c>
      <c r="C16" s="38">
        <f t="shared" ref="C16:N16" si="6">C9*C$4</f>
        <v>360269.77930662676</v>
      </c>
      <c r="D16" s="38">
        <f t="shared" si="6"/>
        <v>332120.07016950776</v>
      </c>
      <c r="E16" s="38">
        <f t="shared" si="6"/>
        <v>853255.33921616629</v>
      </c>
      <c r="F16" s="38">
        <f t="shared" si="6"/>
        <v>814656.22179081908</v>
      </c>
      <c r="G16" s="38">
        <f t="shared" si="6"/>
        <v>562582.34344052197</v>
      </c>
      <c r="H16" s="38">
        <f t="shared" si="6"/>
        <v>536640.7214575503</v>
      </c>
      <c r="I16" s="38">
        <f t="shared" si="6"/>
        <v>565976.51133333531</v>
      </c>
      <c r="J16" s="38">
        <f t="shared" si="6"/>
        <v>554102.61843198526</v>
      </c>
      <c r="K16" s="38">
        <f t="shared" si="6"/>
        <v>634678.33091302798</v>
      </c>
      <c r="L16" s="38">
        <f t="shared" si="6"/>
        <v>258377.04915677002</v>
      </c>
      <c r="M16" s="38">
        <f t="shared" ref="M16" si="7">M9*M$4</f>
        <v>128911.81496405011</v>
      </c>
      <c r="N16" s="38">
        <f t="shared" si="6"/>
        <v>168881.48999183348</v>
      </c>
      <c r="O16" s="34"/>
    </row>
    <row r="17" spans="1:15" x14ac:dyDescent="0.25">
      <c r="A17" s="49" t="s">
        <v>36</v>
      </c>
      <c r="B17" s="49" t="s">
        <v>101</v>
      </c>
      <c r="C17" s="38">
        <f t="shared" ref="C17:N17" si="8">C10*C$3</f>
        <v>80722.063461630692</v>
      </c>
      <c r="D17" s="38">
        <f t="shared" si="8"/>
        <v>105645.14623875431</v>
      </c>
      <c r="E17" s="38">
        <f t="shared" si="8"/>
        <v>138560.57911891278</v>
      </c>
      <c r="F17" s="38">
        <f t="shared" si="8"/>
        <v>50358.456865156411</v>
      </c>
      <c r="G17" s="38">
        <f t="shared" si="8"/>
        <v>103438.07482835821</v>
      </c>
      <c r="H17" s="38">
        <f t="shared" si="8"/>
        <v>128737.75189430051</v>
      </c>
      <c r="I17" s="38">
        <f t="shared" si="8"/>
        <v>140172.27632164329</v>
      </c>
      <c r="J17" s="38">
        <f t="shared" si="8"/>
        <v>182895.64721414537</v>
      </c>
      <c r="K17" s="38">
        <f t="shared" si="8"/>
        <v>190062.90845156496</v>
      </c>
      <c r="L17" s="38">
        <f t="shared" si="8"/>
        <v>203291.08509681525</v>
      </c>
      <c r="M17" s="38">
        <f t="shared" ref="M17" si="9">M10*M$3</f>
        <v>138215.99684626222</v>
      </c>
      <c r="N17" s="38">
        <f t="shared" si="8"/>
        <v>128824.19226741302</v>
      </c>
      <c r="O17" s="34"/>
    </row>
    <row r="18" spans="1:15" x14ac:dyDescent="0.25">
      <c r="A18" s="49" t="s">
        <v>30</v>
      </c>
      <c r="B18" s="49" t="s">
        <v>101</v>
      </c>
      <c r="C18" s="38">
        <f t="shared" ref="C18:N18" si="10">C11*C$4</f>
        <v>90494.664677804292</v>
      </c>
      <c r="D18" s="38">
        <f t="shared" si="10"/>
        <v>126688.53348729793</v>
      </c>
      <c r="E18" s="38">
        <f t="shared" si="10"/>
        <v>75008.865319865319</v>
      </c>
      <c r="F18" s="38">
        <f t="shared" si="10"/>
        <v>99614.923160173159</v>
      </c>
      <c r="G18" s="38">
        <f t="shared" si="10"/>
        <v>59286.991516436909</v>
      </c>
      <c r="H18" s="38">
        <f t="shared" si="10"/>
        <v>257029.45098039214</v>
      </c>
      <c r="I18" s="38">
        <f t="shared" si="10"/>
        <v>118278.97895791584</v>
      </c>
      <c r="J18" s="38">
        <f t="shared" si="10"/>
        <v>96107.066666666651</v>
      </c>
      <c r="K18" s="38">
        <f t="shared" si="10"/>
        <v>186863.24239734194</v>
      </c>
      <c r="L18" s="38">
        <f t="shared" si="10"/>
        <v>32949.785669678269</v>
      </c>
      <c r="M18" s="38">
        <f t="shared" ref="M18" si="11">M11*M$4</f>
        <v>25773.407378669024</v>
      </c>
      <c r="N18" s="38">
        <f t="shared" si="10"/>
        <v>28267.325404900439</v>
      </c>
      <c r="O18" s="34"/>
    </row>
    <row r="19" spans="1:15" x14ac:dyDescent="0.25">
      <c r="A19" s="49" t="s">
        <v>39</v>
      </c>
      <c r="B19" s="49" t="s">
        <v>101</v>
      </c>
      <c r="C19" s="38">
        <f t="shared" ref="C19:N19" si="12">C12*C$4</f>
        <v>216756.98806682578</v>
      </c>
      <c r="D19" s="38">
        <f t="shared" si="12"/>
        <v>292464.4988452656</v>
      </c>
      <c r="E19" s="38">
        <f t="shared" si="12"/>
        <v>423993.40179573512</v>
      </c>
      <c r="F19" s="38">
        <f t="shared" si="12"/>
        <v>666574.38561245531</v>
      </c>
      <c r="G19" s="38">
        <f t="shared" si="12"/>
        <v>286053.92765319068</v>
      </c>
      <c r="H19" s="38">
        <f t="shared" si="12"/>
        <v>428711.24500043248</v>
      </c>
      <c r="I19" s="38">
        <f t="shared" si="12"/>
        <v>424047.59604345821</v>
      </c>
      <c r="J19" s="38">
        <f t="shared" si="12"/>
        <v>424666.46577729442</v>
      </c>
      <c r="K19" s="38">
        <f t="shared" si="12"/>
        <v>640751.89510653028</v>
      </c>
      <c r="L19" s="38">
        <f t="shared" si="12"/>
        <v>315033.20689048356</v>
      </c>
      <c r="M19" s="38">
        <f t="shared" ref="M19" si="13">M12*M$4</f>
        <v>271530.10272653581</v>
      </c>
      <c r="N19" s="38">
        <f t="shared" si="12"/>
        <v>142131.06009563198</v>
      </c>
      <c r="O19" s="34"/>
    </row>
    <row r="20" spans="1:1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89"/>
  <sheetViews>
    <sheetView workbookViewId="0">
      <selection activeCell="I12" sqref="I12"/>
    </sheetView>
  </sheetViews>
  <sheetFormatPr defaultRowHeight="15" x14ac:dyDescent="0.25"/>
  <cols>
    <col min="1" max="1" width="24.85546875" style="6" customWidth="1"/>
    <col min="2" max="2" width="23.85546875" style="6" bestFit="1" customWidth="1"/>
    <col min="4" max="4" width="32" customWidth="1"/>
    <col min="5" max="5" width="12.140625" customWidth="1"/>
    <col min="15" max="15" width="9.140625" style="18"/>
    <col min="17" max="17" width="9.140625" style="34"/>
  </cols>
  <sheetData>
    <row r="1" spans="1:17" ht="34.5" customHeight="1" x14ac:dyDescent="0.25">
      <c r="A1" s="1"/>
      <c r="B1" s="7" t="s">
        <v>10</v>
      </c>
      <c r="D1" s="65" t="s">
        <v>92</v>
      </c>
    </row>
    <row r="2" spans="1:17" x14ac:dyDescent="0.25">
      <c r="A2" s="3" t="s">
        <v>1</v>
      </c>
      <c r="B2" s="8" t="s">
        <v>11</v>
      </c>
      <c r="D2" s="27"/>
      <c r="E2" s="27"/>
      <c r="F2" s="27">
        <v>2006</v>
      </c>
      <c r="G2" s="27">
        <v>2007</v>
      </c>
      <c r="H2" s="27">
        <v>2008</v>
      </c>
      <c r="I2" s="27">
        <v>2009</v>
      </c>
      <c r="J2" s="27">
        <v>2010</v>
      </c>
      <c r="K2" s="27">
        <v>2011</v>
      </c>
      <c r="L2" s="27">
        <v>2012</v>
      </c>
      <c r="M2" s="27">
        <v>2013</v>
      </c>
      <c r="N2" s="27">
        <v>2014</v>
      </c>
      <c r="O2" s="27">
        <v>2015</v>
      </c>
      <c r="P2" s="27">
        <v>2016</v>
      </c>
      <c r="Q2" s="27">
        <v>2017</v>
      </c>
    </row>
    <row r="3" spans="1:17" x14ac:dyDescent="0.25">
      <c r="A3" s="3" t="s">
        <v>2</v>
      </c>
      <c r="B3" s="8" t="s">
        <v>12</v>
      </c>
      <c r="D3" s="27" t="s">
        <v>0</v>
      </c>
      <c r="E3" s="27"/>
      <c r="F3" s="28">
        <v>86.6</v>
      </c>
      <c r="G3" s="28">
        <v>89.1</v>
      </c>
      <c r="H3" s="28">
        <v>92.4</v>
      </c>
      <c r="I3" s="28">
        <v>94.3</v>
      </c>
      <c r="J3" s="28">
        <v>96.9</v>
      </c>
      <c r="K3" s="28">
        <v>99.8</v>
      </c>
      <c r="L3" s="28">
        <v>102</v>
      </c>
      <c r="M3" s="28">
        <v>104.8</v>
      </c>
      <c r="N3" s="28">
        <v>106.6</v>
      </c>
      <c r="O3" s="28">
        <f>B280</f>
        <v>108.4</v>
      </c>
      <c r="P3" s="28">
        <f>B284</f>
        <v>110</v>
      </c>
      <c r="Q3" s="27">
        <f>B288</f>
        <v>112.1</v>
      </c>
    </row>
    <row r="4" spans="1:17" x14ac:dyDescent="0.25">
      <c r="A4" s="3" t="s">
        <v>3</v>
      </c>
      <c r="B4" s="8" t="s">
        <v>13</v>
      </c>
      <c r="D4" s="27" t="s">
        <v>17</v>
      </c>
      <c r="E4" s="27"/>
      <c r="F4" s="28">
        <v>85.9</v>
      </c>
      <c r="G4" s="28">
        <v>87.7</v>
      </c>
      <c r="H4" s="28">
        <v>91.6</v>
      </c>
      <c r="I4" s="28">
        <v>92.9</v>
      </c>
      <c r="J4" s="28">
        <v>95.8</v>
      </c>
      <c r="K4" s="28">
        <v>99.2</v>
      </c>
      <c r="L4" s="28">
        <v>100.4</v>
      </c>
      <c r="M4" s="28">
        <v>102.8</v>
      </c>
      <c r="N4" s="28">
        <v>105.9</v>
      </c>
      <c r="O4" s="28">
        <f>B278</f>
        <v>107.5</v>
      </c>
      <c r="P4" s="28">
        <f>B282</f>
        <v>108.6</v>
      </c>
      <c r="Q4" s="27">
        <f>B286</f>
        <v>110.7</v>
      </c>
    </row>
    <row r="5" spans="1:17" x14ac:dyDescent="0.25">
      <c r="A5" s="3" t="s">
        <v>4</v>
      </c>
      <c r="B5" s="8" t="s">
        <v>14</v>
      </c>
      <c r="D5" s="27" t="s">
        <v>16</v>
      </c>
      <c r="E5" s="27"/>
      <c r="F5" s="28">
        <v>83.8</v>
      </c>
      <c r="G5" s="28">
        <v>86.6</v>
      </c>
      <c r="H5" s="28">
        <v>89.1</v>
      </c>
      <c r="I5" s="28">
        <v>92.4</v>
      </c>
      <c r="J5" s="28">
        <v>94.3</v>
      </c>
      <c r="K5" s="28">
        <v>96.9</v>
      </c>
      <c r="L5" s="28">
        <v>99.8</v>
      </c>
      <c r="M5" s="28">
        <v>102</v>
      </c>
      <c r="N5" s="28">
        <v>104.8</v>
      </c>
      <c r="O5" s="33">
        <f>B276</f>
        <v>106.6</v>
      </c>
      <c r="P5" s="28">
        <f>B280</f>
        <v>108.4</v>
      </c>
      <c r="Q5" s="27">
        <f>B284</f>
        <v>110</v>
      </c>
    </row>
    <row r="6" spans="1:17" x14ac:dyDescent="0.25">
      <c r="A6" s="3" t="s">
        <v>5</v>
      </c>
      <c r="B6" s="6">
        <v>3</v>
      </c>
      <c r="D6" s="27" t="s">
        <v>61</v>
      </c>
      <c r="E6" s="27"/>
      <c r="F6" s="28">
        <v>83.4</v>
      </c>
      <c r="G6" s="28">
        <v>86.7</v>
      </c>
      <c r="H6" s="28">
        <v>88.3</v>
      </c>
      <c r="I6" s="28">
        <v>92.7</v>
      </c>
      <c r="J6" s="28">
        <v>93.8</v>
      </c>
      <c r="K6" s="28">
        <v>96.5</v>
      </c>
      <c r="L6" s="28">
        <v>99.8</v>
      </c>
      <c r="M6" s="28">
        <v>101.8</v>
      </c>
      <c r="N6" s="28">
        <v>104</v>
      </c>
      <c r="O6" s="33">
        <f>B275</f>
        <v>106.4</v>
      </c>
      <c r="P6" s="33">
        <f>B279</f>
        <v>108</v>
      </c>
      <c r="Q6" s="27">
        <f>B283</f>
        <v>109.4</v>
      </c>
    </row>
    <row r="7" spans="1:17" x14ac:dyDescent="0.25">
      <c r="A7" s="4" t="s">
        <v>6</v>
      </c>
      <c r="B7" s="9">
        <v>17777</v>
      </c>
      <c r="D7" s="29" t="str">
        <f>"Convert to real"</f>
        <v>Convert to real</v>
      </c>
      <c r="E7" s="30">
        <v>2017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7"/>
    </row>
    <row r="8" spans="1:17" x14ac:dyDescent="0.25">
      <c r="A8" s="4" t="s">
        <v>7</v>
      </c>
      <c r="B8" s="9">
        <v>41699</v>
      </c>
      <c r="D8" s="27"/>
      <c r="E8" s="27">
        <f>MATCH(Real_year,F2:Q2)</f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7"/>
    </row>
    <row r="9" spans="1:17" x14ac:dyDescent="0.25">
      <c r="A9" s="3" t="s">
        <v>8</v>
      </c>
      <c r="B9" s="6">
        <v>263</v>
      </c>
      <c r="D9" s="25" t="str">
        <f>CONCATENATE(D7, " ",Real_year)</f>
        <v>Convert to real 2017</v>
      </c>
      <c r="E9" s="27">
        <f>INDEX(F2:Q5,2,$E$8)</f>
        <v>112.1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7"/>
    </row>
    <row r="10" spans="1:17" x14ac:dyDescent="0.25">
      <c r="A10" s="3" t="s">
        <v>9</v>
      </c>
      <c r="B10" s="8" t="s">
        <v>15</v>
      </c>
      <c r="D10" s="27" t="s">
        <v>58</v>
      </c>
      <c r="E10" s="27"/>
      <c r="F10" s="31">
        <f t="shared" ref="F10:Q10" si="0">$E$9/F4</f>
        <v>1.3050058207217694</v>
      </c>
      <c r="G10" s="31">
        <f t="shared" si="0"/>
        <v>1.2782212086659064</v>
      </c>
      <c r="H10" s="31">
        <f t="shared" si="0"/>
        <v>1.2237991266375545</v>
      </c>
      <c r="I10" s="31">
        <f t="shared" si="0"/>
        <v>1.2066738428417652</v>
      </c>
      <c r="J10" s="31">
        <f t="shared" si="0"/>
        <v>1.1701461377870563</v>
      </c>
      <c r="K10" s="31">
        <f t="shared" si="0"/>
        <v>1.130040322580645</v>
      </c>
      <c r="L10" s="31">
        <f t="shared" si="0"/>
        <v>1.1165338645418326</v>
      </c>
      <c r="M10" s="31">
        <f t="shared" si="0"/>
        <v>1.0904669260700388</v>
      </c>
      <c r="N10" s="31">
        <f t="shared" si="0"/>
        <v>1.0585457979225683</v>
      </c>
      <c r="O10" s="31">
        <f t="shared" si="0"/>
        <v>1.0427906976744186</v>
      </c>
      <c r="P10" s="31">
        <f t="shared" si="0"/>
        <v>1.0322283609576428</v>
      </c>
      <c r="Q10" s="31">
        <f t="shared" si="0"/>
        <v>1.0126467931345979</v>
      </c>
    </row>
    <row r="11" spans="1:17" x14ac:dyDescent="0.25">
      <c r="A11" s="5">
        <v>17777</v>
      </c>
      <c r="B11" s="10">
        <v>3.7</v>
      </c>
      <c r="D11" s="27" t="s">
        <v>59</v>
      </c>
      <c r="E11" s="27"/>
      <c r="F11" s="31">
        <f t="shared" ref="F11:N11" si="1">currency_base/F5</f>
        <v>1.337708830548926</v>
      </c>
      <c r="G11" s="31">
        <f t="shared" si="1"/>
        <v>1.29445727482679</v>
      </c>
      <c r="H11" s="31">
        <f t="shared" si="1"/>
        <v>1.2581369248035914</v>
      </c>
      <c r="I11" s="31">
        <f t="shared" si="1"/>
        <v>1.2132034632034632</v>
      </c>
      <c r="J11" s="31">
        <f t="shared" si="1"/>
        <v>1.1887592788971368</v>
      </c>
      <c r="K11" s="31">
        <f t="shared" si="1"/>
        <v>1.1568627450980391</v>
      </c>
      <c r="L11" s="31">
        <f t="shared" si="1"/>
        <v>1.123246492985972</v>
      </c>
      <c r="M11" s="31">
        <f t="shared" si="1"/>
        <v>1.0990196078431371</v>
      </c>
      <c r="N11" s="31">
        <f t="shared" si="1"/>
        <v>1.0696564885496183</v>
      </c>
      <c r="O11" s="31">
        <f t="shared" ref="O11" si="2">currency_base/O5</f>
        <v>1.0515947467166979</v>
      </c>
      <c r="P11" s="31">
        <f t="shared" ref="P11:Q12" si="3">currency_base/P5</f>
        <v>1.0341328413284132</v>
      </c>
      <c r="Q11" s="31">
        <f t="shared" si="3"/>
        <v>1.019090909090909</v>
      </c>
    </row>
    <row r="12" spans="1:17" x14ac:dyDescent="0.25">
      <c r="A12" s="5">
        <v>17868</v>
      </c>
      <c r="B12" s="10">
        <v>3.8</v>
      </c>
      <c r="D12" s="27" t="s">
        <v>60</v>
      </c>
      <c r="E12" s="27"/>
      <c r="F12" s="31">
        <f t="shared" ref="F12:N12" si="4">currency_base/F6</f>
        <v>1.344124700239808</v>
      </c>
      <c r="G12" s="31">
        <f t="shared" si="4"/>
        <v>1.2929642445213378</v>
      </c>
      <c r="H12" s="31">
        <f t="shared" si="4"/>
        <v>1.2695356738391845</v>
      </c>
      <c r="I12" s="31">
        <f t="shared" si="4"/>
        <v>1.2092772384034518</v>
      </c>
      <c r="J12" s="31">
        <f t="shared" si="4"/>
        <v>1.1950959488272921</v>
      </c>
      <c r="K12" s="31">
        <f t="shared" si="4"/>
        <v>1.1616580310880829</v>
      </c>
      <c r="L12" s="31">
        <f t="shared" si="4"/>
        <v>1.123246492985972</v>
      </c>
      <c r="M12" s="31">
        <f t="shared" si="4"/>
        <v>1.1011787819253438</v>
      </c>
      <c r="N12" s="31">
        <f t="shared" si="4"/>
        <v>1.0778846153846153</v>
      </c>
      <c r="O12" s="31">
        <f t="shared" ref="O12" si="5">currency_base/O6</f>
        <v>1.0535714285714284</v>
      </c>
      <c r="P12" s="31">
        <f t="shared" ref="P12" si="6">currency_base/P6</f>
        <v>1.037962962962963</v>
      </c>
      <c r="Q12" s="31">
        <f t="shared" si="3"/>
        <v>1.0246800731261425</v>
      </c>
    </row>
    <row r="13" spans="1:17" x14ac:dyDescent="0.25">
      <c r="A13" s="5">
        <v>17958</v>
      </c>
      <c r="B13" s="10">
        <v>3.9</v>
      </c>
      <c r="D13" s="32" t="s">
        <v>123</v>
      </c>
    </row>
    <row r="14" spans="1:17" x14ac:dyDescent="0.25">
      <c r="A14" s="5">
        <v>18050</v>
      </c>
      <c r="B14" s="10">
        <v>4</v>
      </c>
    </row>
    <row r="15" spans="1:17" x14ac:dyDescent="0.25">
      <c r="A15" s="5">
        <v>18142</v>
      </c>
      <c r="B15" s="10">
        <v>4.0999999999999996</v>
      </c>
    </row>
    <row r="16" spans="1:17" x14ac:dyDescent="0.25">
      <c r="A16" s="5">
        <v>18233</v>
      </c>
      <c r="B16" s="10">
        <v>4.0999999999999996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5">
      <c r="A17" s="5">
        <v>18323</v>
      </c>
      <c r="B17" s="10">
        <v>4.2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5">
        <v>18415</v>
      </c>
      <c r="B18" s="10">
        <v>4.3</v>
      </c>
    </row>
    <row r="19" spans="1:16" x14ac:dyDescent="0.25">
      <c r="A19" s="5">
        <v>18507</v>
      </c>
      <c r="B19" s="10">
        <v>4.4000000000000004</v>
      </c>
    </row>
    <row r="20" spans="1:16" x14ac:dyDescent="0.25">
      <c r="A20" s="5">
        <v>18598</v>
      </c>
      <c r="B20" s="10">
        <v>4.5999999999999996</v>
      </c>
    </row>
    <row r="21" spans="1:16" x14ac:dyDescent="0.25">
      <c r="A21" s="5">
        <v>18688</v>
      </c>
      <c r="B21" s="10">
        <v>4.8</v>
      </c>
    </row>
    <row r="22" spans="1:16" x14ac:dyDescent="0.25">
      <c r="A22" s="5">
        <v>18780</v>
      </c>
      <c r="B22" s="10">
        <v>5.0999999999999996</v>
      </c>
    </row>
    <row r="23" spans="1:16" x14ac:dyDescent="0.25">
      <c r="A23" s="5">
        <v>18872</v>
      </c>
      <c r="B23" s="10">
        <v>5.3</v>
      </c>
    </row>
    <row r="24" spans="1:16" x14ac:dyDescent="0.25">
      <c r="A24" s="5">
        <v>18963</v>
      </c>
      <c r="B24" s="10">
        <v>5.7</v>
      </c>
    </row>
    <row r="25" spans="1:16" x14ac:dyDescent="0.25">
      <c r="A25" s="5">
        <v>19054</v>
      </c>
      <c r="B25" s="10">
        <v>5.9</v>
      </c>
    </row>
    <row r="26" spans="1:16" x14ac:dyDescent="0.25">
      <c r="A26" s="5">
        <v>19146</v>
      </c>
      <c r="B26" s="10">
        <v>6.1</v>
      </c>
    </row>
    <row r="27" spans="1:16" x14ac:dyDescent="0.25">
      <c r="A27" s="5">
        <v>19238</v>
      </c>
      <c r="B27" s="10">
        <v>6.2</v>
      </c>
    </row>
    <row r="28" spans="1:16" x14ac:dyDescent="0.25">
      <c r="A28" s="5">
        <v>19329</v>
      </c>
      <c r="B28" s="10">
        <v>6.3</v>
      </c>
    </row>
    <row r="29" spans="1:16" x14ac:dyDescent="0.25">
      <c r="A29" s="5">
        <v>19419</v>
      </c>
      <c r="B29" s="10">
        <v>6.3</v>
      </c>
    </row>
    <row r="30" spans="1:16" x14ac:dyDescent="0.25">
      <c r="A30" s="5">
        <v>19511</v>
      </c>
      <c r="B30" s="10">
        <v>6.4</v>
      </c>
    </row>
    <row r="31" spans="1:16" x14ac:dyDescent="0.25">
      <c r="A31" s="5">
        <v>19603</v>
      </c>
      <c r="B31" s="10">
        <v>6.5</v>
      </c>
    </row>
    <row r="32" spans="1:16" x14ac:dyDescent="0.25">
      <c r="A32" s="5">
        <v>19694</v>
      </c>
      <c r="B32" s="10">
        <v>6.4</v>
      </c>
    </row>
    <row r="33" spans="1:2" x14ac:dyDescent="0.25">
      <c r="A33" s="5">
        <v>19784</v>
      </c>
      <c r="B33" s="10">
        <v>6.5</v>
      </c>
    </row>
    <row r="34" spans="1:2" x14ac:dyDescent="0.25">
      <c r="A34" s="5">
        <v>19876</v>
      </c>
      <c r="B34" s="10">
        <v>6.5</v>
      </c>
    </row>
    <row r="35" spans="1:2" x14ac:dyDescent="0.25">
      <c r="A35" s="5">
        <v>19968</v>
      </c>
      <c r="B35" s="10">
        <v>6.5</v>
      </c>
    </row>
    <row r="36" spans="1:2" x14ac:dyDescent="0.25">
      <c r="A36" s="5">
        <v>20059</v>
      </c>
      <c r="B36" s="10">
        <v>6.5</v>
      </c>
    </row>
    <row r="37" spans="1:2" x14ac:dyDescent="0.25">
      <c r="A37" s="5">
        <v>20149</v>
      </c>
      <c r="B37" s="10">
        <v>6.5</v>
      </c>
    </row>
    <row r="38" spans="1:2" x14ac:dyDescent="0.25">
      <c r="A38" s="5">
        <v>20241</v>
      </c>
      <c r="B38" s="10">
        <v>6.6</v>
      </c>
    </row>
    <row r="39" spans="1:2" x14ac:dyDescent="0.25">
      <c r="A39" s="5">
        <v>20333</v>
      </c>
      <c r="B39" s="10">
        <v>6.6</v>
      </c>
    </row>
    <row r="40" spans="1:2" x14ac:dyDescent="0.25">
      <c r="A40" s="5">
        <v>20424</v>
      </c>
      <c r="B40" s="10">
        <v>6.7</v>
      </c>
    </row>
    <row r="41" spans="1:2" x14ac:dyDescent="0.25">
      <c r="A41" s="5">
        <v>20515</v>
      </c>
      <c r="B41" s="10">
        <v>6.7</v>
      </c>
    </row>
    <row r="42" spans="1:2" x14ac:dyDescent="0.25">
      <c r="A42" s="5">
        <v>20607</v>
      </c>
      <c r="B42" s="10">
        <v>7</v>
      </c>
    </row>
    <row r="43" spans="1:2" x14ac:dyDescent="0.25">
      <c r="A43" s="5">
        <v>20699</v>
      </c>
      <c r="B43" s="10">
        <v>7.1</v>
      </c>
    </row>
    <row r="44" spans="1:2" x14ac:dyDescent="0.25">
      <c r="A44" s="5">
        <v>20790</v>
      </c>
      <c r="B44" s="10">
        <v>7.1</v>
      </c>
    </row>
    <row r="45" spans="1:2" x14ac:dyDescent="0.25">
      <c r="A45" s="5">
        <v>20880</v>
      </c>
      <c r="B45" s="10">
        <v>7.1</v>
      </c>
    </row>
    <row r="46" spans="1:2" x14ac:dyDescent="0.25">
      <c r="A46" s="5">
        <v>20972</v>
      </c>
      <c r="B46" s="10">
        <v>7.2</v>
      </c>
    </row>
    <row r="47" spans="1:2" x14ac:dyDescent="0.25">
      <c r="A47" s="5">
        <v>21064</v>
      </c>
      <c r="B47" s="10">
        <v>7.2</v>
      </c>
    </row>
    <row r="48" spans="1:2" x14ac:dyDescent="0.25">
      <c r="A48" s="5">
        <v>21155</v>
      </c>
      <c r="B48" s="10">
        <v>7.2</v>
      </c>
    </row>
    <row r="49" spans="1:2" x14ac:dyDescent="0.25">
      <c r="A49" s="5">
        <v>21245</v>
      </c>
      <c r="B49" s="10">
        <v>7.2</v>
      </c>
    </row>
    <row r="50" spans="1:2" x14ac:dyDescent="0.25">
      <c r="A50" s="5">
        <v>21337</v>
      </c>
      <c r="B50" s="10">
        <v>7.2</v>
      </c>
    </row>
    <row r="51" spans="1:2" x14ac:dyDescent="0.25">
      <c r="A51" s="5">
        <v>21429</v>
      </c>
      <c r="B51" s="10">
        <v>7.2</v>
      </c>
    </row>
    <row r="52" spans="1:2" x14ac:dyDescent="0.25">
      <c r="A52" s="5">
        <v>21520</v>
      </c>
      <c r="B52" s="10">
        <v>7.3</v>
      </c>
    </row>
    <row r="53" spans="1:2" x14ac:dyDescent="0.25">
      <c r="A53" s="5">
        <v>21610</v>
      </c>
      <c r="B53" s="10">
        <v>7.3</v>
      </c>
    </row>
    <row r="54" spans="1:2" x14ac:dyDescent="0.25">
      <c r="A54" s="5">
        <v>21702</v>
      </c>
      <c r="B54" s="10">
        <v>7.3</v>
      </c>
    </row>
    <row r="55" spans="1:2" x14ac:dyDescent="0.25">
      <c r="A55" s="5">
        <v>21794</v>
      </c>
      <c r="B55" s="10">
        <v>7.4</v>
      </c>
    </row>
    <row r="56" spans="1:2" x14ac:dyDescent="0.25">
      <c r="A56" s="5">
        <v>21885</v>
      </c>
      <c r="B56" s="10">
        <v>7.5</v>
      </c>
    </row>
    <row r="57" spans="1:2" x14ac:dyDescent="0.25">
      <c r="A57" s="5">
        <v>21976</v>
      </c>
      <c r="B57" s="10">
        <v>7.5</v>
      </c>
    </row>
    <row r="58" spans="1:2" x14ac:dyDescent="0.25">
      <c r="A58" s="5">
        <v>22068</v>
      </c>
      <c r="B58" s="10">
        <v>7.6</v>
      </c>
    </row>
    <row r="59" spans="1:2" x14ac:dyDescent="0.25">
      <c r="A59" s="5">
        <v>22160</v>
      </c>
      <c r="B59" s="10">
        <v>7.7</v>
      </c>
    </row>
    <row r="60" spans="1:2" x14ac:dyDescent="0.25">
      <c r="A60" s="5">
        <v>22251</v>
      </c>
      <c r="B60" s="10">
        <v>7.8</v>
      </c>
    </row>
    <row r="61" spans="1:2" x14ac:dyDescent="0.25">
      <c r="A61" s="5">
        <v>22341</v>
      </c>
      <c r="B61" s="10">
        <v>7.8</v>
      </c>
    </row>
    <row r="62" spans="1:2" x14ac:dyDescent="0.25">
      <c r="A62" s="5">
        <v>22433</v>
      </c>
      <c r="B62" s="10">
        <v>7.9</v>
      </c>
    </row>
    <row r="63" spans="1:2" x14ac:dyDescent="0.25">
      <c r="A63" s="5">
        <v>22525</v>
      </c>
      <c r="B63" s="10">
        <v>7.8</v>
      </c>
    </row>
    <row r="64" spans="1:2" x14ac:dyDescent="0.25">
      <c r="A64" s="5">
        <v>22616</v>
      </c>
      <c r="B64" s="10">
        <v>7.8</v>
      </c>
    </row>
    <row r="65" spans="1:2" x14ac:dyDescent="0.25">
      <c r="A65" s="5">
        <v>22706</v>
      </c>
      <c r="B65" s="10">
        <v>7.8</v>
      </c>
    </row>
    <row r="66" spans="1:2" x14ac:dyDescent="0.25">
      <c r="A66" s="5">
        <v>22798</v>
      </c>
      <c r="B66" s="10">
        <v>7.8</v>
      </c>
    </row>
    <row r="67" spans="1:2" x14ac:dyDescent="0.25">
      <c r="A67" s="5">
        <v>22890</v>
      </c>
      <c r="B67" s="10">
        <v>7.8</v>
      </c>
    </row>
    <row r="68" spans="1:2" x14ac:dyDescent="0.25">
      <c r="A68" s="5">
        <v>22981</v>
      </c>
      <c r="B68" s="10">
        <v>7.8</v>
      </c>
    </row>
    <row r="69" spans="1:2" x14ac:dyDescent="0.25">
      <c r="A69" s="5">
        <v>23071</v>
      </c>
      <c r="B69" s="10">
        <v>7.8</v>
      </c>
    </row>
    <row r="70" spans="1:2" x14ac:dyDescent="0.25">
      <c r="A70" s="5">
        <v>23163</v>
      </c>
      <c r="B70" s="10">
        <v>7.8</v>
      </c>
    </row>
    <row r="71" spans="1:2" x14ac:dyDescent="0.25">
      <c r="A71" s="5">
        <v>23255</v>
      </c>
      <c r="B71" s="10">
        <v>7.9</v>
      </c>
    </row>
    <row r="72" spans="1:2" x14ac:dyDescent="0.25">
      <c r="A72" s="5">
        <v>23346</v>
      </c>
      <c r="B72" s="10">
        <v>7.9</v>
      </c>
    </row>
    <row r="73" spans="1:2" x14ac:dyDescent="0.25">
      <c r="A73" s="5">
        <v>23437</v>
      </c>
      <c r="B73" s="10">
        <v>8</v>
      </c>
    </row>
    <row r="74" spans="1:2" x14ac:dyDescent="0.25">
      <c r="A74" s="5">
        <v>23529</v>
      </c>
      <c r="B74" s="10">
        <v>8</v>
      </c>
    </row>
    <row r="75" spans="1:2" x14ac:dyDescent="0.25">
      <c r="A75" s="5">
        <v>23621</v>
      </c>
      <c r="B75" s="10">
        <v>8.1</v>
      </c>
    </row>
    <row r="76" spans="1:2" x14ac:dyDescent="0.25">
      <c r="A76" s="5">
        <v>23712</v>
      </c>
      <c r="B76" s="10">
        <v>8.1999999999999993</v>
      </c>
    </row>
    <row r="77" spans="1:2" x14ac:dyDescent="0.25">
      <c r="A77" s="5">
        <v>23802</v>
      </c>
      <c r="B77" s="10">
        <v>8.1999999999999993</v>
      </c>
    </row>
    <row r="78" spans="1:2" x14ac:dyDescent="0.25">
      <c r="A78" s="5">
        <v>23894</v>
      </c>
      <c r="B78" s="10">
        <v>8.3000000000000007</v>
      </c>
    </row>
    <row r="79" spans="1:2" x14ac:dyDescent="0.25">
      <c r="A79" s="5">
        <v>23986</v>
      </c>
      <c r="B79" s="10">
        <v>8.4</v>
      </c>
    </row>
    <row r="80" spans="1:2" x14ac:dyDescent="0.25">
      <c r="A80" s="5">
        <v>24077</v>
      </c>
      <c r="B80" s="10">
        <v>8.5</v>
      </c>
    </row>
    <row r="81" spans="1:2" x14ac:dyDescent="0.25">
      <c r="A81" s="5">
        <v>24167</v>
      </c>
      <c r="B81" s="10">
        <v>8.6</v>
      </c>
    </row>
    <row r="82" spans="1:2" x14ac:dyDescent="0.25">
      <c r="A82" s="5">
        <v>24259</v>
      </c>
      <c r="B82" s="10">
        <v>8.6</v>
      </c>
    </row>
    <row r="83" spans="1:2" x14ac:dyDescent="0.25">
      <c r="A83" s="5">
        <v>24351</v>
      </c>
      <c r="B83" s="10">
        <v>8.6</v>
      </c>
    </row>
    <row r="84" spans="1:2" x14ac:dyDescent="0.25">
      <c r="A84" s="5">
        <v>24442</v>
      </c>
      <c r="B84" s="10">
        <v>8.6999999999999993</v>
      </c>
    </row>
    <row r="85" spans="1:2" x14ac:dyDescent="0.25">
      <c r="A85" s="5">
        <v>24532</v>
      </c>
      <c r="B85" s="10">
        <v>8.8000000000000007</v>
      </c>
    </row>
    <row r="86" spans="1:2" x14ac:dyDescent="0.25">
      <c r="A86" s="5">
        <v>24624</v>
      </c>
      <c r="B86" s="10">
        <v>8.9</v>
      </c>
    </row>
    <row r="87" spans="1:2" x14ac:dyDescent="0.25">
      <c r="A87" s="5">
        <v>24716</v>
      </c>
      <c r="B87" s="10">
        <v>9</v>
      </c>
    </row>
    <row r="88" spans="1:2" x14ac:dyDescent="0.25">
      <c r="A88" s="5">
        <v>24807</v>
      </c>
      <c r="B88" s="10">
        <v>9</v>
      </c>
    </row>
    <row r="89" spans="1:2" x14ac:dyDescent="0.25">
      <c r="A89" s="5">
        <v>24898</v>
      </c>
      <c r="B89" s="10">
        <v>9.1</v>
      </c>
    </row>
    <row r="90" spans="1:2" x14ac:dyDescent="0.25">
      <c r="A90" s="5">
        <v>24990</v>
      </c>
      <c r="B90" s="10">
        <v>9.1</v>
      </c>
    </row>
    <row r="91" spans="1:2" x14ac:dyDescent="0.25">
      <c r="A91" s="5">
        <v>25082</v>
      </c>
      <c r="B91" s="10">
        <v>9.1999999999999993</v>
      </c>
    </row>
    <row r="92" spans="1:2" x14ac:dyDescent="0.25">
      <c r="A92" s="5">
        <v>25173</v>
      </c>
      <c r="B92" s="10">
        <v>9.1999999999999993</v>
      </c>
    </row>
    <row r="93" spans="1:2" x14ac:dyDescent="0.25">
      <c r="A93" s="5">
        <v>25263</v>
      </c>
      <c r="B93" s="10">
        <v>9.4</v>
      </c>
    </row>
    <row r="94" spans="1:2" x14ac:dyDescent="0.25">
      <c r="A94" s="5">
        <v>25355</v>
      </c>
      <c r="B94" s="10">
        <v>9.4</v>
      </c>
    </row>
    <row r="95" spans="1:2" x14ac:dyDescent="0.25">
      <c r="A95" s="5">
        <v>25447</v>
      </c>
      <c r="B95" s="10">
        <v>9.5</v>
      </c>
    </row>
    <row r="96" spans="1:2" x14ac:dyDescent="0.25">
      <c r="A96" s="5">
        <v>25538</v>
      </c>
      <c r="B96" s="10">
        <v>9.5</v>
      </c>
    </row>
    <row r="97" spans="1:2" x14ac:dyDescent="0.25">
      <c r="A97" s="5">
        <v>25628</v>
      </c>
      <c r="B97" s="10">
        <v>9.6</v>
      </c>
    </row>
    <row r="98" spans="1:2" x14ac:dyDescent="0.25">
      <c r="A98" s="5">
        <v>25720</v>
      </c>
      <c r="B98" s="10">
        <v>9.6999999999999993</v>
      </c>
    </row>
    <row r="99" spans="1:2" x14ac:dyDescent="0.25">
      <c r="A99" s="5">
        <v>25812</v>
      </c>
      <c r="B99" s="10">
        <v>9.8000000000000007</v>
      </c>
    </row>
    <row r="100" spans="1:2" x14ac:dyDescent="0.25">
      <c r="A100" s="5">
        <v>25903</v>
      </c>
      <c r="B100" s="10">
        <v>10</v>
      </c>
    </row>
    <row r="101" spans="1:2" x14ac:dyDescent="0.25">
      <c r="A101" s="5">
        <v>25993</v>
      </c>
      <c r="B101" s="10">
        <v>10.1</v>
      </c>
    </row>
    <row r="102" spans="1:2" x14ac:dyDescent="0.25">
      <c r="A102" s="5">
        <v>26085</v>
      </c>
      <c r="B102" s="10">
        <v>10.199999999999999</v>
      </c>
    </row>
    <row r="103" spans="1:2" x14ac:dyDescent="0.25">
      <c r="A103" s="5">
        <v>26177</v>
      </c>
      <c r="B103" s="10">
        <v>10.5</v>
      </c>
    </row>
    <row r="104" spans="1:2" x14ac:dyDescent="0.25">
      <c r="A104" s="5">
        <v>26268</v>
      </c>
      <c r="B104" s="10">
        <v>10.7</v>
      </c>
    </row>
    <row r="105" spans="1:2" x14ac:dyDescent="0.25">
      <c r="A105" s="5">
        <v>26359</v>
      </c>
      <c r="B105" s="10">
        <v>10.8</v>
      </c>
    </row>
    <row r="106" spans="1:2" x14ac:dyDescent="0.25">
      <c r="A106" s="5">
        <v>26451</v>
      </c>
      <c r="B106" s="10">
        <v>10.9</v>
      </c>
    </row>
    <row r="107" spans="1:2" x14ac:dyDescent="0.25">
      <c r="A107" s="5">
        <v>26543</v>
      </c>
      <c r="B107" s="10">
        <v>11.1</v>
      </c>
    </row>
    <row r="108" spans="1:2" x14ac:dyDescent="0.25">
      <c r="A108" s="5">
        <v>26634</v>
      </c>
      <c r="B108" s="10">
        <v>11.2</v>
      </c>
    </row>
    <row r="109" spans="1:2" x14ac:dyDescent="0.25">
      <c r="A109" s="5">
        <v>26724</v>
      </c>
      <c r="B109" s="10">
        <v>11.4</v>
      </c>
    </row>
    <row r="110" spans="1:2" x14ac:dyDescent="0.25">
      <c r="A110" s="5">
        <v>26816</v>
      </c>
      <c r="B110" s="10">
        <v>11.8</v>
      </c>
    </row>
    <row r="111" spans="1:2" x14ac:dyDescent="0.25">
      <c r="A111" s="5">
        <v>26908</v>
      </c>
      <c r="B111" s="10">
        <v>12.2</v>
      </c>
    </row>
    <row r="112" spans="1:2" x14ac:dyDescent="0.25">
      <c r="A112" s="5">
        <v>26999</v>
      </c>
      <c r="B112" s="10">
        <v>12.6</v>
      </c>
    </row>
    <row r="113" spans="1:2" x14ac:dyDescent="0.25">
      <c r="A113" s="5">
        <v>27089</v>
      </c>
      <c r="B113" s="10">
        <v>13</v>
      </c>
    </row>
    <row r="114" spans="1:2" x14ac:dyDescent="0.25">
      <c r="A114" s="5">
        <v>27181</v>
      </c>
      <c r="B114" s="10">
        <v>13.5</v>
      </c>
    </row>
    <row r="115" spans="1:2" x14ac:dyDescent="0.25">
      <c r="A115" s="5">
        <v>27273</v>
      </c>
      <c r="B115" s="10">
        <v>14.2</v>
      </c>
    </row>
    <row r="116" spans="1:2" x14ac:dyDescent="0.25">
      <c r="A116" s="5">
        <v>27364</v>
      </c>
      <c r="B116" s="10">
        <v>14.7</v>
      </c>
    </row>
    <row r="117" spans="1:2" x14ac:dyDescent="0.25">
      <c r="A117" s="5">
        <v>27454</v>
      </c>
      <c r="B117" s="10">
        <v>15.3</v>
      </c>
    </row>
    <row r="118" spans="1:2" x14ac:dyDescent="0.25">
      <c r="A118" s="5">
        <v>27546</v>
      </c>
      <c r="B118" s="10">
        <v>15.8</v>
      </c>
    </row>
    <row r="119" spans="1:2" x14ac:dyDescent="0.25">
      <c r="A119" s="5">
        <v>27638</v>
      </c>
      <c r="B119" s="10">
        <v>15.9</v>
      </c>
    </row>
    <row r="120" spans="1:2" x14ac:dyDescent="0.25">
      <c r="A120" s="5">
        <v>27729</v>
      </c>
      <c r="B120" s="10">
        <v>16.8</v>
      </c>
    </row>
    <row r="121" spans="1:2" x14ac:dyDescent="0.25">
      <c r="A121" s="5">
        <v>27820</v>
      </c>
      <c r="B121" s="10">
        <v>17.3</v>
      </c>
    </row>
    <row r="122" spans="1:2" x14ac:dyDescent="0.25">
      <c r="A122" s="5">
        <v>27912</v>
      </c>
      <c r="B122" s="10">
        <v>17.7</v>
      </c>
    </row>
    <row r="123" spans="1:2" x14ac:dyDescent="0.25">
      <c r="A123" s="5">
        <v>28004</v>
      </c>
      <c r="B123" s="10">
        <v>18.100000000000001</v>
      </c>
    </row>
    <row r="124" spans="1:2" x14ac:dyDescent="0.25">
      <c r="A124" s="5">
        <v>28095</v>
      </c>
      <c r="B124" s="10">
        <v>19.2</v>
      </c>
    </row>
    <row r="125" spans="1:2" x14ac:dyDescent="0.25">
      <c r="A125" s="5">
        <v>28185</v>
      </c>
      <c r="B125" s="10">
        <v>19.600000000000001</v>
      </c>
    </row>
    <row r="126" spans="1:2" x14ac:dyDescent="0.25">
      <c r="A126" s="5">
        <v>28277</v>
      </c>
      <c r="B126" s="10">
        <v>20.100000000000001</v>
      </c>
    </row>
    <row r="127" spans="1:2" x14ac:dyDescent="0.25">
      <c r="A127" s="5">
        <v>28369</v>
      </c>
      <c r="B127" s="10">
        <v>20.5</v>
      </c>
    </row>
    <row r="128" spans="1:2" x14ac:dyDescent="0.25">
      <c r="A128" s="5">
        <v>28460</v>
      </c>
      <c r="B128" s="10">
        <v>21</v>
      </c>
    </row>
    <row r="129" spans="1:2" x14ac:dyDescent="0.25">
      <c r="A129" s="5">
        <v>28550</v>
      </c>
      <c r="B129" s="10">
        <v>21.3</v>
      </c>
    </row>
    <row r="130" spans="1:2" x14ac:dyDescent="0.25">
      <c r="A130" s="5">
        <v>28642</v>
      </c>
      <c r="B130" s="10">
        <v>21.7</v>
      </c>
    </row>
    <row r="131" spans="1:2" x14ac:dyDescent="0.25">
      <c r="A131" s="5">
        <v>28734</v>
      </c>
      <c r="B131" s="10">
        <v>22.1</v>
      </c>
    </row>
    <row r="132" spans="1:2" x14ac:dyDescent="0.25">
      <c r="A132" s="5">
        <v>28825</v>
      </c>
      <c r="B132" s="10">
        <v>22.6</v>
      </c>
    </row>
    <row r="133" spans="1:2" x14ac:dyDescent="0.25">
      <c r="A133" s="5">
        <v>28915</v>
      </c>
      <c r="B133" s="10">
        <v>23</v>
      </c>
    </row>
    <row r="134" spans="1:2" x14ac:dyDescent="0.25">
      <c r="A134" s="5">
        <v>29007</v>
      </c>
      <c r="B134" s="10">
        <v>23.6</v>
      </c>
    </row>
    <row r="135" spans="1:2" x14ac:dyDescent="0.25">
      <c r="A135" s="5">
        <v>29099</v>
      </c>
      <c r="B135" s="10">
        <v>24.2</v>
      </c>
    </row>
    <row r="136" spans="1:2" x14ac:dyDescent="0.25">
      <c r="A136" s="5">
        <v>29190</v>
      </c>
      <c r="B136" s="10">
        <v>24.9</v>
      </c>
    </row>
    <row r="137" spans="1:2" x14ac:dyDescent="0.25">
      <c r="A137" s="5">
        <v>29281</v>
      </c>
      <c r="B137" s="10">
        <v>25.4</v>
      </c>
    </row>
    <row r="138" spans="1:2" x14ac:dyDescent="0.25">
      <c r="A138" s="5">
        <v>29373</v>
      </c>
      <c r="B138" s="10">
        <v>26.2</v>
      </c>
    </row>
    <row r="139" spans="1:2" x14ac:dyDescent="0.25">
      <c r="A139" s="5">
        <v>29465</v>
      </c>
      <c r="B139" s="10">
        <v>26.6</v>
      </c>
    </row>
    <row r="140" spans="1:2" x14ac:dyDescent="0.25">
      <c r="A140" s="5">
        <v>29556</v>
      </c>
      <c r="B140" s="10">
        <v>27.2</v>
      </c>
    </row>
    <row r="141" spans="1:2" x14ac:dyDescent="0.25">
      <c r="A141" s="5">
        <v>29646</v>
      </c>
      <c r="B141" s="10">
        <v>27.8</v>
      </c>
    </row>
    <row r="142" spans="1:2" x14ac:dyDescent="0.25">
      <c r="A142" s="5">
        <v>29738</v>
      </c>
      <c r="B142" s="10">
        <v>28.4</v>
      </c>
    </row>
    <row r="143" spans="1:2" x14ac:dyDescent="0.25">
      <c r="A143" s="5">
        <v>29830</v>
      </c>
      <c r="B143" s="10">
        <v>29</v>
      </c>
    </row>
    <row r="144" spans="1:2" x14ac:dyDescent="0.25">
      <c r="A144" s="5">
        <v>29921</v>
      </c>
      <c r="B144" s="10">
        <v>30.2</v>
      </c>
    </row>
    <row r="145" spans="1:2" x14ac:dyDescent="0.25">
      <c r="A145" s="5">
        <v>30011</v>
      </c>
      <c r="B145" s="10">
        <v>30.8</v>
      </c>
    </row>
    <row r="146" spans="1:2" x14ac:dyDescent="0.25">
      <c r="A146" s="5">
        <v>30103</v>
      </c>
      <c r="B146" s="10">
        <v>31.5</v>
      </c>
    </row>
    <row r="147" spans="1:2" x14ac:dyDescent="0.25">
      <c r="A147" s="5">
        <v>30195</v>
      </c>
      <c r="B147" s="10">
        <v>32.6</v>
      </c>
    </row>
    <row r="148" spans="1:2" x14ac:dyDescent="0.25">
      <c r="A148" s="5">
        <v>30286</v>
      </c>
      <c r="B148" s="10">
        <v>33.6</v>
      </c>
    </row>
    <row r="149" spans="1:2" x14ac:dyDescent="0.25">
      <c r="A149" s="5">
        <v>30376</v>
      </c>
      <c r="B149" s="10">
        <v>34.299999999999997</v>
      </c>
    </row>
    <row r="150" spans="1:2" x14ac:dyDescent="0.25">
      <c r="A150" s="5">
        <v>30468</v>
      </c>
      <c r="B150" s="10">
        <v>35</v>
      </c>
    </row>
    <row r="151" spans="1:2" x14ac:dyDescent="0.25">
      <c r="A151" s="5">
        <v>30560</v>
      </c>
      <c r="B151" s="10">
        <v>35.6</v>
      </c>
    </row>
    <row r="152" spans="1:2" x14ac:dyDescent="0.25">
      <c r="A152" s="5">
        <v>30651</v>
      </c>
      <c r="B152" s="10">
        <v>36.5</v>
      </c>
    </row>
    <row r="153" spans="1:2" x14ac:dyDescent="0.25">
      <c r="A153" s="5">
        <v>30742</v>
      </c>
      <c r="B153" s="10">
        <v>36.299999999999997</v>
      </c>
    </row>
    <row r="154" spans="1:2" x14ac:dyDescent="0.25">
      <c r="A154" s="5">
        <v>30834</v>
      </c>
      <c r="B154" s="10">
        <v>36.4</v>
      </c>
    </row>
    <row r="155" spans="1:2" x14ac:dyDescent="0.25">
      <c r="A155" s="5">
        <v>30926</v>
      </c>
      <c r="B155" s="10">
        <v>36.9</v>
      </c>
    </row>
    <row r="156" spans="1:2" x14ac:dyDescent="0.25">
      <c r="A156" s="5">
        <v>31017</v>
      </c>
      <c r="B156" s="10">
        <v>37.4</v>
      </c>
    </row>
    <row r="157" spans="1:2" x14ac:dyDescent="0.25">
      <c r="A157" s="5">
        <v>31107</v>
      </c>
      <c r="B157" s="10">
        <v>37.9</v>
      </c>
    </row>
    <row r="158" spans="1:2" x14ac:dyDescent="0.25">
      <c r="A158" s="5">
        <v>31199</v>
      </c>
      <c r="B158" s="10">
        <v>38.799999999999997</v>
      </c>
    </row>
    <row r="159" spans="1:2" x14ac:dyDescent="0.25">
      <c r="A159" s="5">
        <v>31291</v>
      </c>
      <c r="B159" s="10">
        <v>39.700000000000003</v>
      </c>
    </row>
    <row r="160" spans="1:2" x14ac:dyDescent="0.25">
      <c r="A160" s="5">
        <v>31382</v>
      </c>
      <c r="B160" s="10">
        <v>40.5</v>
      </c>
    </row>
    <row r="161" spans="1:2" x14ac:dyDescent="0.25">
      <c r="A161" s="5">
        <v>31472</v>
      </c>
      <c r="B161" s="10">
        <v>41.4</v>
      </c>
    </row>
    <row r="162" spans="1:2" x14ac:dyDescent="0.25">
      <c r="A162" s="5">
        <v>31564</v>
      </c>
      <c r="B162" s="10">
        <v>42.1</v>
      </c>
    </row>
    <row r="163" spans="1:2" x14ac:dyDescent="0.25">
      <c r="A163" s="5">
        <v>31656</v>
      </c>
      <c r="B163" s="10">
        <v>43.2</v>
      </c>
    </row>
    <row r="164" spans="1:2" x14ac:dyDescent="0.25">
      <c r="A164" s="5">
        <v>31747</v>
      </c>
      <c r="B164" s="10">
        <v>44.4</v>
      </c>
    </row>
    <row r="165" spans="1:2" x14ac:dyDescent="0.25">
      <c r="A165" s="5">
        <v>31837</v>
      </c>
      <c r="B165" s="10">
        <v>45.3</v>
      </c>
    </row>
    <row r="166" spans="1:2" x14ac:dyDescent="0.25">
      <c r="A166" s="5">
        <v>31929</v>
      </c>
      <c r="B166" s="10">
        <v>46</v>
      </c>
    </row>
    <row r="167" spans="1:2" x14ac:dyDescent="0.25">
      <c r="A167" s="5">
        <v>32021</v>
      </c>
      <c r="B167" s="10">
        <v>46.8</v>
      </c>
    </row>
    <row r="168" spans="1:2" x14ac:dyDescent="0.25">
      <c r="A168" s="5">
        <v>32112</v>
      </c>
      <c r="B168" s="10">
        <v>47.6</v>
      </c>
    </row>
    <row r="169" spans="1:2" x14ac:dyDescent="0.25">
      <c r="A169" s="5">
        <v>32203</v>
      </c>
      <c r="B169" s="10">
        <v>48.4</v>
      </c>
    </row>
    <row r="170" spans="1:2" x14ac:dyDescent="0.25">
      <c r="A170" s="5">
        <v>32295</v>
      </c>
      <c r="B170" s="10">
        <v>49.3</v>
      </c>
    </row>
    <row r="171" spans="1:2" x14ac:dyDescent="0.25">
      <c r="A171" s="5">
        <v>32387</v>
      </c>
      <c r="B171" s="10">
        <v>50.2</v>
      </c>
    </row>
    <row r="172" spans="1:2" x14ac:dyDescent="0.25">
      <c r="A172" s="5">
        <v>32478</v>
      </c>
      <c r="B172" s="10">
        <v>51.2</v>
      </c>
    </row>
    <row r="173" spans="1:2" x14ac:dyDescent="0.25">
      <c r="A173" s="5">
        <v>32568</v>
      </c>
      <c r="B173" s="10">
        <v>51.7</v>
      </c>
    </row>
    <row r="174" spans="1:2" x14ac:dyDescent="0.25">
      <c r="A174" s="5">
        <v>32660</v>
      </c>
      <c r="B174" s="10">
        <v>53</v>
      </c>
    </row>
    <row r="175" spans="1:2" x14ac:dyDescent="0.25">
      <c r="A175" s="5">
        <v>32752</v>
      </c>
      <c r="B175" s="10">
        <v>54.2</v>
      </c>
    </row>
    <row r="176" spans="1:2" x14ac:dyDescent="0.25">
      <c r="A176" s="5">
        <v>32843</v>
      </c>
      <c r="B176" s="10">
        <v>55.2</v>
      </c>
    </row>
    <row r="177" spans="1:2" x14ac:dyDescent="0.25">
      <c r="A177" s="5">
        <v>32933</v>
      </c>
      <c r="B177" s="10">
        <v>56.2</v>
      </c>
    </row>
    <row r="178" spans="1:2" x14ac:dyDescent="0.25">
      <c r="A178" s="5">
        <v>33025</v>
      </c>
      <c r="B178" s="10">
        <v>57.1</v>
      </c>
    </row>
    <row r="179" spans="1:2" x14ac:dyDescent="0.25">
      <c r="A179" s="5">
        <v>33117</v>
      </c>
      <c r="B179" s="10">
        <v>57.5</v>
      </c>
    </row>
    <row r="180" spans="1:2" x14ac:dyDescent="0.25">
      <c r="A180" s="5">
        <v>33208</v>
      </c>
      <c r="B180" s="10">
        <v>59</v>
      </c>
    </row>
    <row r="181" spans="1:2" x14ac:dyDescent="0.25">
      <c r="A181" s="5">
        <v>33298</v>
      </c>
      <c r="B181" s="10">
        <v>58.9</v>
      </c>
    </row>
    <row r="182" spans="1:2" x14ac:dyDescent="0.25">
      <c r="A182" s="5">
        <v>33390</v>
      </c>
      <c r="B182" s="10">
        <v>59</v>
      </c>
    </row>
    <row r="183" spans="1:2" x14ac:dyDescent="0.25">
      <c r="A183" s="5">
        <v>33482</v>
      </c>
      <c r="B183" s="10">
        <v>59.3</v>
      </c>
    </row>
    <row r="184" spans="1:2" x14ac:dyDescent="0.25">
      <c r="A184" s="5">
        <v>33573</v>
      </c>
      <c r="B184" s="10">
        <v>59.9</v>
      </c>
    </row>
    <row r="185" spans="1:2" x14ac:dyDescent="0.25">
      <c r="A185" s="5">
        <v>33664</v>
      </c>
      <c r="B185" s="10">
        <v>59.9</v>
      </c>
    </row>
    <row r="186" spans="1:2" x14ac:dyDescent="0.25">
      <c r="A186" s="5">
        <v>33756</v>
      </c>
      <c r="B186" s="10">
        <v>59.7</v>
      </c>
    </row>
    <row r="187" spans="1:2" x14ac:dyDescent="0.25">
      <c r="A187" s="5">
        <v>33848</v>
      </c>
      <c r="B187" s="10">
        <v>59.8</v>
      </c>
    </row>
    <row r="188" spans="1:2" x14ac:dyDescent="0.25">
      <c r="A188" s="5">
        <v>33939</v>
      </c>
      <c r="B188" s="10">
        <v>60.1</v>
      </c>
    </row>
    <row r="189" spans="1:2" x14ac:dyDescent="0.25">
      <c r="A189" s="5">
        <v>34029</v>
      </c>
      <c r="B189" s="10">
        <v>60.6</v>
      </c>
    </row>
    <row r="190" spans="1:2" x14ac:dyDescent="0.25">
      <c r="A190" s="5">
        <v>34121</v>
      </c>
      <c r="B190" s="10">
        <v>60.8</v>
      </c>
    </row>
    <row r="191" spans="1:2" x14ac:dyDescent="0.25">
      <c r="A191" s="5">
        <v>34213</v>
      </c>
      <c r="B191" s="10">
        <v>61.1</v>
      </c>
    </row>
    <row r="192" spans="1:2" x14ac:dyDescent="0.25">
      <c r="A192" s="5">
        <v>34304</v>
      </c>
      <c r="B192" s="10">
        <v>61.2</v>
      </c>
    </row>
    <row r="193" spans="1:2" x14ac:dyDescent="0.25">
      <c r="A193" s="5">
        <v>34394</v>
      </c>
      <c r="B193" s="10">
        <v>61.5</v>
      </c>
    </row>
    <row r="194" spans="1:2" x14ac:dyDescent="0.25">
      <c r="A194" s="5">
        <v>34486</v>
      </c>
      <c r="B194" s="10">
        <v>61.9</v>
      </c>
    </row>
    <row r="195" spans="1:2" x14ac:dyDescent="0.25">
      <c r="A195" s="5">
        <v>34578</v>
      </c>
      <c r="B195" s="10">
        <v>62.3</v>
      </c>
    </row>
    <row r="196" spans="1:2" x14ac:dyDescent="0.25">
      <c r="A196" s="5">
        <v>34669</v>
      </c>
      <c r="B196" s="10">
        <v>62.8</v>
      </c>
    </row>
    <row r="197" spans="1:2" x14ac:dyDescent="0.25">
      <c r="A197" s="5">
        <v>34759</v>
      </c>
      <c r="B197" s="10">
        <v>63.8</v>
      </c>
    </row>
    <row r="198" spans="1:2" x14ac:dyDescent="0.25">
      <c r="A198" s="5">
        <v>34851</v>
      </c>
      <c r="B198" s="10">
        <v>64.7</v>
      </c>
    </row>
    <row r="199" spans="1:2" x14ac:dyDescent="0.25">
      <c r="A199" s="5">
        <v>34943</v>
      </c>
      <c r="B199" s="10">
        <v>65.5</v>
      </c>
    </row>
    <row r="200" spans="1:2" x14ac:dyDescent="0.25">
      <c r="A200" s="5">
        <v>35034</v>
      </c>
      <c r="B200" s="10">
        <v>66</v>
      </c>
    </row>
    <row r="201" spans="1:2" x14ac:dyDescent="0.25">
      <c r="A201" s="5">
        <v>35125</v>
      </c>
      <c r="B201" s="10">
        <v>66.2</v>
      </c>
    </row>
    <row r="202" spans="1:2" x14ac:dyDescent="0.25">
      <c r="A202" s="5">
        <v>35217</v>
      </c>
      <c r="B202" s="10">
        <v>66.7</v>
      </c>
    </row>
    <row r="203" spans="1:2" x14ac:dyDescent="0.25">
      <c r="A203" s="5">
        <v>35309</v>
      </c>
      <c r="B203" s="10">
        <v>66.900000000000006</v>
      </c>
    </row>
    <row r="204" spans="1:2" x14ac:dyDescent="0.25">
      <c r="A204" s="5">
        <v>35400</v>
      </c>
      <c r="B204" s="10">
        <v>67</v>
      </c>
    </row>
    <row r="205" spans="1:2" x14ac:dyDescent="0.25">
      <c r="A205" s="5">
        <v>35490</v>
      </c>
      <c r="B205" s="10">
        <v>67.099999999999994</v>
      </c>
    </row>
    <row r="206" spans="1:2" x14ac:dyDescent="0.25">
      <c r="A206" s="5">
        <v>35582</v>
      </c>
      <c r="B206" s="10">
        <v>66.900000000000006</v>
      </c>
    </row>
    <row r="207" spans="1:2" x14ac:dyDescent="0.25">
      <c r="A207" s="5">
        <v>35674</v>
      </c>
      <c r="B207" s="10">
        <v>66.599999999999994</v>
      </c>
    </row>
    <row r="208" spans="1:2" x14ac:dyDescent="0.25">
      <c r="A208" s="5">
        <v>35765</v>
      </c>
      <c r="B208" s="10">
        <v>66.8</v>
      </c>
    </row>
    <row r="209" spans="1:2" x14ac:dyDescent="0.25">
      <c r="A209" s="5">
        <v>35855</v>
      </c>
      <c r="B209" s="10">
        <v>67</v>
      </c>
    </row>
    <row r="210" spans="1:2" x14ac:dyDescent="0.25">
      <c r="A210" s="5">
        <v>35947</v>
      </c>
      <c r="B210" s="10">
        <v>67.400000000000006</v>
      </c>
    </row>
    <row r="211" spans="1:2" x14ac:dyDescent="0.25">
      <c r="A211" s="5">
        <v>36039</v>
      </c>
      <c r="B211" s="10">
        <v>67.5</v>
      </c>
    </row>
    <row r="212" spans="1:2" x14ac:dyDescent="0.25">
      <c r="A212" s="5">
        <v>36130</v>
      </c>
      <c r="B212" s="10">
        <v>67.8</v>
      </c>
    </row>
    <row r="213" spans="1:2" x14ac:dyDescent="0.25">
      <c r="A213" s="5">
        <v>36220</v>
      </c>
      <c r="B213" s="10">
        <v>67.8</v>
      </c>
    </row>
    <row r="214" spans="1:2" x14ac:dyDescent="0.25">
      <c r="A214" s="5">
        <v>36312</v>
      </c>
      <c r="B214" s="10">
        <v>68.099999999999994</v>
      </c>
    </row>
    <row r="215" spans="1:2" x14ac:dyDescent="0.25">
      <c r="A215" s="5">
        <v>36404</v>
      </c>
      <c r="B215" s="10">
        <v>68.7</v>
      </c>
    </row>
    <row r="216" spans="1:2" x14ac:dyDescent="0.25">
      <c r="A216" s="5">
        <v>36495</v>
      </c>
      <c r="B216" s="10">
        <v>69.099999999999994</v>
      </c>
    </row>
    <row r="217" spans="1:2" x14ac:dyDescent="0.25">
      <c r="A217" s="5">
        <v>36586</v>
      </c>
      <c r="B217" s="10">
        <v>69.7</v>
      </c>
    </row>
    <row r="218" spans="1:2" x14ac:dyDescent="0.25">
      <c r="A218" s="5">
        <v>36678</v>
      </c>
      <c r="B218" s="10">
        <v>70.2</v>
      </c>
    </row>
    <row r="219" spans="1:2" x14ac:dyDescent="0.25">
      <c r="A219" s="5">
        <v>36770</v>
      </c>
      <c r="B219" s="10">
        <v>72.900000000000006</v>
      </c>
    </row>
    <row r="220" spans="1:2" x14ac:dyDescent="0.25">
      <c r="A220" s="5">
        <v>36861</v>
      </c>
      <c r="B220" s="10">
        <v>73.099999999999994</v>
      </c>
    </row>
    <row r="221" spans="1:2" x14ac:dyDescent="0.25">
      <c r="A221" s="5">
        <v>36951</v>
      </c>
      <c r="B221" s="10">
        <v>73.900000000000006</v>
      </c>
    </row>
    <row r="222" spans="1:2" x14ac:dyDescent="0.25">
      <c r="A222" s="5">
        <v>37043</v>
      </c>
      <c r="B222" s="10">
        <v>74.5</v>
      </c>
    </row>
    <row r="223" spans="1:2" x14ac:dyDescent="0.25">
      <c r="A223" s="5">
        <v>37135</v>
      </c>
      <c r="B223" s="10">
        <v>74.7</v>
      </c>
    </row>
    <row r="224" spans="1:2" x14ac:dyDescent="0.25">
      <c r="A224" s="5">
        <v>37226</v>
      </c>
      <c r="B224" s="10">
        <v>75.400000000000006</v>
      </c>
    </row>
    <row r="225" spans="1:2" x14ac:dyDescent="0.25">
      <c r="A225" s="5">
        <v>37316</v>
      </c>
      <c r="B225" s="10">
        <v>76.099999999999994</v>
      </c>
    </row>
    <row r="226" spans="1:2" x14ac:dyDescent="0.25">
      <c r="A226" s="5">
        <v>37408</v>
      </c>
      <c r="B226" s="10">
        <v>76.599999999999994</v>
      </c>
    </row>
    <row r="227" spans="1:2" x14ac:dyDescent="0.25">
      <c r="A227" s="5">
        <v>37500</v>
      </c>
      <c r="B227" s="10">
        <v>77.099999999999994</v>
      </c>
    </row>
    <row r="228" spans="1:2" x14ac:dyDescent="0.25">
      <c r="A228" s="5">
        <v>37591</v>
      </c>
      <c r="B228" s="10">
        <v>77.599999999999994</v>
      </c>
    </row>
    <row r="229" spans="1:2" x14ac:dyDescent="0.25">
      <c r="A229" s="5">
        <v>37681</v>
      </c>
      <c r="B229" s="10">
        <v>78.599999999999994</v>
      </c>
    </row>
    <row r="230" spans="1:2" x14ac:dyDescent="0.25">
      <c r="A230" s="5">
        <v>37773</v>
      </c>
      <c r="B230" s="10">
        <v>78.599999999999994</v>
      </c>
    </row>
    <row r="231" spans="1:2" x14ac:dyDescent="0.25">
      <c r="A231" s="5">
        <v>37865</v>
      </c>
      <c r="B231" s="10">
        <v>79.099999999999994</v>
      </c>
    </row>
    <row r="232" spans="1:2" x14ac:dyDescent="0.25">
      <c r="A232" s="5">
        <v>37956</v>
      </c>
      <c r="B232" s="10">
        <v>79.5</v>
      </c>
    </row>
    <row r="233" spans="1:2" x14ac:dyDescent="0.25">
      <c r="A233" s="5">
        <v>38047</v>
      </c>
      <c r="B233" s="10">
        <v>80.2</v>
      </c>
    </row>
    <row r="234" spans="1:2" x14ac:dyDescent="0.25">
      <c r="A234" s="5">
        <v>38139</v>
      </c>
      <c r="B234" s="10">
        <v>80.599999999999994</v>
      </c>
    </row>
    <row r="235" spans="1:2" x14ac:dyDescent="0.25">
      <c r="A235" s="5">
        <v>38231</v>
      </c>
      <c r="B235" s="10">
        <v>80.900000000000006</v>
      </c>
    </row>
    <row r="236" spans="1:2" x14ac:dyDescent="0.25">
      <c r="A236" s="5">
        <v>38322</v>
      </c>
      <c r="B236" s="10">
        <v>81.5</v>
      </c>
    </row>
    <row r="237" spans="1:2" x14ac:dyDescent="0.25">
      <c r="A237" s="5">
        <v>38412</v>
      </c>
      <c r="B237" s="10">
        <v>82.1</v>
      </c>
    </row>
    <row r="238" spans="1:2" x14ac:dyDescent="0.25">
      <c r="A238" s="5">
        <v>38504</v>
      </c>
      <c r="B238" s="10">
        <v>82.6</v>
      </c>
    </row>
    <row r="239" spans="1:2" x14ac:dyDescent="0.25">
      <c r="A239" s="5">
        <v>38596</v>
      </c>
      <c r="B239" s="10">
        <v>83.4</v>
      </c>
    </row>
    <row r="240" spans="1:2" x14ac:dyDescent="0.25">
      <c r="A240" s="5">
        <v>38687</v>
      </c>
      <c r="B240" s="10">
        <v>83.8</v>
      </c>
    </row>
    <row r="241" spans="1:2" x14ac:dyDescent="0.25">
      <c r="A241" s="5">
        <v>38777</v>
      </c>
      <c r="B241" s="10">
        <v>84.5</v>
      </c>
    </row>
    <row r="242" spans="1:2" x14ac:dyDescent="0.25">
      <c r="A242" s="5">
        <v>38869</v>
      </c>
      <c r="B242" s="10">
        <v>85.9</v>
      </c>
    </row>
    <row r="243" spans="1:2" x14ac:dyDescent="0.25">
      <c r="A243" s="5">
        <v>38961</v>
      </c>
      <c r="B243" s="10">
        <v>86.7</v>
      </c>
    </row>
    <row r="244" spans="1:2" x14ac:dyDescent="0.25">
      <c r="A244" s="5">
        <v>39052</v>
      </c>
      <c r="B244" s="10">
        <v>86.6</v>
      </c>
    </row>
    <row r="245" spans="1:2" x14ac:dyDescent="0.25">
      <c r="A245" s="5">
        <v>39142</v>
      </c>
      <c r="B245" s="10">
        <v>86.6</v>
      </c>
    </row>
    <row r="246" spans="1:2" x14ac:dyDescent="0.25">
      <c r="A246" s="5">
        <v>39234</v>
      </c>
      <c r="B246" s="10">
        <v>87.7</v>
      </c>
    </row>
    <row r="247" spans="1:2" x14ac:dyDescent="0.25">
      <c r="A247" s="5">
        <v>39326</v>
      </c>
      <c r="B247" s="10">
        <v>88.3</v>
      </c>
    </row>
    <row r="248" spans="1:2" x14ac:dyDescent="0.25">
      <c r="A248" s="5">
        <v>39417</v>
      </c>
      <c r="B248" s="10">
        <v>89.1</v>
      </c>
    </row>
    <row r="249" spans="1:2" x14ac:dyDescent="0.25">
      <c r="A249" s="5">
        <v>39508</v>
      </c>
      <c r="B249" s="10">
        <v>90.3</v>
      </c>
    </row>
    <row r="250" spans="1:2" x14ac:dyDescent="0.25">
      <c r="A250" s="5">
        <v>39600</v>
      </c>
      <c r="B250" s="10">
        <v>91.6</v>
      </c>
    </row>
    <row r="251" spans="1:2" x14ac:dyDescent="0.25">
      <c r="A251" s="5">
        <v>39692</v>
      </c>
      <c r="B251" s="10">
        <v>92.7</v>
      </c>
    </row>
    <row r="252" spans="1:2" x14ac:dyDescent="0.25">
      <c r="A252" s="5">
        <v>39783</v>
      </c>
      <c r="B252" s="10">
        <v>92.4</v>
      </c>
    </row>
    <row r="253" spans="1:2" x14ac:dyDescent="0.25">
      <c r="A253" s="5">
        <v>39873</v>
      </c>
      <c r="B253" s="10">
        <v>92.5</v>
      </c>
    </row>
    <row r="254" spans="1:2" x14ac:dyDescent="0.25">
      <c r="A254" s="5">
        <v>39965</v>
      </c>
      <c r="B254" s="10">
        <v>92.9</v>
      </c>
    </row>
    <row r="255" spans="1:2" x14ac:dyDescent="0.25">
      <c r="A255" s="5">
        <v>40057</v>
      </c>
      <c r="B255" s="10">
        <v>93.8</v>
      </c>
    </row>
    <row r="256" spans="1:2" x14ac:dyDescent="0.25">
      <c r="A256" s="5">
        <v>40148</v>
      </c>
      <c r="B256" s="10">
        <v>94.3</v>
      </c>
    </row>
    <row r="257" spans="1:2" x14ac:dyDescent="0.25">
      <c r="A257" s="5">
        <v>40238</v>
      </c>
      <c r="B257" s="10">
        <v>95.2</v>
      </c>
    </row>
    <row r="258" spans="1:2" x14ac:dyDescent="0.25">
      <c r="A258" s="5">
        <v>40330</v>
      </c>
      <c r="B258" s="10">
        <v>95.8</v>
      </c>
    </row>
    <row r="259" spans="1:2" x14ac:dyDescent="0.25">
      <c r="A259" s="5">
        <v>40422</v>
      </c>
      <c r="B259" s="10">
        <v>96.5</v>
      </c>
    </row>
    <row r="260" spans="1:2" x14ac:dyDescent="0.25">
      <c r="A260" s="5">
        <v>40513</v>
      </c>
      <c r="B260" s="10">
        <v>96.9</v>
      </c>
    </row>
    <row r="261" spans="1:2" x14ac:dyDescent="0.25">
      <c r="A261" s="5">
        <v>40603</v>
      </c>
      <c r="B261" s="10">
        <v>98.3</v>
      </c>
    </row>
    <row r="262" spans="1:2" x14ac:dyDescent="0.25">
      <c r="A262" s="5">
        <v>40695</v>
      </c>
      <c r="B262" s="10">
        <v>99.2</v>
      </c>
    </row>
    <row r="263" spans="1:2" x14ac:dyDescent="0.25">
      <c r="A263" s="5">
        <v>40787</v>
      </c>
      <c r="B263" s="10">
        <v>99.8</v>
      </c>
    </row>
    <row r="264" spans="1:2" x14ac:dyDescent="0.25">
      <c r="A264" s="5">
        <v>40878</v>
      </c>
      <c r="B264" s="10">
        <v>99.8</v>
      </c>
    </row>
    <row r="265" spans="1:2" x14ac:dyDescent="0.25">
      <c r="A265" s="5">
        <v>40969</v>
      </c>
      <c r="B265" s="10">
        <v>99.9</v>
      </c>
    </row>
    <row r="266" spans="1:2" x14ac:dyDescent="0.25">
      <c r="A266" s="5">
        <v>41061</v>
      </c>
      <c r="B266" s="10">
        <v>100.4</v>
      </c>
    </row>
    <row r="267" spans="1:2" x14ac:dyDescent="0.25">
      <c r="A267" s="5">
        <v>41153</v>
      </c>
      <c r="B267" s="10">
        <v>101.8</v>
      </c>
    </row>
    <row r="268" spans="1:2" x14ac:dyDescent="0.25">
      <c r="A268" s="5">
        <v>41244</v>
      </c>
      <c r="B268" s="10">
        <v>102</v>
      </c>
    </row>
    <row r="269" spans="1:2" x14ac:dyDescent="0.25">
      <c r="A269" s="5">
        <v>41334</v>
      </c>
      <c r="B269" s="10">
        <v>102.4</v>
      </c>
    </row>
    <row r="270" spans="1:2" x14ac:dyDescent="0.25">
      <c r="A270" s="5">
        <v>41426</v>
      </c>
      <c r="B270" s="10">
        <v>102.8</v>
      </c>
    </row>
    <row r="271" spans="1:2" x14ac:dyDescent="0.25">
      <c r="A271" s="5">
        <v>41518</v>
      </c>
      <c r="B271" s="10">
        <v>104</v>
      </c>
    </row>
    <row r="272" spans="1:2" x14ac:dyDescent="0.25">
      <c r="A272" s="5">
        <v>41609</v>
      </c>
      <c r="B272" s="10">
        <v>104.8</v>
      </c>
    </row>
    <row r="273" spans="1:2" x14ac:dyDescent="0.25">
      <c r="A273" s="5">
        <v>41699</v>
      </c>
      <c r="B273" s="10">
        <v>105.4</v>
      </c>
    </row>
    <row r="274" spans="1:2" x14ac:dyDescent="0.25">
      <c r="A274" s="5">
        <v>41791</v>
      </c>
      <c r="B274" s="10">
        <v>105.9</v>
      </c>
    </row>
    <row r="275" spans="1:2" x14ac:dyDescent="0.25">
      <c r="A275" s="5">
        <v>41883</v>
      </c>
      <c r="B275" s="10">
        <v>106.4</v>
      </c>
    </row>
    <row r="276" spans="1:2" x14ac:dyDescent="0.25">
      <c r="A276" s="5">
        <v>41974</v>
      </c>
      <c r="B276" s="10">
        <v>106.6</v>
      </c>
    </row>
    <row r="277" spans="1:2" x14ac:dyDescent="0.25">
      <c r="A277" s="5">
        <v>42064</v>
      </c>
      <c r="B277" s="10">
        <v>106.8</v>
      </c>
    </row>
    <row r="278" spans="1:2" x14ac:dyDescent="0.25">
      <c r="A278" s="5">
        <v>42156</v>
      </c>
      <c r="B278" s="6">
        <v>107.5</v>
      </c>
    </row>
    <row r="279" spans="1:2" x14ac:dyDescent="0.25">
      <c r="A279" s="5">
        <v>42248</v>
      </c>
      <c r="B279" s="6">
        <v>108</v>
      </c>
    </row>
    <row r="280" spans="1:2" x14ac:dyDescent="0.25">
      <c r="A280" s="5">
        <v>42339</v>
      </c>
      <c r="B280" s="6">
        <v>108.4</v>
      </c>
    </row>
    <row r="281" spans="1:2" x14ac:dyDescent="0.25">
      <c r="A281" s="5">
        <v>42430</v>
      </c>
      <c r="B281" s="6">
        <v>108.2</v>
      </c>
    </row>
    <row r="282" spans="1:2" x14ac:dyDescent="0.25">
      <c r="A282" s="5">
        <v>42522</v>
      </c>
      <c r="B282" s="6">
        <v>108.6</v>
      </c>
    </row>
    <row r="283" spans="1:2" x14ac:dyDescent="0.25">
      <c r="A283" s="5">
        <v>42614</v>
      </c>
      <c r="B283" s="6">
        <v>109.4</v>
      </c>
    </row>
    <row r="284" spans="1:2" x14ac:dyDescent="0.25">
      <c r="A284" s="5">
        <v>42705</v>
      </c>
      <c r="B284" s="6">
        <v>110</v>
      </c>
    </row>
    <row r="285" spans="1:2" x14ac:dyDescent="0.25">
      <c r="A285" s="5">
        <v>42795</v>
      </c>
      <c r="B285" s="6">
        <v>110.5</v>
      </c>
    </row>
    <row r="286" spans="1:2" x14ac:dyDescent="0.25">
      <c r="A286" s="5">
        <v>42887</v>
      </c>
      <c r="B286" s="6">
        <v>110.7</v>
      </c>
    </row>
    <row r="287" spans="1:2" x14ac:dyDescent="0.25">
      <c r="A287" s="5">
        <v>42979</v>
      </c>
      <c r="B287" s="6">
        <v>111.4</v>
      </c>
    </row>
    <row r="288" spans="1:2" x14ac:dyDescent="0.25">
      <c r="A288" s="5">
        <v>43070</v>
      </c>
      <c r="B288" s="6">
        <v>112.1</v>
      </c>
    </row>
    <row r="289" spans="1:2" x14ac:dyDescent="0.25">
      <c r="A289" s="5">
        <v>43160</v>
      </c>
      <c r="B289" s="6">
        <v>112.6</v>
      </c>
    </row>
  </sheetData>
  <dataValidations count="1">
    <dataValidation type="list" allowBlank="1" showInputMessage="1" showErrorMessage="1" sqref="E7">
      <formula1>$F$2:$Q$2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Charts-updated</vt:lpstr>
      <vt:lpstr>TNSP Analysis</vt:lpstr>
      <vt:lpstr>Asset cost and Total user cost</vt:lpstr>
      <vt:lpstr>Opex</vt:lpstr>
      <vt:lpstr>RAB</vt:lpstr>
      <vt:lpstr>Depreciation</vt:lpstr>
      <vt:lpstr>Capex</vt:lpstr>
      <vt:lpstr>CPI</vt:lpstr>
      <vt:lpstr>Physical data</vt:lpstr>
      <vt:lpstr>Network characteristics chartsU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2018-09-25T05:18:02Z</dcterms:modified>
</cp:coreProperties>
</file>